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drawings/drawing5.xml" ContentType="application/vnd.openxmlformats-officedocument.drawing+xml"/>
  <Override PartName="/xl/comments2.xml" ContentType="application/vnd.openxmlformats-officedocument.spreadsheetml.comment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20535" windowHeight="4020" firstSheet="4" activeTab="8"/>
  </bookViews>
  <sheets>
    <sheet name="Desarrollo" sheetId="46" r:id="rId1"/>
    <sheet name="cartón caja" sheetId="39" r:id="rId2"/>
    <sheet name="cartón cartera" sheetId="40" r:id="rId3"/>
    <sheet name="espuma base 3cm " sheetId="44" r:id="rId4"/>
    <sheet name="espuma base 1cm" sheetId="48" r:id="rId5"/>
    <sheet name="empalme caja INT" sheetId="34" r:id="rId6"/>
    <sheet name="forro caja EXT" sheetId="42" r:id="rId7"/>
    <sheet name="forro cartera guarda" sheetId="43" r:id="rId8"/>
    <sheet name="forro cartera final" sheetId="38" r:id="rId9"/>
  </sheets>
  <calcPr calcId="145621"/>
</workbook>
</file>

<file path=xl/calcChain.xml><?xml version="1.0" encoding="utf-8"?>
<calcChain xmlns="http://schemas.openxmlformats.org/spreadsheetml/2006/main">
  <c r="B54" i="38" l="1"/>
  <c r="B55" i="38"/>
  <c r="B56" i="42"/>
  <c r="B83" i="34"/>
  <c r="H97" i="38" l="1"/>
  <c r="I96" i="38"/>
  <c r="I93" i="38"/>
  <c r="H93" i="38"/>
  <c r="G93" i="38"/>
  <c r="F93" i="38"/>
  <c r="I92" i="38"/>
  <c r="H92" i="38"/>
  <c r="G92" i="38"/>
  <c r="F92" i="38"/>
  <c r="D79" i="38"/>
  <c r="D80" i="38"/>
  <c r="E31" i="48"/>
  <c r="C23" i="48"/>
  <c r="B83" i="48"/>
  <c r="B71" i="48"/>
  <c r="A71" i="48"/>
  <c r="A70" i="48"/>
  <c r="A69" i="48"/>
  <c r="H63" i="48"/>
  <c r="B70" i="48" s="1"/>
  <c r="H60" i="48"/>
  <c r="H59" i="48"/>
  <c r="G58" i="48"/>
  <c r="H58" i="48" s="1"/>
  <c r="H57" i="48"/>
  <c r="H56" i="48"/>
  <c r="H55" i="48"/>
  <c r="H54" i="48"/>
  <c r="H53" i="48"/>
  <c r="H52" i="48"/>
  <c r="H51" i="48"/>
  <c r="H50" i="48"/>
  <c r="B49" i="48"/>
  <c r="C41" i="48" s="1"/>
  <c r="C47" i="48"/>
  <c r="E26" i="48"/>
  <c r="C26" i="48"/>
  <c r="E23" i="48"/>
  <c r="H16" i="48"/>
  <c r="B79" i="48" s="1"/>
  <c r="B82" i="48" s="1"/>
  <c r="F16" i="48"/>
  <c r="A79" i="48" s="1"/>
  <c r="A82" i="48" s="1"/>
  <c r="C13" i="48"/>
  <c r="C11" i="48"/>
  <c r="C9" i="48"/>
  <c r="E31" i="44"/>
  <c r="B49" i="44"/>
  <c r="G49" i="38"/>
  <c r="D40" i="38"/>
  <c r="E35" i="43"/>
  <c r="E35" i="42"/>
  <c r="E35" i="34"/>
  <c r="C23" i="44"/>
  <c r="E23" i="44"/>
  <c r="H57" i="44"/>
  <c r="H56" i="44"/>
  <c r="H55" i="44"/>
  <c r="H54" i="44"/>
  <c r="H53" i="44"/>
  <c r="H52" i="44"/>
  <c r="E26" i="44"/>
  <c r="C26" i="44"/>
  <c r="H53" i="46"/>
  <c r="G55" i="46"/>
  <c r="H49" i="46"/>
  <c r="G51" i="46"/>
  <c r="G43" i="46"/>
  <c r="E47" i="46"/>
  <c r="E50" i="46" s="1"/>
  <c r="C47" i="46"/>
  <c r="C50" i="46" s="1"/>
  <c r="G29" i="46"/>
  <c r="F27" i="46"/>
  <c r="H62" i="48" l="1"/>
  <c r="B68" i="48" s="1"/>
  <c r="C55" i="46"/>
  <c r="E54" i="46"/>
  <c r="C51" i="46"/>
  <c r="C54" i="46"/>
  <c r="E51" i="46"/>
  <c r="E55" i="46"/>
  <c r="J93" i="38"/>
  <c r="A80" i="48"/>
  <c r="C80" i="48" s="1"/>
  <c r="E80" i="48" s="1"/>
  <c r="G44" i="48"/>
  <c r="B52" i="48"/>
  <c r="H26" i="48"/>
  <c r="E27" i="48"/>
  <c r="F27" i="48" s="1"/>
  <c r="E32" i="48"/>
  <c r="E33" i="48" s="1"/>
  <c r="E35" i="48" s="1"/>
  <c r="B69" i="48"/>
  <c r="F26" i="48"/>
  <c r="C27" i="48"/>
  <c r="H27" i="48" s="1"/>
  <c r="F28" i="48" l="1"/>
  <c r="B51" i="48"/>
  <c r="B59" i="48" s="1"/>
  <c r="B61" i="48" s="1"/>
  <c r="E36" i="48"/>
  <c r="B67" i="48" s="1"/>
  <c r="B73" i="48" s="1"/>
  <c r="H28" i="48"/>
  <c r="C28" i="48"/>
  <c r="E28" i="48"/>
  <c r="G70" i="48" l="1"/>
  <c r="H70" i="48" s="1"/>
  <c r="F79" i="38"/>
  <c r="E64" i="48"/>
  <c r="C73" i="48"/>
  <c r="D66" i="48"/>
  <c r="I53" i="48"/>
  <c r="G71" i="48" l="1"/>
  <c r="C79" i="38"/>
  <c r="G72" i="48"/>
  <c r="H72" i="48" s="1"/>
  <c r="H71" i="48"/>
  <c r="E25" i="34" l="1"/>
  <c r="C25" i="34"/>
  <c r="H62" i="40"/>
  <c r="H65" i="38"/>
  <c r="H62" i="43"/>
  <c r="H62" i="42"/>
  <c r="H62" i="34"/>
  <c r="H63" i="44"/>
  <c r="E30" i="38" l="1"/>
  <c r="E25" i="38"/>
  <c r="C25" i="38"/>
  <c r="E23" i="38"/>
  <c r="C23" i="38"/>
  <c r="D40" i="43"/>
  <c r="E30" i="43"/>
  <c r="E25" i="43"/>
  <c r="C25" i="43"/>
  <c r="E23" i="43"/>
  <c r="C23" i="43"/>
  <c r="D40" i="42"/>
  <c r="B30" i="42"/>
  <c r="B30" i="43" s="1"/>
  <c r="B30" i="38" s="1"/>
  <c r="E30" i="42"/>
  <c r="E25" i="42"/>
  <c r="C25" i="42"/>
  <c r="E23" i="34"/>
  <c r="C23" i="34"/>
  <c r="E23" i="42"/>
  <c r="C23" i="42"/>
  <c r="D40" i="34"/>
  <c r="E30" i="34"/>
  <c r="G99" i="46" l="1"/>
  <c r="G91" i="46"/>
  <c r="G85" i="46"/>
  <c r="F66" i="46"/>
  <c r="D66" i="46"/>
  <c r="G37" i="46"/>
  <c r="G58" i="38" l="1"/>
  <c r="G58" i="44"/>
  <c r="C66" i="46"/>
  <c r="E66" i="46" s="1"/>
  <c r="B111" i="38" l="1"/>
  <c r="B83" i="43"/>
  <c r="B83" i="42"/>
  <c r="H50" i="42" l="1"/>
  <c r="G49" i="42"/>
  <c r="H49" i="42" s="1"/>
  <c r="H54" i="34" l="1"/>
  <c r="H53" i="34"/>
  <c r="H54" i="42"/>
  <c r="H53" i="42"/>
  <c r="H54" i="43"/>
  <c r="H53" i="43"/>
  <c r="H51" i="38"/>
  <c r="H50" i="38"/>
  <c r="H49" i="38"/>
  <c r="H25" i="38"/>
  <c r="F25" i="38"/>
  <c r="A111" i="38"/>
  <c r="C111" i="38" s="1"/>
  <c r="E111" i="38" s="1"/>
  <c r="H59" i="43"/>
  <c r="H56" i="43"/>
  <c r="H55" i="43"/>
  <c r="H52" i="43"/>
  <c r="H51" i="43"/>
  <c r="H50" i="43"/>
  <c r="H49" i="43"/>
  <c r="G49" i="43"/>
  <c r="B83" i="44"/>
  <c r="H56" i="42"/>
  <c r="H55" i="42"/>
  <c r="H52" i="42"/>
  <c r="H51" i="42"/>
  <c r="G49" i="34"/>
  <c r="H16" i="44"/>
  <c r="B79" i="44" s="1"/>
  <c r="B82" i="44" s="1"/>
  <c r="F16" i="44"/>
  <c r="A79" i="44" s="1"/>
  <c r="A82" i="44" s="1"/>
  <c r="A69" i="44" l="1"/>
  <c r="E27" i="44"/>
  <c r="E28" i="44" s="1"/>
  <c r="C27" i="44"/>
  <c r="C28" i="44" s="1"/>
  <c r="B48" i="39"/>
  <c r="D40" i="39"/>
  <c r="E30" i="39"/>
  <c r="C13" i="39"/>
  <c r="C13" i="40" s="1"/>
  <c r="C13" i="44" s="1"/>
  <c r="C13" i="34" s="1"/>
  <c r="C11" i="39"/>
  <c r="F82" i="46"/>
  <c r="B69" i="44" l="1"/>
  <c r="C13" i="42"/>
  <c r="C13" i="43"/>
  <c r="C9" i="39"/>
  <c r="H96" i="46" l="1"/>
  <c r="H89" i="46"/>
  <c r="H82" i="46"/>
  <c r="D78" i="46"/>
  <c r="E94" i="46" s="1"/>
  <c r="F77" i="46"/>
  <c r="F74" i="46"/>
  <c r="F72" i="46"/>
  <c r="H41" i="46"/>
  <c r="H34" i="46"/>
  <c r="H27" i="46"/>
  <c r="E25" i="46"/>
  <c r="G24" i="46"/>
  <c r="D24" i="46"/>
  <c r="G19" i="46"/>
  <c r="C19" i="46"/>
  <c r="G14" i="46"/>
  <c r="D14" i="46"/>
  <c r="E13" i="46"/>
  <c r="E97" i="46" l="1"/>
  <c r="H16" i="38" s="1"/>
  <c r="H20" i="38"/>
  <c r="E39" i="46"/>
  <c r="C32" i="46"/>
  <c r="B70" i="46"/>
  <c r="C83" i="46" s="1"/>
  <c r="H24" i="46"/>
  <c r="E28" i="46" s="1"/>
  <c r="H16" i="39" s="1"/>
  <c r="E32" i="46"/>
  <c r="C39" i="46"/>
  <c r="C87" i="46"/>
  <c r="C94" i="46"/>
  <c r="B15" i="46"/>
  <c r="C28" i="46" s="1"/>
  <c r="F16" i="39" s="1"/>
  <c r="H79" i="46"/>
  <c r="E83" i="46" s="1"/>
  <c r="H16" i="40" s="1"/>
  <c r="E26" i="40" s="1"/>
  <c r="E27" i="40" s="1"/>
  <c r="E87" i="46"/>
  <c r="J96" i="38"/>
  <c r="D40" i="40"/>
  <c r="J97" i="38"/>
  <c r="F96" i="38"/>
  <c r="E31" i="38"/>
  <c r="E32" i="38" s="1"/>
  <c r="E34" i="38" s="1"/>
  <c r="E31" i="43"/>
  <c r="E32" i="43" s="1"/>
  <c r="E34" i="43" s="1"/>
  <c r="E31" i="42"/>
  <c r="E32" i="42" s="1"/>
  <c r="E34" i="42" s="1"/>
  <c r="E31" i="34"/>
  <c r="E32" i="34" s="1"/>
  <c r="E34" i="34" s="1"/>
  <c r="H52" i="39"/>
  <c r="H61" i="39" s="1"/>
  <c r="B69" i="39"/>
  <c r="H52" i="40"/>
  <c r="H61" i="40" s="1"/>
  <c r="B69" i="40"/>
  <c r="B70" i="44"/>
  <c r="B68" i="34"/>
  <c r="B70" i="34"/>
  <c r="B68" i="42"/>
  <c r="B70" i="42"/>
  <c r="B68" i="43"/>
  <c r="B70" i="43"/>
  <c r="B71" i="43"/>
  <c r="B69" i="38"/>
  <c r="B73" i="38"/>
  <c r="B74" i="38"/>
  <c r="H25" i="43"/>
  <c r="F25" i="43"/>
  <c r="H25" i="42"/>
  <c r="F25" i="42"/>
  <c r="F23" i="40"/>
  <c r="E30" i="40"/>
  <c r="E31" i="39"/>
  <c r="E32" i="39" s="1"/>
  <c r="E34" i="39" s="1"/>
  <c r="E31" i="40"/>
  <c r="E32" i="40" s="1"/>
  <c r="E34" i="40" s="1"/>
  <c r="G88" i="38"/>
  <c r="G89" i="38" s="1"/>
  <c r="G91" i="38"/>
  <c r="G90" i="38"/>
  <c r="D78" i="38"/>
  <c r="F91" i="38" s="1"/>
  <c r="F88" i="38"/>
  <c r="E32" i="44"/>
  <c r="E33" i="44" s="1"/>
  <c r="E35" i="44" s="1"/>
  <c r="E36" i="44" s="1"/>
  <c r="C41" i="44"/>
  <c r="A80" i="44" s="1"/>
  <c r="C80" i="44" s="1"/>
  <c r="E80" i="44" s="1"/>
  <c r="H50" i="44"/>
  <c r="H51" i="44"/>
  <c r="H59" i="44"/>
  <c r="H60" i="44"/>
  <c r="B71" i="44"/>
  <c r="A71" i="44"/>
  <c r="A70" i="44"/>
  <c r="H26" i="44"/>
  <c r="H27" i="44"/>
  <c r="F26" i="44"/>
  <c r="F27" i="44"/>
  <c r="C11" i="44"/>
  <c r="C9" i="44"/>
  <c r="B48" i="38"/>
  <c r="H52" i="38"/>
  <c r="H55" i="38"/>
  <c r="H56" i="38"/>
  <c r="B48" i="34"/>
  <c r="C40" i="34" s="1"/>
  <c r="C41" i="34" s="1"/>
  <c r="A83" i="34" s="1"/>
  <c r="H49" i="34"/>
  <c r="H50" i="34"/>
  <c r="B48" i="42"/>
  <c r="B48" i="43"/>
  <c r="C40" i="43" s="1"/>
  <c r="C40" i="39"/>
  <c r="C41" i="39" s="1"/>
  <c r="B48" i="40"/>
  <c r="C40" i="40" s="1"/>
  <c r="C11" i="38"/>
  <c r="C11" i="43"/>
  <c r="C11" i="42"/>
  <c r="C11" i="34"/>
  <c r="C11" i="40"/>
  <c r="E26" i="39"/>
  <c r="F26" i="39" s="1"/>
  <c r="F27" i="39" s="1"/>
  <c r="C26" i="39"/>
  <c r="H26" i="39" s="1"/>
  <c r="H27" i="39" s="1"/>
  <c r="C9" i="38"/>
  <c r="C9" i="43"/>
  <c r="C9" i="42"/>
  <c r="C9" i="34"/>
  <c r="C9" i="40"/>
  <c r="D93" i="38"/>
  <c r="D82" i="38"/>
  <c r="F95" i="38" s="1"/>
  <c r="D81" i="38"/>
  <c r="F94" i="38" s="1"/>
  <c r="D77" i="38"/>
  <c r="F90" i="38" s="1"/>
  <c r="D76" i="38"/>
  <c r="F89" i="38" s="1"/>
  <c r="A71" i="43"/>
  <c r="A70" i="43"/>
  <c r="A69" i="43"/>
  <c r="A68" i="43"/>
  <c r="H59" i="42"/>
  <c r="A71" i="42"/>
  <c r="A70" i="42"/>
  <c r="A69" i="42"/>
  <c r="A68" i="42"/>
  <c r="B71" i="34"/>
  <c r="H52" i="34"/>
  <c r="H53" i="38"/>
  <c r="H54" i="38"/>
  <c r="H57" i="38"/>
  <c r="H59" i="38"/>
  <c r="A73" i="38"/>
  <c r="A71" i="38"/>
  <c r="A74" i="38"/>
  <c r="A69" i="38"/>
  <c r="A68" i="34"/>
  <c r="H49" i="40"/>
  <c r="H50" i="40"/>
  <c r="H51" i="40"/>
  <c r="H53" i="40"/>
  <c r="H54" i="40"/>
  <c r="H55" i="40"/>
  <c r="H56" i="40"/>
  <c r="H57" i="40"/>
  <c r="H58" i="40"/>
  <c r="H59" i="40"/>
  <c r="B68" i="40"/>
  <c r="B70" i="40"/>
  <c r="A70" i="40"/>
  <c r="A69" i="40"/>
  <c r="A68" i="40"/>
  <c r="H25" i="40"/>
  <c r="F25" i="40"/>
  <c r="H49" i="39"/>
  <c r="H50" i="39"/>
  <c r="H51" i="39"/>
  <c r="H53" i="39"/>
  <c r="H54" i="39"/>
  <c r="H55" i="39"/>
  <c r="H56" i="39"/>
  <c r="H57" i="39"/>
  <c r="H58" i="39"/>
  <c r="H59" i="39"/>
  <c r="B68" i="39"/>
  <c r="B70" i="39"/>
  <c r="A70" i="39"/>
  <c r="A69" i="39"/>
  <c r="A68" i="39"/>
  <c r="H25" i="39"/>
  <c r="F25" i="39"/>
  <c r="H51" i="34"/>
  <c r="H55" i="34"/>
  <c r="H56" i="34"/>
  <c r="H59" i="34"/>
  <c r="A71" i="34"/>
  <c r="A70" i="34"/>
  <c r="A69" i="34"/>
  <c r="H25" i="34"/>
  <c r="F25" i="34"/>
  <c r="G43" i="39"/>
  <c r="D41" i="48" l="1"/>
  <c r="C42" i="48" s="1"/>
  <c r="D41" i="44"/>
  <c r="E98" i="46"/>
  <c r="E99" i="46"/>
  <c r="E27" i="39"/>
  <c r="A80" i="34"/>
  <c r="C80" i="34" s="1"/>
  <c r="E80" i="34" s="1"/>
  <c r="C83" i="34"/>
  <c r="E83" i="34" s="1"/>
  <c r="E35" i="39"/>
  <c r="E35" i="40"/>
  <c r="E90" i="46"/>
  <c r="H16" i="43" s="1"/>
  <c r="H20" i="43"/>
  <c r="C97" i="46"/>
  <c r="C98" i="46" s="1"/>
  <c r="F20" i="38"/>
  <c r="C90" i="46"/>
  <c r="F16" i="43" s="1"/>
  <c r="F20" i="43"/>
  <c r="B69" i="43" s="1"/>
  <c r="C84" i="46"/>
  <c r="F16" i="40"/>
  <c r="C26" i="40" s="1"/>
  <c r="E35" i="46"/>
  <c r="H16" i="34" s="1"/>
  <c r="H20" i="34"/>
  <c r="E42" i="46"/>
  <c r="H20" i="42"/>
  <c r="C42" i="46"/>
  <c r="F16" i="42" s="1"/>
  <c r="F20" i="42"/>
  <c r="C35" i="46"/>
  <c r="F16" i="34" s="1"/>
  <c r="F20" i="34"/>
  <c r="G44" i="44"/>
  <c r="B107" i="38"/>
  <c r="B110" i="38" s="1"/>
  <c r="E26" i="38"/>
  <c r="C40" i="38"/>
  <c r="C41" i="38" s="1"/>
  <c r="G44" i="38" s="1"/>
  <c r="C40" i="42"/>
  <c r="G43" i="42" s="1"/>
  <c r="C93" i="38"/>
  <c r="C96" i="38" s="1"/>
  <c r="C100" i="38" s="1"/>
  <c r="C101" i="38" s="1"/>
  <c r="J92" i="38"/>
  <c r="F28" i="44"/>
  <c r="G43" i="34"/>
  <c r="B71" i="42"/>
  <c r="E35" i="38"/>
  <c r="H88" i="38"/>
  <c r="H89" i="38" s="1"/>
  <c r="H90" i="38" s="1"/>
  <c r="H91" i="38" s="1"/>
  <c r="B71" i="38"/>
  <c r="H28" i="44"/>
  <c r="F26" i="40"/>
  <c r="F27" i="40" s="1"/>
  <c r="B67" i="39"/>
  <c r="B51" i="39"/>
  <c r="C42" i="39"/>
  <c r="G44" i="39"/>
  <c r="C27" i="39"/>
  <c r="C85" i="46"/>
  <c r="C41" i="43"/>
  <c r="A80" i="43" s="1"/>
  <c r="G43" i="43"/>
  <c r="C42" i="34"/>
  <c r="I91" i="38" s="1"/>
  <c r="G44" i="34"/>
  <c r="G43" i="40"/>
  <c r="C41" i="40"/>
  <c r="C42" i="44"/>
  <c r="C30" i="46"/>
  <c r="C29" i="46"/>
  <c r="E85" i="46"/>
  <c r="E84" i="46"/>
  <c r="E30" i="46"/>
  <c r="E29" i="46"/>
  <c r="B67" i="40"/>
  <c r="B51" i="40"/>
  <c r="H94" i="38"/>
  <c r="H95" i="38"/>
  <c r="C46" i="39" l="1"/>
  <c r="I95" i="38"/>
  <c r="J95" i="38" s="1"/>
  <c r="D43" i="48"/>
  <c r="G45" i="48"/>
  <c r="A83" i="48"/>
  <c r="C83" i="48" s="1"/>
  <c r="E83" i="48" s="1"/>
  <c r="G57" i="34"/>
  <c r="H57" i="34" s="1"/>
  <c r="A83" i="44"/>
  <c r="C83" i="44" s="1"/>
  <c r="E83" i="44" s="1"/>
  <c r="H58" i="44" s="1"/>
  <c r="H62" i="44" s="1"/>
  <c r="B68" i="44" s="1"/>
  <c r="D43" i="44"/>
  <c r="G58" i="34"/>
  <c r="H58" i="34" s="1"/>
  <c r="C42" i="38"/>
  <c r="G43" i="38"/>
  <c r="C91" i="46"/>
  <c r="C41" i="42"/>
  <c r="A83" i="42" s="1"/>
  <c r="C83" i="42" s="1"/>
  <c r="E83" i="42" s="1"/>
  <c r="G57" i="42" s="1"/>
  <c r="H57" i="42" s="1"/>
  <c r="E91" i="46"/>
  <c r="D100" i="38"/>
  <c r="E37" i="46"/>
  <c r="E92" i="46"/>
  <c r="C99" i="46"/>
  <c r="F16" i="38"/>
  <c r="C26" i="38" s="1"/>
  <c r="C27" i="38" s="1"/>
  <c r="A108" i="38"/>
  <c r="C108" i="38" s="1"/>
  <c r="E108" i="38" s="1"/>
  <c r="H58" i="38" s="1"/>
  <c r="H64" i="38" s="1"/>
  <c r="B68" i="38" s="1"/>
  <c r="G44" i="42"/>
  <c r="C43" i="46"/>
  <c r="C92" i="46"/>
  <c r="B79" i="43"/>
  <c r="B82" i="43" s="1"/>
  <c r="E26" i="43"/>
  <c r="H26" i="40"/>
  <c r="H27" i="40" s="1"/>
  <c r="C27" i="40"/>
  <c r="A79" i="43"/>
  <c r="A82" i="43" s="1"/>
  <c r="C26" i="43"/>
  <c r="H16" i="42"/>
  <c r="E43" i="46"/>
  <c r="E44" i="46"/>
  <c r="B79" i="34"/>
  <c r="B82" i="34" s="1"/>
  <c r="E26" i="34"/>
  <c r="E36" i="46"/>
  <c r="C37" i="46"/>
  <c r="C36" i="46"/>
  <c r="A79" i="42"/>
  <c r="A82" i="42" s="1"/>
  <c r="C26" i="42"/>
  <c r="C44" i="46"/>
  <c r="F26" i="38"/>
  <c r="F27" i="38" s="1"/>
  <c r="E27" i="38"/>
  <c r="B51" i="44"/>
  <c r="C80" i="43"/>
  <c r="E80" i="43" s="1"/>
  <c r="G58" i="43" s="1"/>
  <c r="H58" i="43" s="1"/>
  <c r="A83" i="43"/>
  <c r="C83" i="43" s="1"/>
  <c r="E83" i="43" s="1"/>
  <c r="G57" i="43" s="1"/>
  <c r="H57" i="43" s="1"/>
  <c r="B50" i="39"/>
  <c r="B58" i="39" s="1"/>
  <c r="B60" i="39" s="1"/>
  <c r="F82" i="38" s="1"/>
  <c r="B66" i="39"/>
  <c r="B72" i="39" s="1"/>
  <c r="E63" i="39" s="1"/>
  <c r="G45" i="44"/>
  <c r="B70" i="38"/>
  <c r="D101" i="38"/>
  <c r="C42" i="40"/>
  <c r="I94" i="38" s="1"/>
  <c r="G44" i="40"/>
  <c r="B66" i="34"/>
  <c r="C46" i="34"/>
  <c r="C43" i="34"/>
  <c r="B50" i="34"/>
  <c r="G44" i="43"/>
  <c r="C42" i="43"/>
  <c r="I89" i="38" s="1"/>
  <c r="C47" i="44"/>
  <c r="C43" i="38" l="1"/>
  <c r="I88" i="38"/>
  <c r="J88" i="38" s="1"/>
  <c r="J89" i="38" s="1"/>
  <c r="J90" i="38" s="1"/>
  <c r="J91" i="38" s="1"/>
  <c r="H61" i="34"/>
  <c r="B67" i="34" s="1"/>
  <c r="B50" i="38"/>
  <c r="B51" i="38"/>
  <c r="C46" i="38"/>
  <c r="B67" i="38"/>
  <c r="B75" i="38" s="1"/>
  <c r="I52" i="38" s="1"/>
  <c r="C42" i="42"/>
  <c r="I90" i="38" s="1"/>
  <c r="A80" i="42"/>
  <c r="C80" i="42" s="1"/>
  <c r="E80" i="42" s="1"/>
  <c r="G58" i="42" s="1"/>
  <c r="H58" i="42" s="1"/>
  <c r="C46" i="42"/>
  <c r="H26" i="38"/>
  <c r="H27" i="38" s="1"/>
  <c r="C43" i="42"/>
  <c r="A107" i="38"/>
  <c r="A110" i="38" s="1"/>
  <c r="E27" i="43"/>
  <c r="F26" i="43"/>
  <c r="F27" i="43" s="1"/>
  <c r="H26" i="43"/>
  <c r="H27" i="43" s="1"/>
  <c r="C27" i="43"/>
  <c r="E27" i="34"/>
  <c r="F26" i="34"/>
  <c r="F27" i="34" s="1"/>
  <c r="B79" i="42"/>
  <c r="B82" i="42" s="1"/>
  <c r="E26" i="42"/>
  <c r="B69" i="42"/>
  <c r="B69" i="34"/>
  <c r="B73" i="34" s="1"/>
  <c r="D65" i="34" s="1"/>
  <c r="A79" i="34"/>
  <c r="A82" i="34" s="1"/>
  <c r="C26" i="34"/>
  <c r="H26" i="42"/>
  <c r="H27" i="42" s="1"/>
  <c r="C27" i="42"/>
  <c r="G69" i="39"/>
  <c r="H69" i="39" s="1"/>
  <c r="B51" i="34"/>
  <c r="B52" i="44"/>
  <c r="B59" i="44" s="1"/>
  <c r="B58" i="38"/>
  <c r="B60" i="38" s="1"/>
  <c r="F75" i="38" s="1"/>
  <c r="H61" i="43"/>
  <c r="B67" i="43" s="1"/>
  <c r="C72" i="39"/>
  <c r="G70" i="39" s="1"/>
  <c r="B67" i="44"/>
  <c r="B73" i="44" s="1"/>
  <c r="H61" i="42"/>
  <c r="I52" i="39"/>
  <c r="D65" i="39"/>
  <c r="B66" i="43"/>
  <c r="C43" i="43"/>
  <c r="C46" i="43"/>
  <c r="B50" i="43"/>
  <c r="C46" i="40"/>
  <c r="J94" i="38"/>
  <c r="J98" i="38" s="1"/>
  <c r="J100" i="38" s="1"/>
  <c r="B50" i="40"/>
  <c r="B58" i="40" s="1"/>
  <c r="B60" i="40" s="1"/>
  <c r="B66" i="40"/>
  <c r="B72" i="40" s="1"/>
  <c r="B61" i="44" l="1"/>
  <c r="F80" i="38" s="1"/>
  <c r="C73" i="44"/>
  <c r="C80" i="38" s="1"/>
  <c r="B50" i="42"/>
  <c r="B66" i="42"/>
  <c r="C82" i="38"/>
  <c r="B51" i="43"/>
  <c r="B58" i="43" s="1"/>
  <c r="B60" i="43" s="1"/>
  <c r="F26" i="42"/>
  <c r="F27" i="42" s="1"/>
  <c r="E27" i="42"/>
  <c r="B58" i="34"/>
  <c r="B60" i="34" s="1"/>
  <c r="G70" i="34" s="1"/>
  <c r="H70" i="34" s="1"/>
  <c r="I52" i="34"/>
  <c r="C27" i="34"/>
  <c r="H26" i="34"/>
  <c r="H27" i="34" s="1"/>
  <c r="E63" i="34"/>
  <c r="H71" i="38"/>
  <c r="I71" i="38" s="1"/>
  <c r="C73" i="34"/>
  <c r="G71" i="34" s="1"/>
  <c r="H71" i="34" s="1"/>
  <c r="D66" i="44"/>
  <c r="G70" i="44"/>
  <c r="H70" i="44" s="1"/>
  <c r="E64" i="44"/>
  <c r="C75" i="38"/>
  <c r="H72" i="38" s="1"/>
  <c r="I72" i="38" s="1"/>
  <c r="I53" i="44"/>
  <c r="B67" i="42"/>
  <c r="B51" i="42"/>
  <c r="C78" i="38"/>
  <c r="G69" i="40"/>
  <c r="H69" i="40" s="1"/>
  <c r="F81" i="38"/>
  <c r="B73" i="43"/>
  <c r="I52" i="43" s="1"/>
  <c r="C72" i="40"/>
  <c r="D65" i="40"/>
  <c r="E63" i="40"/>
  <c r="I52" i="40"/>
  <c r="G71" i="44"/>
  <c r="H71" i="44" s="1"/>
  <c r="H70" i="39"/>
  <c r="G71" i="39"/>
  <c r="H71" i="39" s="1"/>
  <c r="B58" i="42" l="1"/>
  <c r="B60" i="42" s="1"/>
  <c r="G70" i="42" s="1"/>
  <c r="H70" i="42" s="1"/>
  <c r="B73" i="42"/>
  <c r="D65" i="42" s="1"/>
  <c r="F78" i="38"/>
  <c r="G72" i="34"/>
  <c r="H72" i="34" s="1"/>
  <c r="H73" i="38"/>
  <c r="I73" i="38" s="1"/>
  <c r="F77" i="38"/>
  <c r="F76" i="38"/>
  <c r="G70" i="43"/>
  <c r="H70" i="43" s="1"/>
  <c r="C81" i="38"/>
  <c r="G70" i="40"/>
  <c r="H70" i="40" s="1"/>
  <c r="E63" i="43"/>
  <c r="C73" i="43"/>
  <c r="D65" i="43"/>
  <c r="G72" i="44"/>
  <c r="H72" i="44" s="1"/>
  <c r="E63" i="42" l="1"/>
  <c r="I52" i="42"/>
  <c r="C73" i="42"/>
  <c r="C77" i="38" s="1"/>
  <c r="F83" i="38"/>
  <c r="G83" i="38" s="1"/>
  <c r="G71" i="40"/>
  <c r="H71" i="40" s="1"/>
  <c r="G71" i="43"/>
  <c r="C76" i="38"/>
  <c r="C83" i="38" l="1"/>
  <c r="A83" i="38" s="1"/>
  <c r="I83" i="38" s="1"/>
  <c r="G71" i="42"/>
  <c r="H71" i="42" s="1"/>
  <c r="G72" i="43"/>
  <c r="H72" i="43" s="1"/>
  <c r="H71" i="43"/>
  <c r="G72" i="42" l="1"/>
  <c r="H72" i="42" s="1"/>
  <c r="I74" i="38"/>
</calcChain>
</file>

<file path=xl/comments1.xml><?xml version="1.0" encoding="utf-8"?>
<comments xmlns="http://schemas.openxmlformats.org/spreadsheetml/2006/main">
  <authors>
    <author>Ventas-Empresarial</author>
  </authors>
  <commentList>
    <comment ref="F31" authorId="0">
      <text>
        <r>
          <rPr>
            <b/>
            <sz val="9"/>
            <color indexed="81"/>
            <rFont val="Tahoma"/>
            <family val="2"/>
          </rPr>
          <t>Ventas-Empresarial:</t>
        </r>
        <r>
          <rPr>
            <sz val="9"/>
            <color indexed="81"/>
            <rFont val="Tahoma"/>
            <family val="2"/>
          </rPr>
          <t xml:space="preserve">
confirmo george
</t>
        </r>
      </text>
    </comment>
  </commentList>
</comments>
</file>

<file path=xl/comments2.xml><?xml version="1.0" encoding="utf-8"?>
<comments xmlns="http://schemas.openxmlformats.org/spreadsheetml/2006/main">
  <authors>
    <author>Ventas-Empresarial</author>
  </authors>
  <commentList>
    <comment ref="F31" authorId="0">
      <text>
        <r>
          <rPr>
            <b/>
            <sz val="9"/>
            <color indexed="81"/>
            <rFont val="Tahoma"/>
            <family val="2"/>
          </rPr>
          <t>Ventas-Empresarial:</t>
        </r>
        <r>
          <rPr>
            <sz val="9"/>
            <color indexed="81"/>
            <rFont val="Tahoma"/>
            <family val="2"/>
          </rPr>
          <t xml:space="preserve">
confirmo george
</t>
        </r>
      </text>
    </comment>
  </commentList>
</comments>
</file>

<file path=xl/sharedStrings.xml><?xml version="1.0" encoding="utf-8"?>
<sst xmlns="http://schemas.openxmlformats.org/spreadsheetml/2006/main" count="961" uniqueCount="196">
  <si>
    <t>Observaciones</t>
  </si>
  <si>
    <t xml:space="preserve">Material </t>
  </si>
  <si>
    <t>Presupuesto</t>
  </si>
  <si>
    <t>Elabora</t>
  </si>
  <si>
    <t>Lourdes Velasco</t>
  </si>
  <si>
    <t>Tamaño extendido</t>
  </si>
  <si>
    <t>Fecha</t>
  </si>
  <si>
    <t>ODT</t>
  </si>
  <si>
    <t>Cliente</t>
  </si>
  <si>
    <t xml:space="preserve">Grafico </t>
  </si>
  <si>
    <t>Proyecto</t>
  </si>
  <si>
    <t>Descripción</t>
  </si>
  <si>
    <t>Impresión</t>
  </si>
  <si>
    <t>Papel:</t>
  </si>
  <si>
    <t xml:space="preserve">Color </t>
  </si>
  <si>
    <t>Medida pliego</t>
  </si>
  <si>
    <t xml:space="preserve">X </t>
  </si>
  <si>
    <t>Tamaño Extendido</t>
  </si>
  <si>
    <t xml:space="preserve">Salen por lado </t>
  </si>
  <si>
    <t xml:space="preserve">Tamaños por pliego </t>
  </si>
  <si>
    <t>* calculo manual</t>
  </si>
  <si>
    <t>Proveedor:</t>
  </si>
  <si>
    <t>Precio Lista</t>
  </si>
  <si>
    <t>Monto desc.</t>
  </si>
  <si>
    <t xml:space="preserve">Monto descuento </t>
  </si>
  <si>
    <t>Costo  a Historias en Papel</t>
  </si>
  <si>
    <t>Tabla de suaje</t>
  </si>
  <si>
    <t>Original</t>
  </si>
  <si>
    <t>Copia</t>
  </si>
  <si>
    <t>costo de compra</t>
  </si>
  <si>
    <t>precio de venta</t>
  </si>
  <si>
    <t>Hot stamping</t>
  </si>
  <si>
    <t>Nota p/offset</t>
  </si>
  <si>
    <t xml:space="preserve">500 piezas siempre de sobrante para correr, </t>
  </si>
  <si>
    <t>Tamaños por pliego</t>
  </si>
  <si>
    <t>* manual</t>
  </si>
  <si>
    <t xml:space="preserve">aun cuando sean menos de 100 tiros. </t>
  </si>
  <si>
    <t>Para correr</t>
  </si>
  <si>
    <t xml:space="preserve">Tamaños requeridos </t>
  </si>
  <si>
    <t>Formato impresión</t>
  </si>
  <si>
    <t xml:space="preserve">Tamaños a correr </t>
  </si>
  <si>
    <t>Salen por tamaño</t>
  </si>
  <si>
    <t>Pliegos Requeridos</t>
  </si>
  <si>
    <t>Cientos a imprimir</t>
  </si>
  <si>
    <t>Millares a imprimir</t>
  </si>
  <si>
    <t>Cant. Pzas.</t>
  </si>
  <si>
    <t>Tamaños en Total</t>
  </si>
  <si>
    <t>tintas</t>
  </si>
  <si>
    <t>millares a imp</t>
  </si>
  <si>
    <t>concepto</t>
  </si>
  <si>
    <t>$ Millar</t>
  </si>
  <si>
    <t>total</t>
  </si>
  <si>
    <t xml:space="preserve">Costos </t>
  </si>
  <si>
    <t>laminas</t>
  </si>
  <si>
    <t>Papel</t>
  </si>
  <si>
    <t>pegado</t>
  </si>
  <si>
    <t xml:space="preserve">Colocar liston </t>
  </si>
  <si>
    <t>Partes Adiconales</t>
  </si>
  <si>
    <t>Total</t>
  </si>
  <si>
    <t>Laminado</t>
  </si>
  <si>
    <t xml:space="preserve">Producto </t>
  </si>
  <si>
    <t>costo unitario</t>
  </si>
  <si>
    <t xml:space="preserve">Costo proceso </t>
  </si>
  <si>
    <t xml:space="preserve">Porcentaje Despacho </t>
  </si>
  <si>
    <t>Tamaño Final</t>
  </si>
  <si>
    <t>PRECIO DE VENTA FINAL</t>
  </si>
  <si>
    <t>Porcentaje Final</t>
  </si>
  <si>
    <t xml:space="preserve">Presentación </t>
  </si>
  <si>
    <t xml:space="preserve">Importe total </t>
  </si>
  <si>
    <t xml:space="preserve">Unitario </t>
  </si>
  <si>
    <t>Cantidad a comprar</t>
  </si>
  <si>
    <t>Precio</t>
  </si>
  <si>
    <t xml:space="preserve">Precio por pza. </t>
  </si>
  <si>
    <t>Costo</t>
  </si>
  <si>
    <t>Importe de la compra</t>
  </si>
  <si>
    <t>Precio final</t>
  </si>
  <si>
    <t>Utilidad</t>
  </si>
  <si>
    <t>Total Piezas</t>
  </si>
  <si>
    <t>Tinta F</t>
  </si>
  <si>
    <t>arreglo suaje</t>
  </si>
  <si>
    <t>suajado</t>
  </si>
  <si>
    <t>Urgencia</t>
  </si>
  <si>
    <t>X</t>
  </si>
  <si>
    <t>por tamaño</t>
  </si>
  <si>
    <t>Tinta MET</t>
  </si>
  <si>
    <t>Placas</t>
  </si>
  <si>
    <t>Mensajeria</t>
  </si>
  <si>
    <t>Listón</t>
  </si>
  <si>
    <t>Tamaño extendido papel</t>
  </si>
  <si>
    <t>LUMEN</t>
  </si>
  <si>
    <t>Imp Fte</t>
  </si>
  <si>
    <t>Imp Vta</t>
  </si>
  <si>
    <t>Cantidad de piezas a imp.</t>
  </si>
  <si>
    <t xml:space="preserve">Cajón </t>
  </si>
  <si>
    <t>cartoné</t>
  </si>
  <si>
    <t>gris</t>
  </si>
  <si>
    <t>Arreglo HS</t>
  </si>
  <si>
    <t>Encuadernación</t>
  </si>
  <si>
    <t>Imán</t>
  </si>
  <si>
    <t>corte</t>
  </si>
  <si>
    <t>TOTAL</t>
  </si>
  <si>
    <t>Area</t>
  </si>
  <si>
    <t>area + cantidad de hojas</t>
  </si>
  <si>
    <t>arreglo</t>
  </si>
  <si>
    <t>total a pagar</t>
  </si>
  <si>
    <t>Cartón Gris</t>
  </si>
  <si>
    <t>empalme</t>
  </si>
  <si>
    <t>Empaque</t>
  </si>
  <si>
    <t>Comisiones</t>
  </si>
  <si>
    <t>Suajado</t>
  </si>
  <si>
    <t>mt</t>
  </si>
  <si>
    <t>Precio por Paquete</t>
  </si>
  <si>
    <t>* MT</t>
  </si>
  <si>
    <t>Colocado</t>
  </si>
  <si>
    <t>Maquila Armado</t>
  </si>
  <si>
    <t>TT Costo</t>
  </si>
  <si>
    <t>TT Utilidad</t>
  </si>
  <si>
    <t>Unitario</t>
  </si>
  <si>
    <t>Venta</t>
  </si>
  <si>
    <t>Cartera</t>
  </si>
  <si>
    <t>Envio</t>
  </si>
  <si>
    <t>Pruebas de color</t>
  </si>
  <si>
    <t xml:space="preserve">minimo </t>
  </si>
  <si>
    <t>cartón caja</t>
  </si>
  <si>
    <t>cartón cartera</t>
  </si>
  <si>
    <t>forro caja EXT</t>
  </si>
  <si>
    <t>forro cartera</t>
  </si>
  <si>
    <t>Arreglo Grabado</t>
  </si>
  <si>
    <t>Grabado</t>
  </si>
  <si>
    <t>Tabla de suaje + Placa</t>
  </si>
  <si>
    <t>Material</t>
  </si>
  <si>
    <t>$ compra dcto</t>
  </si>
  <si>
    <t>Gris #4</t>
  </si>
  <si>
    <t>TT</t>
  </si>
  <si>
    <t>Pliegos</t>
  </si>
  <si>
    <t>#4</t>
  </si>
  <si>
    <t>Tablas</t>
  </si>
  <si>
    <t xml:space="preserve">Costo Basicos </t>
  </si>
  <si>
    <t>Fecha:</t>
  </si>
  <si>
    <t>Cliente:</t>
  </si>
  <si>
    <t>Proyecto:</t>
  </si>
  <si>
    <t>Cantidad:</t>
  </si>
  <si>
    <t>piezas</t>
  </si>
  <si>
    <t>merma</t>
  </si>
  <si>
    <t>Base(frente)</t>
  </si>
  <si>
    <t>Profundidad</t>
  </si>
  <si>
    <t>Altura</t>
  </si>
  <si>
    <t>TT Horizontal</t>
  </si>
  <si>
    <t>TT Vertical</t>
  </si>
  <si>
    <t>CARTÓN</t>
  </si>
  <si>
    <t>TT Pliegos</t>
  </si>
  <si>
    <t>Empalme Interior</t>
  </si>
  <si>
    <t>Forro Exterior</t>
  </si>
  <si>
    <t>Lado 1</t>
  </si>
  <si>
    <t>Lado 2</t>
  </si>
  <si>
    <t>Medida Tapa</t>
  </si>
  <si>
    <t xml:space="preserve">Cartón </t>
  </si>
  <si>
    <t>Guarda Interior Cartera</t>
  </si>
  <si>
    <t>Forro Exterior Cartera</t>
  </si>
  <si>
    <t>Marca</t>
  </si>
  <si>
    <t>CAJA</t>
  </si>
  <si>
    <t>Medida Caja</t>
  </si>
  <si>
    <t>Imanes</t>
  </si>
  <si>
    <t>plata</t>
  </si>
  <si>
    <t>Iman</t>
  </si>
  <si>
    <t>Espuma</t>
  </si>
  <si>
    <t>EMPALME</t>
  </si>
  <si>
    <t>LAMINADO MATE</t>
  </si>
  <si>
    <t>EMPALME caja INT</t>
  </si>
  <si>
    <t>Empalme</t>
  </si>
  <si>
    <t>LAMINADOS7 BARNIZ UV/ EMPALMES</t>
  </si>
  <si>
    <t>falta  merma</t>
  </si>
  <si>
    <t>forro cartera guarda</t>
  </si>
  <si>
    <t xml:space="preserve">tapa con imán para cierre </t>
  </si>
  <si>
    <t>Gris</t>
  </si>
  <si>
    <t>forrado en papel encuadernación</t>
  </si>
  <si>
    <t>21 de septiembre de 2017.</t>
  </si>
  <si>
    <t>Nespresso</t>
  </si>
  <si>
    <t>Rainbow Villatoro</t>
  </si>
  <si>
    <t>Negro</t>
  </si>
  <si>
    <t>Espuma 3 cm.</t>
  </si>
  <si>
    <t>Espuma 1 cm.</t>
  </si>
  <si>
    <t>tamaño extendido 38.6 X 32.5 cm.</t>
  </si>
  <si>
    <t>tamaño extendido 34 X 23.1 cm.</t>
  </si>
  <si>
    <t>tamaño extendido 22.6 X 16.5 cm.</t>
  </si>
  <si>
    <t xml:space="preserve">Caja Kit Presentación </t>
  </si>
  <si>
    <t xml:space="preserve">tamaño final 22.6 X 16.5 X 8 cm. </t>
  </si>
  <si>
    <t xml:space="preserve">hot stamping 1 cara frente + 2 tintas interior serigrafía </t>
  </si>
  <si>
    <t>con espuma suajada para sujetar accesorios</t>
  </si>
  <si>
    <t>Villatoro</t>
  </si>
  <si>
    <t>según muestra entregada</t>
  </si>
  <si>
    <t>arreglo Maq</t>
  </si>
  <si>
    <t>HS</t>
  </si>
  <si>
    <t>espuma base 1</t>
  </si>
  <si>
    <t>espuma base 3</t>
  </si>
  <si>
    <t>PU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</si>
</sst>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0.0"/>
  </numFmts>
  <fonts count="3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entury Gothic"/>
      <family val="2"/>
    </font>
    <font>
      <b/>
      <sz val="14"/>
      <color theme="3" tint="-0.499984740745262"/>
      <name val="Century Gothic"/>
      <family val="2"/>
    </font>
    <font>
      <sz val="9"/>
      <name val="Century Gothic"/>
      <family val="2"/>
    </font>
    <font>
      <b/>
      <sz val="9"/>
      <name val="Century Gothic"/>
      <family val="2"/>
    </font>
    <font>
      <b/>
      <sz val="9"/>
      <color theme="1"/>
      <name val="Century Gothic"/>
      <family val="2"/>
    </font>
    <font>
      <b/>
      <sz val="10"/>
      <color theme="1"/>
      <name val="Century Gothic"/>
      <family val="2"/>
    </font>
    <font>
      <sz val="9"/>
      <color rgb="FFFF0000"/>
      <name val="Century Gothic"/>
      <family val="2"/>
    </font>
    <font>
      <i/>
      <sz val="9"/>
      <name val="Century Gothic"/>
      <family val="2"/>
    </font>
    <font>
      <sz val="11"/>
      <color theme="1"/>
      <name val="Century Gothic"/>
      <family val="2"/>
    </font>
    <font>
      <b/>
      <sz val="9"/>
      <color rgb="FFFF0000"/>
      <name val="Century Gothic"/>
      <family val="2"/>
    </font>
    <font>
      <sz val="8"/>
      <color theme="1"/>
      <name val="Century Gothic"/>
      <family val="2"/>
    </font>
    <font>
      <sz val="12"/>
      <color indexed="10"/>
      <name val="Calibri"/>
      <family val="2"/>
    </font>
    <font>
      <b/>
      <sz val="12"/>
      <color indexed="52"/>
      <name val="Calibri"/>
      <family val="2"/>
    </font>
    <font>
      <b/>
      <sz val="12"/>
      <color indexed="9"/>
      <name val="Calibri"/>
      <family val="2"/>
    </font>
    <font>
      <sz val="12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i/>
      <sz val="12"/>
      <color indexed="23"/>
      <name val="Calibri"/>
      <family val="2"/>
    </font>
    <font>
      <sz val="10"/>
      <name val="Arial"/>
      <family val="2"/>
    </font>
    <font>
      <b/>
      <sz val="8"/>
      <color rgb="FFFF0000"/>
      <name val="Century Gothic"/>
      <family val="2"/>
    </font>
    <font>
      <sz val="8"/>
      <color rgb="FFFF0000"/>
      <name val="Century Gothic"/>
      <family val="2"/>
    </font>
    <font>
      <b/>
      <sz val="9"/>
      <color theme="0"/>
      <name val="Century Gothic"/>
      <family val="2"/>
    </font>
    <font>
      <b/>
      <sz val="11"/>
      <color theme="1"/>
      <name val="Calibri"/>
      <family val="2"/>
      <scheme val="minor"/>
    </font>
    <font>
      <sz val="10"/>
      <color theme="1"/>
      <name val="Century Gothic"/>
      <family val="2"/>
    </font>
    <font>
      <b/>
      <sz val="12"/>
      <color theme="1"/>
      <name val="Century Gothic"/>
      <family val="2"/>
    </font>
    <font>
      <b/>
      <sz val="11"/>
      <color theme="1"/>
      <name val="Century Gothic"/>
      <family val="2"/>
    </font>
    <font>
      <b/>
      <sz val="16"/>
      <color theme="1"/>
      <name val="Century Gothic"/>
      <family val="2"/>
    </font>
    <font>
      <sz val="9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4"/>
      <name val="Century Gothic"/>
      <family val="2"/>
    </font>
    <font>
      <b/>
      <sz val="10.5"/>
      <name val="Century Gothic"/>
      <family val="2"/>
    </font>
    <font>
      <sz val="10"/>
      <name val="Century Gothic"/>
      <family val="2"/>
    </font>
  </fonts>
  <fills count="11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43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6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14" fillId="4" borderId="16" applyNumberFormat="0" applyAlignment="0" applyProtection="0"/>
    <xf numFmtId="0" fontId="15" fillId="5" borderId="17" applyNumberFormat="0" applyAlignment="0" applyProtection="0"/>
    <xf numFmtId="0" fontId="16" fillId="6" borderId="0" applyNumberFormat="0" applyBorder="0" applyAlignment="0" applyProtection="0"/>
    <xf numFmtId="0" fontId="17" fillId="0" borderId="18" applyNumberFormat="0" applyFill="0" applyAlignment="0" applyProtection="0"/>
    <xf numFmtId="0" fontId="18" fillId="0" borderId="19" applyNumberFormat="0" applyFill="0" applyAlignment="0" applyProtection="0"/>
    <xf numFmtId="0" fontId="19" fillId="0" borderId="20" applyNumberFormat="0" applyFill="0" applyAlignment="0" applyProtection="0"/>
    <xf numFmtId="0" fontId="20" fillId="0" borderId="0" applyNumberFormat="0" applyFill="0" applyBorder="0" applyAlignment="0" applyProtection="0"/>
    <xf numFmtId="0" fontId="21" fillId="0" borderId="0"/>
    <xf numFmtId="0" fontId="21" fillId="7" borderId="21" applyNumberFormat="0" applyFont="0" applyAlignment="0" applyProtection="0"/>
    <xf numFmtId="44" fontId="21" fillId="0" borderId="0" applyFont="0" applyFill="0" applyBorder="0" applyAlignment="0" applyProtection="0"/>
    <xf numFmtId="2" fontId="21" fillId="0" borderId="0"/>
    <xf numFmtId="0" fontId="21" fillId="0" borderId="0"/>
  </cellStyleXfs>
  <cellXfs count="137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2" fillId="0" borderId="4" xfId="0" applyFont="1" applyBorder="1"/>
    <xf numFmtId="0" fontId="2" fillId="0" borderId="0" xfId="0" applyFont="1" applyBorder="1"/>
    <xf numFmtId="0" fontId="2" fillId="0" borderId="5" xfId="0" applyFont="1" applyBorder="1"/>
    <xf numFmtId="0" fontId="5" fillId="0" borderId="0" xfId="0" applyFont="1" applyBorder="1"/>
    <xf numFmtId="0" fontId="4" fillId="0" borderId="0" xfId="0" applyFont="1" applyBorder="1" applyAlignment="1">
      <alignment horizontal="center"/>
    </xf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2" fontId="4" fillId="2" borderId="0" xfId="0" applyNumberFormat="1" applyFont="1" applyFill="1" applyBorder="1" applyAlignment="1">
      <alignment horizontal="left"/>
    </xf>
    <xf numFmtId="0" fontId="2" fillId="2" borderId="0" xfId="0" applyFont="1" applyFill="1"/>
    <xf numFmtId="2" fontId="5" fillId="2" borderId="0" xfId="0" applyNumberFormat="1" applyFont="1" applyFill="1" applyBorder="1" applyAlignment="1">
      <alignment horizontal="left"/>
    </xf>
    <xf numFmtId="2" fontId="4" fillId="2" borderId="0" xfId="0" applyNumberFormat="1" applyFont="1" applyFill="1"/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2" fontId="4" fillId="0" borderId="0" xfId="0" applyNumberFormat="1" applyFont="1" applyAlignment="1">
      <alignment horizontal="center"/>
    </xf>
    <xf numFmtId="1" fontId="5" fillId="0" borderId="0" xfId="0" applyNumberFormat="1" applyFont="1" applyAlignment="1">
      <alignment horizontal="center"/>
    </xf>
    <xf numFmtId="2" fontId="5" fillId="0" borderId="0" xfId="0" applyNumberFormat="1" applyFont="1" applyAlignment="1">
      <alignment horizontal="center"/>
    </xf>
    <xf numFmtId="164" fontId="6" fillId="0" borderId="0" xfId="0" applyNumberFormat="1" applyFont="1"/>
    <xf numFmtId="1" fontId="4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1" fontId="2" fillId="2" borderId="10" xfId="0" applyNumberFormat="1" applyFont="1" applyFill="1" applyBorder="1" applyAlignment="1">
      <alignment horizontal="center"/>
    </xf>
    <xf numFmtId="164" fontId="2" fillId="0" borderId="0" xfId="0" applyNumberFormat="1" applyFont="1" applyAlignment="1"/>
    <xf numFmtId="0" fontId="2" fillId="0" borderId="0" xfId="0" applyFont="1" applyAlignment="1"/>
    <xf numFmtId="0" fontId="2" fillId="2" borderId="10" xfId="0" applyFont="1" applyFill="1" applyBorder="1" applyAlignment="1">
      <alignment horizontal="center"/>
    </xf>
    <xf numFmtId="2" fontId="8" fillId="0" borderId="0" xfId="0" applyNumberFormat="1" applyFont="1" applyAlignment="1"/>
    <xf numFmtId="0" fontId="2" fillId="0" borderId="0" xfId="0" applyFont="1" applyAlignment="1">
      <alignment horizontal="right"/>
    </xf>
    <xf numFmtId="44" fontId="4" fillId="2" borderId="0" xfId="1" applyFont="1" applyFill="1" applyAlignment="1">
      <alignment horizontal="center"/>
    </xf>
    <xf numFmtId="9" fontId="2" fillId="0" borderId="0" xfId="2" applyFont="1" applyAlignment="1">
      <alignment horizontal="center"/>
    </xf>
    <xf numFmtId="0" fontId="4" fillId="0" borderId="0" xfId="0" applyFont="1" applyAlignment="1">
      <alignment horizontal="right"/>
    </xf>
    <xf numFmtId="44" fontId="5" fillId="0" borderId="0" xfId="1" applyFont="1" applyAlignment="1">
      <alignment horizontal="center"/>
    </xf>
    <xf numFmtId="0" fontId="2" fillId="0" borderId="4" xfId="0" applyFont="1" applyBorder="1" applyAlignment="1">
      <alignment horizontal="center"/>
    </xf>
    <xf numFmtId="44" fontId="4" fillId="0" borderId="0" xfId="1" applyFont="1" applyAlignment="1">
      <alignment horizontal="center"/>
    </xf>
    <xf numFmtId="1" fontId="4" fillId="2" borderId="0" xfId="0" applyNumberFormat="1" applyFont="1" applyFill="1" applyAlignment="1">
      <alignment horizontal="center"/>
    </xf>
    <xf numFmtId="0" fontId="8" fillId="0" borderId="0" xfId="0" applyFont="1"/>
    <xf numFmtId="0" fontId="5" fillId="2" borderId="0" xfId="0" applyFont="1" applyFill="1" applyAlignment="1">
      <alignment horizontal="center"/>
    </xf>
    <xf numFmtId="1" fontId="9" fillId="0" borderId="0" xfId="0" applyNumberFormat="1" applyFont="1" applyAlignment="1">
      <alignment horizontal="center"/>
    </xf>
    <xf numFmtId="0" fontId="5" fillId="0" borderId="12" xfId="0" applyFont="1" applyBorder="1"/>
    <xf numFmtId="0" fontId="4" fillId="0" borderId="12" xfId="0" applyFont="1" applyBorder="1"/>
    <xf numFmtId="2" fontId="4" fillId="0" borderId="12" xfId="0" applyNumberFormat="1" applyFont="1" applyBorder="1" applyAlignment="1">
      <alignment horizontal="center"/>
    </xf>
    <xf numFmtId="0" fontId="10" fillId="0" borderId="0" xfId="0" applyFont="1"/>
    <xf numFmtId="0" fontId="2" fillId="0" borderId="12" xfId="0" applyFont="1" applyBorder="1"/>
    <xf numFmtId="2" fontId="5" fillId="0" borderId="12" xfId="0" applyNumberFormat="1" applyFont="1" applyBorder="1" applyAlignment="1">
      <alignment horizontal="center"/>
    </xf>
    <xf numFmtId="2" fontId="5" fillId="0" borderId="0" xfId="0" applyNumberFormat="1" applyFont="1" applyBorder="1" applyAlignment="1">
      <alignment horizontal="center"/>
    </xf>
    <xf numFmtId="0" fontId="2" fillId="0" borderId="14" xfId="0" applyFont="1" applyBorder="1"/>
    <xf numFmtId="0" fontId="2" fillId="0" borderId="15" xfId="0" applyFont="1" applyBorder="1"/>
    <xf numFmtId="0" fontId="6" fillId="0" borderId="0" xfId="0" applyFont="1" applyAlignment="1">
      <alignment horizontal="right"/>
    </xf>
    <xf numFmtId="9" fontId="2" fillId="0" borderId="0" xfId="0" applyNumberFormat="1" applyFont="1"/>
    <xf numFmtId="2" fontId="4" fillId="0" borderId="0" xfId="0" applyNumberFormat="1" applyFont="1" applyAlignment="1">
      <alignment horizontal="left"/>
    </xf>
    <xf numFmtId="0" fontId="5" fillId="0" borderId="0" xfId="0" applyFont="1" applyAlignment="1">
      <alignment horizontal="right"/>
    </xf>
    <xf numFmtId="2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left"/>
    </xf>
    <xf numFmtId="2" fontId="5" fillId="3" borderId="0" xfId="0" applyNumberFormat="1" applyFont="1" applyFill="1" applyAlignment="1">
      <alignment horizontal="center"/>
    </xf>
    <xf numFmtId="2" fontId="6" fillId="0" borderId="0" xfId="0" applyNumberFormat="1" applyFont="1" applyAlignment="1">
      <alignment horizontal="center"/>
    </xf>
    <xf numFmtId="2" fontId="11" fillId="0" borderId="0" xfId="0" applyNumberFormat="1" applyFont="1" applyAlignment="1">
      <alignment horizontal="center"/>
    </xf>
    <xf numFmtId="2" fontId="11" fillId="0" borderId="0" xfId="0" applyNumberFormat="1" applyFont="1" applyAlignment="1">
      <alignment horizontal="left"/>
    </xf>
    <xf numFmtId="0" fontId="12" fillId="0" borderId="0" xfId="0" applyFont="1"/>
    <xf numFmtId="0" fontId="6" fillId="0" borderId="4" xfId="0" applyFont="1" applyBorder="1"/>
    <xf numFmtId="0" fontId="2" fillId="0" borderId="0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6" fillId="0" borderId="0" xfId="0" applyFont="1" applyBorder="1"/>
    <xf numFmtId="9" fontId="6" fillId="0" borderId="0" xfId="0" applyNumberFormat="1" applyFont="1"/>
    <xf numFmtId="2" fontId="2" fillId="0" borderId="0" xfId="0" applyNumberFormat="1" applyFont="1" applyBorder="1" applyAlignment="1">
      <alignment horizontal="center"/>
    </xf>
    <xf numFmtId="44" fontId="2" fillId="0" borderId="0" xfId="1" applyFont="1" applyBorder="1" applyAlignment="1">
      <alignment horizontal="center"/>
    </xf>
    <xf numFmtId="2" fontId="2" fillId="0" borderId="9" xfId="0" applyNumberFormat="1" applyFont="1" applyBorder="1" applyAlignment="1">
      <alignment horizontal="center"/>
    </xf>
    <xf numFmtId="0" fontId="4" fillId="0" borderId="0" xfId="0" applyFont="1" applyAlignment="1">
      <alignment horizontal="left"/>
    </xf>
    <xf numFmtId="2" fontId="6" fillId="0" borderId="0" xfId="0" applyNumberFormat="1" applyFont="1" applyBorder="1" applyAlignment="1">
      <alignment horizontal="center"/>
    </xf>
    <xf numFmtId="44" fontId="2" fillId="0" borderId="0" xfId="1" applyFont="1" applyAlignment="1">
      <alignment horizontal="center"/>
    </xf>
    <xf numFmtId="2" fontId="22" fillId="0" borderId="0" xfId="0" applyNumberFormat="1" applyFont="1" applyAlignment="1">
      <alignment horizontal="center"/>
    </xf>
    <xf numFmtId="44" fontId="23" fillId="0" borderId="0" xfId="1" applyFont="1"/>
    <xf numFmtId="44" fontId="24" fillId="8" borderId="0" xfId="1" applyFont="1" applyFill="1"/>
    <xf numFmtId="0" fontId="2" fillId="0" borderId="14" xfId="0" applyFont="1" applyBorder="1" applyAlignment="1">
      <alignment horizontal="left"/>
    </xf>
    <xf numFmtId="0" fontId="2" fillId="0" borderId="15" xfId="0" applyFont="1" applyBorder="1" applyAlignment="1">
      <alignment horizontal="center"/>
    </xf>
    <xf numFmtId="44" fontId="2" fillId="0" borderId="14" xfId="1" applyFont="1" applyBorder="1" applyAlignment="1">
      <alignment horizontal="left"/>
    </xf>
    <xf numFmtId="0" fontId="6" fillId="0" borderId="15" xfId="0" applyFont="1" applyBorder="1"/>
    <xf numFmtId="44" fontId="2" fillId="0" borderId="14" xfId="0" applyNumberFormat="1" applyFont="1" applyBorder="1"/>
    <xf numFmtId="44" fontId="2" fillId="0" borderId="15" xfId="1" applyFont="1" applyBorder="1" applyAlignment="1">
      <alignment horizontal="right"/>
    </xf>
    <xf numFmtId="0" fontId="6" fillId="0" borderId="0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0" fontId="26" fillId="0" borderId="12" xfId="0" applyFont="1" applyBorder="1" applyAlignment="1">
      <alignment horizontal="left"/>
    </xf>
    <xf numFmtId="44" fontId="26" fillId="0" borderId="12" xfId="0" applyNumberFormat="1" applyFont="1" applyBorder="1" applyAlignment="1">
      <alignment horizontal="center"/>
    </xf>
    <xf numFmtId="1" fontId="26" fillId="0" borderId="12" xfId="0" applyNumberFormat="1" applyFont="1" applyBorder="1" applyAlignment="1">
      <alignment horizontal="center"/>
    </xf>
    <xf numFmtId="0" fontId="25" fillId="0" borderId="22" xfId="0" applyFont="1" applyBorder="1"/>
    <xf numFmtId="44" fontId="25" fillId="0" borderId="23" xfId="0" applyNumberFormat="1" applyFont="1" applyBorder="1"/>
    <xf numFmtId="0" fontId="26" fillId="0" borderId="11" xfId="0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26" fillId="0" borderId="11" xfId="0" applyFont="1" applyBorder="1" applyAlignment="1">
      <alignment horizontal="right"/>
    </xf>
    <xf numFmtId="44" fontId="26" fillId="0" borderId="13" xfId="0" applyNumberFormat="1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28" fillId="0" borderId="0" xfId="0" applyFont="1" applyAlignment="1">
      <alignment horizontal="right"/>
    </xf>
    <xf numFmtId="0" fontId="10" fillId="0" borderId="0" xfId="0" applyFont="1" applyAlignment="1">
      <alignment horizontal="center"/>
    </xf>
    <xf numFmtId="0" fontId="29" fillId="0" borderId="0" xfId="0" applyFont="1"/>
    <xf numFmtId="0" fontId="28" fillId="0" borderId="0" xfId="0" applyFont="1"/>
    <xf numFmtId="0" fontId="28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28" fillId="0" borderId="0" xfId="0" applyFont="1" applyAlignment="1">
      <alignment horizontal="left"/>
    </xf>
    <xf numFmtId="44" fontId="10" fillId="0" borderId="0" xfId="1" applyFont="1"/>
    <xf numFmtId="44" fontId="28" fillId="0" borderId="0" xfId="1" applyFont="1"/>
    <xf numFmtId="2" fontId="10" fillId="0" borderId="0" xfId="0" applyNumberFormat="1" applyFont="1" applyAlignment="1">
      <alignment horizontal="center"/>
    </xf>
    <xf numFmtId="0" fontId="10" fillId="0" borderId="0" xfId="0" applyFont="1" applyAlignment="1">
      <alignment horizontal="right"/>
    </xf>
    <xf numFmtId="44" fontId="30" fillId="9" borderId="5" xfId="13" applyFont="1" applyFill="1" applyBorder="1" applyAlignment="1">
      <alignment vertical="center"/>
    </xf>
    <xf numFmtId="44" fontId="2" fillId="0" borderId="0" xfId="1" applyFont="1"/>
    <xf numFmtId="44" fontId="2" fillId="0" borderId="5" xfId="1" applyFont="1" applyBorder="1" applyAlignment="1">
      <alignment horizontal="center"/>
    </xf>
    <xf numFmtId="44" fontId="6" fillId="0" borderId="0" xfId="1" applyFont="1" applyBorder="1" applyAlignment="1">
      <alignment horizontal="center"/>
    </xf>
    <xf numFmtId="44" fontId="30" fillId="0" borderId="5" xfId="13" applyFont="1" applyFill="1" applyBorder="1" applyAlignment="1">
      <alignment vertical="center"/>
    </xf>
    <xf numFmtId="0" fontId="33" fillId="0" borderId="0" xfId="0" applyFont="1"/>
    <xf numFmtId="0" fontId="34" fillId="0" borderId="0" xfId="0" applyFont="1" applyBorder="1"/>
    <xf numFmtId="0" fontId="35" fillId="0" borderId="0" xfId="0" applyFont="1" applyBorder="1"/>
    <xf numFmtId="2" fontId="35" fillId="0" borderId="0" xfId="14" applyFont="1"/>
    <xf numFmtId="44" fontId="6" fillId="0" borderId="5" xfId="1" applyFont="1" applyBorder="1" applyAlignment="1">
      <alignment horizontal="center"/>
    </xf>
    <xf numFmtId="44" fontId="6" fillId="10" borderId="0" xfId="1" applyFont="1" applyFill="1" applyAlignment="1">
      <alignment horizontal="center"/>
    </xf>
    <xf numFmtId="164" fontId="5" fillId="0" borderId="0" xfId="0" applyNumberFormat="1" applyFont="1" applyAlignment="1">
      <alignment horizontal="center"/>
    </xf>
    <xf numFmtId="0" fontId="6" fillId="10" borderId="0" xfId="0" applyFont="1" applyFill="1"/>
    <xf numFmtId="0" fontId="0" fillId="0" borderId="0" xfId="0"/>
    <xf numFmtId="44" fontId="30" fillId="9" borderId="5" xfId="13" applyFont="1" applyFill="1" applyBorder="1" applyAlignment="1">
      <alignment vertical="center"/>
    </xf>
    <xf numFmtId="44" fontId="2" fillId="0" borderId="0" xfId="1" applyFont="1" applyAlignment="1">
      <alignment horizontal="center"/>
    </xf>
    <xf numFmtId="44" fontId="6" fillId="0" borderId="0" xfId="1" applyFont="1" applyAlignment="1">
      <alignment horizontal="center"/>
    </xf>
    <xf numFmtId="2" fontId="24" fillId="8" borderId="0" xfId="0" applyNumberFormat="1" applyFont="1" applyFill="1" applyBorder="1" applyAlignment="1">
      <alignment horizontal="center"/>
    </xf>
    <xf numFmtId="0" fontId="27" fillId="0" borderId="24" xfId="0" applyFont="1" applyBorder="1" applyAlignment="1">
      <alignment horizontal="center"/>
    </xf>
    <xf numFmtId="0" fontId="27" fillId="0" borderId="25" xfId="0" applyFont="1" applyBorder="1" applyAlignment="1">
      <alignment horizontal="center"/>
    </xf>
    <xf numFmtId="0" fontId="27" fillId="0" borderId="26" xfId="0" applyFont="1" applyBorder="1" applyAlignment="1">
      <alignment horizontal="center"/>
    </xf>
  </cellXfs>
  <cellStyles count="16">
    <cellStyle name="Advertencia" xfId="3"/>
    <cellStyle name="Calcular" xfId="4"/>
    <cellStyle name="Celda comprob." xfId="5"/>
    <cellStyle name="Correcto" xfId="6"/>
    <cellStyle name="Encabez. 1" xfId="7"/>
    <cellStyle name="Encabez. 2" xfId="8"/>
    <cellStyle name="Encabezado 3" xfId="9"/>
    <cellStyle name="Explicación" xfId="10"/>
    <cellStyle name="Moneda" xfId="1" builtinId="4"/>
    <cellStyle name="Moneda 6" xfId="13"/>
    <cellStyle name="Normal" xfId="0" builtinId="0"/>
    <cellStyle name="Normal 2" xfId="11"/>
    <cellStyle name="Normal 3" xfId="15"/>
    <cellStyle name="Normal_Televisa Bolsas Ago 23, 11" xfId="14"/>
    <cellStyle name="Nota" xfId="12"/>
    <cellStyle name="Porcentaje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724297</xdr:colOff>
      <xdr:row>16</xdr:row>
      <xdr:rowOff>9923</xdr:rowOff>
    </xdr:from>
    <xdr:to>
      <xdr:col>5</xdr:col>
      <xdr:colOff>228203</xdr:colOff>
      <xdr:row>20</xdr:row>
      <xdr:rowOff>158750</xdr:rowOff>
    </xdr:to>
    <xdr:sp macro="" textlink="">
      <xdr:nvSpPr>
        <xdr:cNvPr id="2" name="1 Rectángulo"/>
        <xdr:cNvSpPr/>
      </xdr:nvSpPr>
      <xdr:spPr>
        <a:xfrm>
          <a:off x="3238897" y="3410348"/>
          <a:ext cx="1066006" cy="98702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3</xdr:col>
      <xdr:colOff>714375</xdr:colOff>
      <xdr:row>14</xdr:row>
      <xdr:rowOff>0</xdr:rowOff>
    </xdr:from>
    <xdr:to>
      <xdr:col>5</xdr:col>
      <xdr:colOff>238125</xdr:colOff>
      <xdr:row>15</xdr:row>
      <xdr:rowOff>188517</xdr:rowOff>
    </xdr:to>
    <xdr:sp macro="" textlink="">
      <xdr:nvSpPr>
        <xdr:cNvPr id="3" name="2 Rectángulo"/>
        <xdr:cNvSpPr/>
      </xdr:nvSpPr>
      <xdr:spPr>
        <a:xfrm>
          <a:off x="3700859" y="3026172"/>
          <a:ext cx="1091407" cy="39687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</xdr:col>
      <xdr:colOff>456406</xdr:colOff>
      <xdr:row>71</xdr:row>
      <xdr:rowOff>178597</xdr:rowOff>
    </xdr:from>
    <xdr:to>
      <xdr:col>4</xdr:col>
      <xdr:colOff>783828</xdr:colOff>
      <xdr:row>75</xdr:row>
      <xdr:rowOff>148831</xdr:rowOff>
    </xdr:to>
    <xdr:sp macro="" textlink="">
      <xdr:nvSpPr>
        <xdr:cNvPr id="5" name="4 Rectángulo"/>
        <xdr:cNvSpPr/>
      </xdr:nvSpPr>
      <xdr:spPr>
        <a:xfrm rot="5400000">
          <a:off x="3204766" y="13930315"/>
          <a:ext cx="803672" cy="185539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257970</xdr:colOff>
      <xdr:row>16</xdr:row>
      <xdr:rowOff>0</xdr:rowOff>
    </xdr:from>
    <xdr:to>
      <xdr:col>5</xdr:col>
      <xdr:colOff>714376</xdr:colOff>
      <xdr:row>20</xdr:row>
      <xdr:rowOff>158750</xdr:rowOff>
    </xdr:to>
    <xdr:sp macro="" textlink="">
      <xdr:nvSpPr>
        <xdr:cNvPr id="7" name="6 Rectángulo"/>
        <xdr:cNvSpPr/>
      </xdr:nvSpPr>
      <xdr:spPr>
        <a:xfrm>
          <a:off x="4812111" y="3442891"/>
          <a:ext cx="456406" cy="99218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3</xdr:col>
      <xdr:colOff>238125</xdr:colOff>
      <xdr:row>15</xdr:row>
      <xdr:rowOff>208359</xdr:rowOff>
    </xdr:from>
    <xdr:to>
      <xdr:col>3</xdr:col>
      <xdr:colOff>694531</xdr:colOff>
      <xdr:row>20</xdr:row>
      <xdr:rowOff>158749</xdr:rowOff>
    </xdr:to>
    <xdr:sp macro="" textlink="">
      <xdr:nvSpPr>
        <xdr:cNvPr id="10" name="9 Rectángulo"/>
        <xdr:cNvSpPr/>
      </xdr:nvSpPr>
      <xdr:spPr>
        <a:xfrm>
          <a:off x="3224609" y="3442890"/>
          <a:ext cx="456406" cy="99218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3</xdr:col>
      <xdr:colOff>734219</xdr:colOff>
      <xdr:row>20</xdr:row>
      <xdr:rowOff>178594</xdr:rowOff>
    </xdr:from>
    <xdr:to>
      <xdr:col>5</xdr:col>
      <xdr:colOff>257969</xdr:colOff>
      <xdr:row>22</xdr:row>
      <xdr:rowOff>158751</xdr:rowOff>
    </xdr:to>
    <xdr:sp macro="" textlink="">
      <xdr:nvSpPr>
        <xdr:cNvPr id="11" name="10 Rectángulo"/>
        <xdr:cNvSpPr/>
      </xdr:nvSpPr>
      <xdr:spPr>
        <a:xfrm>
          <a:off x="3720703" y="4454922"/>
          <a:ext cx="1091407" cy="39687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</xdr:col>
      <xdr:colOff>456406</xdr:colOff>
      <xdr:row>70</xdr:row>
      <xdr:rowOff>168674</xdr:rowOff>
    </xdr:from>
    <xdr:to>
      <xdr:col>4</xdr:col>
      <xdr:colOff>783828</xdr:colOff>
      <xdr:row>71</xdr:row>
      <xdr:rowOff>148834</xdr:rowOff>
    </xdr:to>
    <xdr:sp macro="" textlink="">
      <xdr:nvSpPr>
        <xdr:cNvPr id="12" name="11 Rectángulo"/>
        <xdr:cNvSpPr/>
      </xdr:nvSpPr>
      <xdr:spPr>
        <a:xfrm rot="5400000">
          <a:off x="3512342" y="13404457"/>
          <a:ext cx="188519" cy="185539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</xdr:col>
      <xdr:colOff>456407</xdr:colOff>
      <xdr:row>75</xdr:row>
      <xdr:rowOff>178596</xdr:rowOff>
    </xdr:from>
    <xdr:to>
      <xdr:col>4</xdr:col>
      <xdr:colOff>783829</xdr:colOff>
      <xdr:row>76</xdr:row>
      <xdr:rowOff>158756</xdr:rowOff>
    </xdr:to>
    <xdr:sp macro="" textlink="">
      <xdr:nvSpPr>
        <xdr:cNvPr id="13" name="12 Rectángulo"/>
        <xdr:cNvSpPr/>
      </xdr:nvSpPr>
      <xdr:spPr>
        <a:xfrm rot="5400000">
          <a:off x="3512343" y="14456176"/>
          <a:ext cx="188519" cy="185539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1</xdr:rowOff>
    </xdr:from>
    <xdr:to>
      <xdr:col>3</xdr:col>
      <xdr:colOff>381001</xdr:colOff>
      <xdr:row>4</xdr:row>
      <xdr:rowOff>95249</xdr:rowOff>
    </xdr:to>
    <xdr:pic>
      <xdr:nvPicPr>
        <xdr:cNvPr id="2" name="Picture 1" descr="3437733264_6942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1"/>
          <a:ext cx="2809875" cy="88582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1</xdr:rowOff>
    </xdr:from>
    <xdr:to>
      <xdr:col>3</xdr:col>
      <xdr:colOff>381001</xdr:colOff>
      <xdr:row>4</xdr:row>
      <xdr:rowOff>95249</xdr:rowOff>
    </xdr:to>
    <xdr:pic>
      <xdr:nvPicPr>
        <xdr:cNvPr id="2" name="Picture 1" descr="3437733264_6942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1"/>
          <a:ext cx="2809875" cy="88582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1</xdr:rowOff>
    </xdr:from>
    <xdr:to>
      <xdr:col>3</xdr:col>
      <xdr:colOff>381001</xdr:colOff>
      <xdr:row>4</xdr:row>
      <xdr:rowOff>95249</xdr:rowOff>
    </xdr:to>
    <xdr:pic>
      <xdr:nvPicPr>
        <xdr:cNvPr id="2" name="Picture 1" descr="3437733264_6942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1"/>
          <a:ext cx="2809875" cy="88582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1</xdr:rowOff>
    </xdr:from>
    <xdr:to>
      <xdr:col>3</xdr:col>
      <xdr:colOff>381001</xdr:colOff>
      <xdr:row>4</xdr:row>
      <xdr:rowOff>95249</xdr:rowOff>
    </xdr:to>
    <xdr:pic>
      <xdr:nvPicPr>
        <xdr:cNvPr id="2" name="Picture 1" descr="3437733264_6942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1"/>
          <a:ext cx="2809875" cy="8953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1</xdr:rowOff>
    </xdr:from>
    <xdr:to>
      <xdr:col>3</xdr:col>
      <xdr:colOff>381001</xdr:colOff>
      <xdr:row>4</xdr:row>
      <xdr:rowOff>95249</xdr:rowOff>
    </xdr:to>
    <xdr:pic>
      <xdr:nvPicPr>
        <xdr:cNvPr id="2" name="Picture 1" descr="3437733264_6942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1"/>
          <a:ext cx="2809875" cy="88582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1</xdr:rowOff>
    </xdr:from>
    <xdr:to>
      <xdr:col>3</xdr:col>
      <xdr:colOff>381001</xdr:colOff>
      <xdr:row>4</xdr:row>
      <xdr:rowOff>95249</xdr:rowOff>
    </xdr:to>
    <xdr:pic>
      <xdr:nvPicPr>
        <xdr:cNvPr id="2" name="Picture 1" descr="3437733264_6942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1"/>
          <a:ext cx="2809875" cy="88582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1</xdr:rowOff>
    </xdr:from>
    <xdr:to>
      <xdr:col>3</xdr:col>
      <xdr:colOff>381001</xdr:colOff>
      <xdr:row>4</xdr:row>
      <xdr:rowOff>95249</xdr:rowOff>
    </xdr:to>
    <xdr:pic>
      <xdr:nvPicPr>
        <xdr:cNvPr id="2" name="Picture 1" descr="3437733264_6942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1"/>
          <a:ext cx="2809875" cy="88582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1</xdr:rowOff>
    </xdr:from>
    <xdr:to>
      <xdr:col>3</xdr:col>
      <xdr:colOff>381001</xdr:colOff>
      <xdr:row>4</xdr:row>
      <xdr:rowOff>95249</xdr:rowOff>
    </xdr:to>
    <xdr:pic>
      <xdr:nvPicPr>
        <xdr:cNvPr id="2" name="Picture 1" descr="3437733264_6942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1"/>
          <a:ext cx="2809875" cy="88582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9"/>
  <sheetViews>
    <sheetView zoomScale="96" zoomScaleNormal="96" workbookViewId="0">
      <selection activeCell="D8" sqref="D8"/>
    </sheetView>
  </sheetViews>
  <sheetFormatPr baseColWidth="10" defaultRowHeight="16.5" x14ac:dyDescent="0.3"/>
  <cols>
    <col min="1" max="1" width="19.7109375" style="55" customWidth="1"/>
    <col min="2" max="2" width="13.7109375" style="55" customWidth="1"/>
    <col min="3" max="4" width="11.42578125" style="55"/>
    <col min="5" max="5" width="12" style="55" customWidth="1"/>
    <col min="6" max="7" width="11.42578125" style="55"/>
    <col min="8" max="8" width="14.28515625" style="55" customWidth="1"/>
    <col min="9" max="9" width="14.42578125" style="55" bestFit="1" customWidth="1"/>
    <col min="10" max="16384" width="11.42578125" style="55"/>
  </cols>
  <sheetData>
    <row r="1" spans="1:8" x14ac:dyDescent="0.3">
      <c r="A1" s="105" t="s">
        <v>138</v>
      </c>
      <c r="B1" s="55" t="s">
        <v>176</v>
      </c>
    </row>
    <row r="3" spans="1:8" x14ac:dyDescent="0.3">
      <c r="A3" s="105" t="s">
        <v>139</v>
      </c>
      <c r="B3" s="55" t="s">
        <v>177</v>
      </c>
    </row>
    <row r="4" spans="1:8" x14ac:dyDescent="0.3">
      <c r="A4" s="105" t="s">
        <v>159</v>
      </c>
    </row>
    <row r="5" spans="1:8" x14ac:dyDescent="0.3">
      <c r="A5" s="105" t="s">
        <v>140</v>
      </c>
    </row>
    <row r="6" spans="1:8" ht="18.75" x14ac:dyDescent="0.3">
      <c r="A6" s="105"/>
      <c r="G6" s="121"/>
    </row>
    <row r="7" spans="1:8" ht="18.75" x14ac:dyDescent="0.3">
      <c r="A7" s="105" t="s">
        <v>141</v>
      </c>
      <c r="B7" s="106">
        <v>2000</v>
      </c>
      <c r="C7" s="55" t="s">
        <v>142</v>
      </c>
      <c r="D7" s="106">
        <v>100</v>
      </c>
      <c r="E7" s="55" t="s">
        <v>143</v>
      </c>
      <c r="G7" s="121"/>
    </row>
    <row r="8" spans="1:8" x14ac:dyDescent="0.3">
      <c r="C8" s="106"/>
    </row>
    <row r="9" spans="1:8" ht="20.25" x14ac:dyDescent="0.3">
      <c r="A9" s="107" t="s">
        <v>160</v>
      </c>
    </row>
    <row r="10" spans="1:8" x14ac:dyDescent="0.3">
      <c r="A10" s="108" t="s">
        <v>161</v>
      </c>
      <c r="C10" s="109" t="s">
        <v>144</v>
      </c>
      <c r="D10" s="109" t="s">
        <v>145</v>
      </c>
      <c r="E10" s="109" t="s">
        <v>146</v>
      </c>
    </row>
    <row r="11" spans="1:8" x14ac:dyDescent="0.3">
      <c r="A11" s="108"/>
      <c r="C11" s="106">
        <v>22.6</v>
      </c>
      <c r="D11" s="106">
        <v>16.5</v>
      </c>
      <c r="E11" s="106">
        <v>8</v>
      </c>
    </row>
    <row r="12" spans="1:8" x14ac:dyDescent="0.3">
      <c r="A12" s="108"/>
    </row>
    <row r="13" spans="1:8" x14ac:dyDescent="0.3">
      <c r="E13" s="55">
        <f>+C11</f>
        <v>22.6</v>
      </c>
    </row>
    <row r="14" spans="1:8" x14ac:dyDescent="0.3">
      <c r="D14" s="110">
        <f>+E11</f>
        <v>8</v>
      </c>
      <c r="G14" s="110">
        <f>+E11</f>
        <v>8</v>
      </c>
    </row>
    <row r="15" spans="1:8" x14ac:dyDescent="0.3">
      <c r="A15" s="111" t="s">
        <v>147</v>
      </c>
      <c r="B15" s="111">
        <f>+G14+E13+D14</f>
        <v>38.6</v>
      </c>
      <c r="H15" s="110"/>
    </row>
    <row r="16" spans="1:8" x14ac:dyDescent="0.3">
      <c r="G16" s="110"/>
      <c r="H16" s="110"/>
    </row>
    <row r="17" spans="1:9" x14ac:dyDescent="0.3">
      <c r="G17" s="110"/>
      <c r="H17" s="110"/>
    </row>
    <row r="18" spans="1:9" x14ac:dyDescent="0.3">
      <c r="G18" s="110"/>
      <c r="H18" s="110"/>
    </row>
    <row r="19" spans="1:9" x14ac:dyDescent="0.3">
      <c r="C19" s="115">
        <f>+D11</f>
        <v>16.5</v>
      </c>
      <c r="G19" s="110">
        <f>+D11</f>
        <v>16.5</v>
      </c>
    </row>
    <row r="20" spans="1:9" x14ac:dyDescent="0.3">
      <c r="G20" s="110"/>
      <c r="H20" s="110"/>
    </row>
    <row r="21" spans="1:9" x14ac:dyDescent="0.3">
      <c r="G21" s="110"/>
      <c r="H21" s="110"/>
    </row>
    <row r="22" spans="1:9" x14ac:dyDescent="0.3">
      <c r="G22" s="110"/>
      <c r="H22" s="110"/>
    </row>
    <row r="23" spans="1:9" x14ac:dyDescent="0.3">
      <c r="H23" s="110"/>
    </row>
    <row r="24" spans="1:9" x14ac:dyDescent="0.3">
      <c r="D24" s="110">
        <f>+E11</f>
        <v>8</v>
      </c>
      <c r="G24" s="110">
        <f>+E11</f>
        <v>8</v>
      </c>
      <c r="H24" s="108">
        <f>+G14+G19+G24</f>
        <v>32.5</v>
      </c>
      <c r="I24" s="111" t="s">
        <v>148</v>
      </c>
    </row>
    <row r="25" spans="1:9" x14ac:dyDescent="0.3">
      <c r="E25" s="55">
        <f>+C11</f>
        <v>22.6</v>
      </c>
    </row>
    <row r="27" spans="1:9" s="108" customFormat="1" x14ac:dyDescent="0.3">
      <c r="A27" s="108" t="s">
        <v>149</v>
      </c>
      <c r="B27" s="108" t="s">
        <v>135</v>
      </c>
      <c r="C27" s="109">
        <v>90</v>
      </c>
      <c r="D27" s="109" t="s">
        <v>82</v>
      </c>
      <c r="E27" s="109">
        <v>130</v>
      </c>
      <c r="F27" s="112">
        <f>+G27/1000</f>
        <v>39.429000000000002</v>
      </c>
      <c r="G27" s="130">
        <v>39429</v>
      </c>
      <c r="H27" s="113">
        <f>+F27*H28</f>
        <v>10842.975</v>
      </c>
    </row>
    <row r="28" spans="1:9" x14ac:dyDescent="0.3">
      <c r="C28" s="106">
        <f>+B15</f>
        <v>38.6</v>
      </c>
      <c r="D28" s="106" t="s">
        <v>82</v>
      </c>
      <c r="E28" s="106">
        <f>+H24</f>
        <v>32.5</v>
      </c>
      <c r="G28" s="108" t="s">
        <v>150</v>
      </c>
      <c r="H28" s="108">
        <v>275</v>
      </c>
    </row>
    <row r="29" spans="1:9" x14ac:dyDescent="0.3">
      <c r="C29" s="114">
        <f>+C27/C28</f>
        <v>2.3316062176165802</v>
      </c>
      <c r="D29" s="114"/>
      <c r="E29" s="114">
        <f>+E27/E28</f>
        <v>4</v>
      </c>
      <c r="F29" s="55">
        <v>8</v>
      </c>
      <c r="G29" s="108">
        <f>+((B7+D7)/F29)</f>
        <v>262.5</v>
      </c>
    </row>
    <row r="30" spans="1:9" x14ac:dyDescent="0.3">
      <c r="C30" s="114">
        <f>+E27/C28</f>
        <v>3.3678756476683938</v>
      </c>
      <c r="D30" s="114"/>
      <c r="E30" s="114">
        <f>+C27/E28</f>
        <v>2.7692307692307692</v>
      </c>
      <c r="F30" s="108">
        <v>6</v>
      </c>
    </row>
    <row r="31" spans="1:9" x14ac:dyDescent="0.3">
      <c r="C31" s="106"/>
      <c r="D31" s="106"/>
      <c r="E31" s="106"/>
    </row>
    <row r="32" spans="1:9" x14ac:dyDescent="0.3">
      <c r="A32" s="108" t="s">
        <v>151</v>
      </c>
      <c r="C32" s="106">
        <f>0.25+D24+E25+0.25+G24</f>
        <v>39.1</v>
      </c>
      <c r="D32" s="106" t="s">
        <v>82</v>
      </c>
      <c r="E32" s="106">
        <f>+G14+0.25+G19+0.25+G24</f>
        <v>33</v>
      </c>
    </row>
    <row r="33" spans="1:8" ht="6" customHeight="1" x14ac:dyDescent="0.3">
      <c r="A33" s="108"/>
      <c r="C33" s="106"/>
      <c r="D33" s="106"/>
      <c r="E33" s="106"/>
    </row>
    <row r="34" spans="1:8" s="108" customFormat="1" x14ac:dyDescent="0.3">
      <c r="A34" s="108" t="s">
        <v>178</v>
      </c>
      <c r="B34" s="108" t="s">
        <v>179</v>
      </c>
      <c r="C34" s="109">
        <v>100</v>
      </c>
      <c r="D34" s="109" t="s">
        <v>82</v>
      </c>
      <c r="E34" s="109">
        <v>130</v>
      </c>
      <c r="F34" s="112">
        <v>28</v>
      </c>
      <c r="H34" s="113">
        <f>+F34*H35</f>
        <v>10276</v>
      </c>
    </row>
    <row r="35" spans="1:8" x14ac:dyDescent="0.3">
      <c r="C35" s="106">
        <f>1+C32+1</f>
        <v>41.1</v>
      </c>
      <c r="D35" s="106" t="s">
        <v>82</v>
      </c>
      <c r="E35" s="106">
        <f>1+E32+1</f>
        <v>35</v>
      </c>
      <c r="G35" s="108" t="s">
        <v>150</v>
      </c>
      <c r="H35" s="108">
        <v>367</v>
      </c>
    </row>
    <row r="36" spans="1:8" x14ac:dyDescent="0.3">
      <c r="C36" s="114">
        <f>+C34/C35</f>
        <v>2.4330900243309004</v>
      </c>
      <c r="D36" s="114"/>
      <c r="E36" s="114">
        <f>+E34/E35</f>
        <v>3.7142857142857144</v>
      </c>
      <c r="F36" s="55">
        <v>6</v>
      </c>
    </row>
    <row r="37" spans="1:8" x14ac:dyDescent="0.3">
      <c r="C37" s="114">
        <f>+E34/C35</f>
        <v>3.16301703163017</v>
      </c>
      <c r="D37" s="114"/>
      <c r="E37" s="114">
        <f>+C34/E35</f>
        <v>2.8571428571428572</v>
      </c>
      <c r="F37" s="108">
        <v>6</v>
      </c>
      <c r="G37" s="108">
        <f>+((B7+D7)/F37)</f>
        <v>350</v>
      </c>
    </row>
    <row r="39" spans="1:8" x14ac:dyDescent="0.3">
      <c r="A39" s="108" t="s">
        <v>152</v>
      </c>
      <c r="C39" s="106">
        <f>1.5+0.25+D24+0.25+E25+0.25+G24+0.25+1.5</f>
        <v>42.6</v>
      </c>
      <c r="D39" s="106" t="s">
        <v>82</v>
      </c>
      <c r="E39" s="106">
        <f>1.5+0.25+G14+0.25+G19+0.25+G24+0.25+1.5</f>
        <v>36.5</v>
      </c>
    </row>
    <row r="40" spans="1:8" ht="6" customHeight="1" x14ac:dyDescent="0.3">
      <c r="A40" s="108"/>
      <c r="C40" s="106"/>
      <c r="D40" s="106"/>
      <c r="E40" s="106"/>
    </row>
    <row r="41" spans="1:8" s="108" customFormat="1" x14ac:dyDescent="0.3">
      <c r="A41" s="108" t="s">
        <v>178</v>
      </c>
      <c r="B41" s="108" t="s">
        <v>179</v>
      </c>
      <c r="C41" s="109">
        <v>100</v>
      </c>
      <c r="D41" s="109" t="s">
        <v>82</v>
      </c>
      <c r="E41" s="109">
        <v>130</v>
      </c>
      <c r="F41" s="112">
        <v>28</v>
      </c>
      <c r="H41" s="113">
        <f>+F41*H42</f>
        <v>10276</v>
      </c>
    </row>
    <row r="42" spans="1:8" x14ac:dyDescent="0.3">
      <c r="C42" s="106">
        <f>2+C39+2</f>
        <v>46.6</v>
      </c>
      <c r="D42" s="106" t="s">
        <v>82</v>
      </c>
      <c r="E42" s="106">
        <f>2+E39+2</f>
        <v>40.5</v>
      </c>
      <c r="G42" s="108" t="s">
        <v>150</v>
      </c>
      <c r="H42" s="108">
        <v>367</v>
      </c>
    </row>
    <row r="43" spans="1:8" x14ac:dyDescent="0.3">
      <c r="C43" s="114">
        <f>+C41/C42</f>
        <v>2.1459227467811157</v>
      </c>
      <c r="D43" s="114"/>
      <c r="E43" s="114">
        <f>+E41/E42</f>
        <v>3.2098765432098766</v>
      </c>
      <c r="F43" s="55">
        <v>6</v>
      </c>
      <c r="G43" s="108">
        <f>+((B7+D7)/F43)</f>
        <v>350</v>
      </c>
    </row>
    <row r="44" spans="1:8" x14ac:dyDescent="0.3">
      <c r="C44" s="114">
        <f>+E41/C42</f>
        <v>2.7896995708154506</v>
      </c>
      <c r="D44" s="114"/>
      <c r="E44" s="114">
        <f>+C41/E42</f>
        <v>2.4691358024691357</v>
      </c>
      <c r="F44" s="55">
        <v>4</v>
      </c>
    </row>
    <row r="47" spans="1:8" x14ac:dyDescent="0.3">
      <c r="A47" s="108" t="s">
        <v>165</v>
      </c>
      <c r="C47" s="106">
        <f>+C11</f>
        <v>22.6</v>
      </c>
      <c r="D47" s="106" t="s">
        <v>82</v>
      </c>
      <c r="E47" s="106">
        <f>+D11</f>
        <v>16.5</v>
      </c>
    </row>
    <row r="48" spans="1:8" ht="6" customHeight="1" x14ac:dyDescent="0.3">
      <c r="A48" s="108"/>
      <c r="C48" s="106"/>
      <c r="D48" s="106"/>
      <c r="E48" s="106"/>
    </row>
    <row r="49" spans="1:8" s="108" customFormat="1" x14ac:dyDescent="0.3">
      <c r="A49" s="108" t="s">
        <v>181</v>
      </c>
      <c r="B49" s="108" t="s">
        <v>174</v>
      </c>
      <c r="C49" s="109">
        <v>100</v>
      </c>
      <c r="D49" s="109" t="s">
        <v>82</v>
      </c>
      <c r="E49" s="109">
        <v>200</v>
      </c>
      <c r="F49" s="112">
        <v>100</v>
      </c>
      <c r="H49" s="113">
        <f>+F49*H50</f>
        <v>4600</v>
      </c>
    </row>
    <row r="50" spans="1:8" x14ac:dyDescent="0.3">
      <c r="C50" s="114">
        <f>+C49/C47</f>
        <v>4.4247787610619467</v>
      </c>
      <c r="D50" s="106"/>
      <c r="E50" s="114">
        <f>+E49/E47</f>
        <v>12.121212121212121</v>
      </c>
      <c r="F50" s="55">
        <v>48</v>
      </c>
      <c r="G50" s="108" t="s">
        <v>150</v>
      </c>
      <c r="H50" s="108">
        <v>46</v>
      </c>
    </row>
    <row r="51" spans="1:8" x14ac:dyDescent="0.3">
      <c r="C51" s="114">
        <f>+C49/E47</f>
        <v>6.0606060606060606</v>
      </c>
      <c r="D51" s="106"/>
      <c r="E51" s="114">
        <f>+E49/C47</f>
        <v>8.8495575221238933</v>
      </c>
      <c r="F51" s="55">
        <v>48</v>
      </c>
      <c r="G51" s="108">
        <f>+((B7+D7)/F51)</f>
        <v>43.75</v>
      </c>
      <c r="H51" s="112"/>
    </row>
    <row r="53" spans="1:8" s="108" customFormat="1" x14ac:dyDescent="0.3">
      <c r="A53" s="108" t="s">
        <v>180</v>
      </c>
      <c r="B53" s="108" t="s">
        <v>174</v>
      </c>
      <c r="C53" s="109">
        <v>100</v>
      </c>
      <c r="D53" s="109" t="s">
        <v>82</v>
      </c>
      <c r="E53" s="109">
        <v>200</v>
      </c>
      <c r="F53" s="112">
        <v>240</v>
      </c>
      <c r="H53" s="113">
        <f>+F53*H54</f>
        <v>11040</v>
      </c>
    </row>
    <row r="54" spans="1:8" x14ac:dyDescent="0.3">
      <c r="C54" s="114">
        <f>+C53/C47</f>
        <v>4.4247787610619467</v>
      </c>
      <c r="D54" s="106"/>
      <c r="E54" s="114">
        <f>+E53/E47</f>
        <v>12.121212121212121</v>
      </c>
      <c r="F54" s="55">
        <v>48</v>
      </c>
      <c r="G54" s="108" t="s">
        <v>150</v>
      </c>
      <c r="H54" s="108">
        <v>46</v>
      </c>
    </row>
    <row r="55" spans="1:8" x14ac:dyDescent="0.3">
      <c r="C55" s="114">
        <f>+C53/E47</f>
        <v>6.0606060606060606</v>
      </c>
      <c r="D55" s="106"/>
      <c r="E55" s="114">
        <f>+E53/C47</f>
        <v>8.8495575221238933</v>
      </c>
      <c r="F55" s="55">
        <v>48</v>
      </c>
      <c r="G55" s="108">
        <f>+((B7+D7)/F55)</f>
        <v>43.75</v>
      </c>
      <c r="H55" s="112"/>
    </row>
    <row r="65" spans="1:9" ht="20.25" x14ac:dyDescent="0.3">
      <c r="A65" s="107" t="s">
        <v>119</v>
      </c>
      <c r="C65" s="109" t="s">
        <v>153</v>
      </c>
      <c r="D65" s="109" t="s">
        <v>146</v>
      </c>
      <c r="E65" s="109" t="s">
        <v>154</v>
      </c>
      <c r="F65" s="109" t="s">
        <v>144</v>
      </c>
    </row>
    <row r="66" spans="1:9" x14ac:dyDescent="0.3">
      <c r="A66" s="108" t="s">
        <v>155</v>
      </c>
      <c r="C66" s="106">
        <f>0.25+E11+0.25</f>
        <v>8.5</v>
      </c>
      <c r="D66" s="106">
        <f>0.25+D11+0.25</f>
        <v>17</v>
      </c>
      <c r="E66" s="106">
        <f>+C66</f>
        <v>8.5</v>
      </c>
      <c r="F66" s="106">
        <f>0.25+C11+0.25</f>
        <v>23.1</v>
      </c>
    </row>
    <row r="67" spans="1:9" x14ac:dyDescent="0.3">
      <c r="A67" s="108"/>
    </row>
    <row r="70" spans="1:9" x14ac:dyDescent="0.3">
      <c r="A70" s="111" t="s">
        <v>148</v>
      </c>
      <c r="B70" s="111">
        <f>+F72+F74+F77</f>
        <v>34</v>
      </c>
      <c r="G70" s="110"/>
      <c r="H70" s="110"/>
    </row>
    <row r="71" spans="1:9" x14ac:dyDescent="0.3">
      <c r="G71" s="110"/>
      <c r="H71" s="110"/>
    </row>
    <row r="72" spans="1:9" x14ac:dyDescent="0.3">
      <c r="F72" s="106">
        <f>+C66</f>
        <v>8.5</v>
      </c>
      <c r="G72" s="110"/>
      <c r="H72" s="110"/>
    </row>
    <row r="73" spans="1:9" x14ac:dyDescent="0.3">
      <c r="F73" s="106"/>
      <c r="H73" s="110"/>
    </row>
    <row r="74" spans="1:9" x14ac:dyDescent="0.3">
      <c r="C74" s="110"/>
      <c r="F74" s="106">
        <f>+D66</f>
        <v>17</v>
      </c>
      <c r="G74" s="110"/>
      <c r="H74" s="110"/>
    </row>
    <row r="75" spans="1:9" x14ac:dyDescent="0.3">
      <c r="F75" s="106"/>
      <c r="G75" s="110"/>
      <c r="H75" s="110"/>
    </row>
    <row r="76" spans="1:9" x14ac:dyDescent="0.3">
      <c r="F76" s="106"/>
      <c r="G76" s="110"/>
      <c r="H76" s="110"/>
    </row>
    <row r="77" spans="1:9" x14ac:dyDescent="0.3">
      <c r="F77" s="106">
        <f>+E66</f>
        <v>8.5</v>
      </c>
      <c r="G77" s="110"/>
      <c r="H77" s="110"/>
    </row>
    <row r="78" spans="1:9" x14ac:dyDescent="0.3">
      <c r="D78" s="115">
        <f>+F66</f>
        <v>23.1</v>
      </c>
      <c r="G78" s="110"/>
      <c r="H78" s="110"/>
    </row>
    <row r="79" spans="1:9" x14ac:dyDescent="0.3">
      <c r="H79" s="108">
        <f>+D78+0</f>
        <v>23.1</v>
      </c>
      <c r="I79" s="111" t="s">
        <v>147</v>
      </c>
    </row>
    <row r="82" spans="1:9" s="108" customFormat="1" x14ac:dyDescent="0.3">
      <c r="A82" s="108" t="s">
        <v>156</v>
      </c>
      <c r="B82" s="108" t="s">
        <v>135</v>
      </c>
      <c r="C82" s="109">
        <v>90</v>
      </c>
      <c r="D82" s="109" t="s">
        <v>82</v>
      </c>
      <c r="E82" s="109">
        <v>130</v>
      </c>
      <c r="F82" s="112">
        <f>+F27</f>
        <v>39.429000000000002</v>
      </c>
      <c r="H82" s="113">
        <f>+F82*H83</f>
        <v>9660.1050000000014</v>
      </c>
    </row>
    <row r="83" spans="1:9" x14ac:dyDescent="0.3">
      <c r="C83" s="106">
        <f>+B70</f>
        <v>34</v>
      </c>
      <c r="D83" s="106" t="s">
        <v>82</v>
      </c>
      <c r="E83" s="106">
        <f>+H79</f>
        <v>23.1</v>
      </c>
      <c r="G83" s="108" t="s">
        <v>150</v>
      </c>
      <c r="H83" s="108">
        <v>245</v>
      </c>
    </row>
    <row r="84" spans="1:9" x14ac:dyDescent="0.3">
      <c r="C84" s="114">
        <f>+C82/C83</f>
        <v>2.6470588235294117</v>
      </c>
      <c r="D84" s="114"/>
      <c r="E84" s="114">
        <f>+E82/E83</f>
        <v>5.6277056277056277</v>
      </c>
      <c r="F84" s="108">
        <v>10</v>
      </c>
    </row>
    <row r="85" spans="1:9" x14ac:dyDescent="0.3">
      <c r="C85" s="114">
        <f>+E82/C83</f>
        <v>3.8235294117647061</v>
      </c>
      <c r="D85" s="114"/>
      <c r="E85" s="114">
        <f>+C82/E83</f>
        <v>3.8961038961038961</v>
      </c>
      <c r="F85" s="55">
        <v>9</v>
      </c>
      <c r="G85" s="108">
        <f>+((B7+D7)/F85)</f>
        <v>233.33333333333334</v>
      </c>
    </row>
    <row r="86" spans="1:9" x14ac:dyDescent="0.3">
      <c r="C86" s="106"/>
      <c r="D86" s="106"/>
      <c r="E86" s="106"/>
    </row>
    <row r="87" spans="1:9" x14ac:dyDescent="0.3">
      <c r="A87" s="108" t="s">
        <v>157</v>
      </c>
      <c r="C87" s="106">
        <f>0.25+F72+F74+0.25+F77</f>
        <v>34.5</v>
      </c>
      <c r="D87" s="106" t="s">
        <v>82</v>
      </c>
      <c r="E87" s="106">
        <f>+D78</f>
        <v>23.1</v>
      </c>
    </row>
    <row r="88" spans="1:9" ht="6" customHeight="1" x14ac:dyDescent="0.3">
      <c r="A88" s="108"/>
      <c r="C88" s="106"/>
      <c r="D88" s="106"/>
      <c r="E88" s="106"/>
    </row>
    <row r="89" spans="1:9" s="108" customFormat="1" x14ac:dyDescent="0.3">
      <c r="A89" s="108" t="s">
        <v>178</v>
      </c>
      <c r="B89" s="108" t="s">
        <v>179</v>
      </c>
      <c r="C89" s="109">
        <v>100</v>
      </c>
      <c r="D89" s="109" t="s">
        <v>82</v>
      </c>
      <c r="E89" s="109">
        <v>130</v>
      </c>
      <c r="F89" s="112">
        <v>28</v>
      </c>
      <c r="H89" s="113">
        <f>+F89*H90</f>
        <v>6160</v>
      </c>
    </row>
    <row r="90" spans="1:9" x14ac:dyDescent="0.3">
      <c r="C90" s="106">
        <f>1+C87+1</f>
        <v>36.5</v>
      </c>
      <c r="D90" s="106" t="s">
        <v>82</v>
      </c>
      <c r="E90" s="106">
        <f>1+E87+1</f>
        <v>25.1</v>
      </c>
      <c r="G90" s="108" t="s">
        <v>150</v>
      </c>
      <c r="H90" s="108">
        <v>220</v>
      </c>
      <c r="I90" s="55" t="s">
        <v>171</v>
      </c>
    </row>
    <row r="91" spans="1:9" x14ac:dyDescent="0.3">
      <c r="C91" s="114">
        <f>+C89/C90</f>
        <v>2.7397260273972601</v>
      </c>
      <c r="D91" s="114"/>
      <c r="E91" s="114">
        <f>+E89/E90</f>
        <v>5.1792828685258963</v>
      </c>
      <c r="F91" s="108">
        <v>10</v>
      </c>
      <c r="G91" s="108">
        <f>+((B7+D7)/F91)</f>
        <v>210</v>
      </c>
    </row>
    <row r="92" spans="1:9" x14ac:dyDescent="0.3">
      <c r="C92" s="114">
        <f>+E89/C90</f>
        <v>3.5616438356164384</v>
      </c>
      <c r="D92" s="114"/>
      <c r="E92" s="114">
        <f>+C89/E90</f>
        <v>3.9840637450199199</v>
      </c>
      <c r="F92" s="55">
        <v>9</v>
      </c>
    </row>
    <row r="94" spans="1:9" x14ac:dyDescent="0.3">
      <c r="A94" s="108" t="s">
        <v>158</v>
      </c>
      <c r="C94" s="106">
        <f>1.5+0.25+F72+0.25+F74+0.25+F77+0.25+1.5</f>
        <v>38</v>
      </c>
      <c r="D94" s="106" t="s">
        <v>82</v>
      </c>
      <c r="E94" s="106">
        <f>1.5+0.25+D78+0.25+1.5</f>
        <v>26.6</v>
      </c>
    </row>
    <row r="95" spans="1:9" ht="6" customHeight="1" x14ac:dyDescent="0.3">
      <c r="A95" s="108"/>
      <c r="C95" s="106"/>
      <c r="D95" s="106"/>
      <c r="E95" s="106"/>
    </row>
    <row r="96" spans="1:9" s="108" customFormat="1" x14ac:dyDescent="0.3">
      <c r="A96" s="108" t="s">
        <v>178</v>
      </c>
      <c r="B96" s="108" t="s">
        <v>179</v>
      </c>
      <c r="C96" s="109">
        <v>100</v>
      </c>
      <c r="D96" s="109" t="s">
        <v>82</v>
      </c>
      <c r="E96" s="109">
        <v>130</v>
      </c>
      <c r="F96" s="112">
        <v>28</v>
      </c>
      <c r="H96" s="113">
        <f>+F96*H97</f>
        <v>6860</v>
      </c>
    </row>
    <row r="97" spans="3:9" x14ac:dyDescent="0.3">
      <c r="C97" s="106">
        <f>2+C94+2</f>
        <v>42</v>
      </c>
      <c r="D97" s="106" t="s">
        <v>82</v>
      </c>
      <c r="E97" s="106">
        <f>2+E94+2</f>
        <v>30.6</v>
      </c>
      <c r="G97" s="108" t="s">
        <v>150</v>
      </c>
      <c r="H97" s="108">
        <v>245</v>
      </c>
      <c r="I97" s="55" t="s">
        <v>171</v>
      </c>
    </row>
    <row r="98" spans="3:9" x14ac:dyDescent="0.3">
      <c r="C98" s="114">
        <f>+C96/C97</f>
        <v>2.3809523809523809</v>
      </c>
      <c r="D98" s="114"/>
      <c r="E98" s="114">
        <f>+E96/E97</f>
        <v>4.2483660130718954</v>
      </c>
      <c r="F98" s="55">
        <v>8</v>
      </c>
    </row>
    <row r="99" spans="3:9" x14ac:dyDescent="0.3">
      <c r="C99" s="114">
        <f>+E96/C97</f>
        <v>3.0952380952380953</v>
      </c>
      <c r="D99" s="114"/>
      <c r="E99" s="114">
        <f>+C96/E97</f>
        <v>3.2679738562091503</v>
      </c>
      <c r="F99" s="108">
        <v>9</v>
      </c>
      <c r="G99" s="108">
        <f>+((B7+D7)/F99)</f>
        <v>233.33333333333334</v>
      </c>
    </row>
  </sheetData>
  <pageMargins left="0.70866141732283472" right="0.70866141732283472" top="0.74803149606299213" bottom="0.74803149606299213" header="0.31496062992125984" footer="0.31496062992125984"/>
  <pageSetup scale="75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95"/>
  <sheetViews>
    <sheetView topLeftCell="A46" zoomScale="80" zoomScaleNormal="80" workbookViewId="0">
      <selection activeCell="H63" sqref="H63"/>
    </sheetView>
  </sheetViews>
  <sheetFormatPr baseColWidth="10" defaultRowHeight="14.25" x14ac:dyDescent="0.3"/>
  <cols>
    <col min="1" max="1" width="11.42578125" style="1"/>
    <col min="2" max="2" width="13.42578125" style="1" bestFit="1" customWidth="1"/>
    <col min="3" max="3" width="11.5703125" style="1" bestFit="1" customWidth="1"/>
    <col min="4" max="4" width="9.7109375" style="1" customWidth="1"/>
    <col min="5" max="5" width="14.28515625" style="1" customWidth="1"/>
    <col min="6" max="6" width="12.5703125" style="1" customWidth="1"/>
    <col min="7" max="7" width="13.42578125" style="1" customWidth="1"/>
    <col min="8" max="8" width="10.42578125" style="1" customWidth="1"/>
    <col min="9" max="9" width="12.42578125" style="1" customWidth="1"/>
    <col min="10" max="10" width="11.42578125" style="1"/>
    <col min="11" max="11" width="15.85546875" style="1" customWidth="1"/>
    <col min="12" max="12" width="11.42578125" style="1"/>
    <col min="13" max="13" width="14.140625" style="1" customWidth="1"/>
    <col min="14" max="16384" width="11.42578125" style="1"/>
  </cols>
  <sheetData>
    <row r="1" spans="1:22" ht="15.75" x14ac:dyDescent="0.3">
      <c r="J1"/>
      <c r="K1"/>
      <c r="L1"/>
      <c r="M1"/>
      <c r="N1"/>
      <c r="O1"/>
      <c r="P1"/>
      <c r="Q1"/>
      <c r="R1"/>
      <c r="S1"/>
      <c r="T1"/>
      <c r="U1"/>
      <c r="V1"/>
    </row>
    <row r="2" spans="1:22" ht="15.75" x14ac:dyDescent="0.3">
      <c r="J2"/>
      <c r="K2"/>
      <c r="L2"/>
      <c r="M2"/>
      <c r="N2"/>
      <c r="O2"/>
      <c r="P2"/>
      <c r="Q2"/>
      <c r="R2"/>
      <c r="S2"/>
      <c r="T2"/>
      <c r="U2"/>
      <c r="V2"/>
    </row>
    <row r="3" spans="1:22" ht="15.75" x14ac:dyDescent="0.3">
      <c r="J3"/>
      <c r="K3"/>
      <c r="L3"/>
      <c r="M3"/>
      <c r="N3"/>
      <c r="O3"/>
      <c r="P3"/>
      <c r="Q3"/>
      <c r="R3"/>
      <c r="S3"/>
      <c r="T3"/>
      <c r="U3"/>
      <c r="V3"/>
    </row>
    <row r="4" spans="1:22" ht="15.75" x14ac:dyDescent="0.3">
      <c r="J4"/>
      <c r="K4"/>
      <c r="L4"/>
      <c r="M4"/>
      <c r="N4"/>
      <c r="O4"/>
      <c r="P4"/>
      <c r="Q4"/>
      <c r="R4"/>
      <c r="S4"/>
      <c r="T4"/>
      <c r="U4"/>
      <c r="V4"/>
    </row>
    <row r="5" spans="1:22" ht="15.75" x14ac:dyDescent="0.3">
      <c r="A5" s="5"/>
      <c r="J5"/>
      <c r="K5"/>
      <c r="L5"/>
      <c r="M5"/>
      <c r="N5"/>
      <c r="O5"/>
      <c r="P5"/>
      <c r="Q5"/>
      <c r="R5"/>
      <c r="S5"/>
      <c r="T5"/>
      <c r="U5"/>
      <c r="V5"/>
    </row>
    <row r="6" spans="1:22" ht="18.75" x14ac:dyDescent="0.3">
      <c r="A6" s="2" t="s">
        <v>2</v>
      </c>
      <c r="E6" s="5" t="s">
        <v>3</v>
      </c>
      <c r="F6" s="1" t="s">
        <v>4</v>
      </c>
      <c r="J6"/>
      <c r="K6"/>
      <c r="L6"/>
      <c r="M6"/>
      <c r="N6"/>
      <c r="O6"/>
      <c r="P6"/>
      <c r="Q6"/>
      <c r="R6"/>
      <c r="S6"/>
      <c r="T6"/>
      <c r="U6"/>
      <c r="V6"/>
    </row>
    <row r="7" spans="1:22" ht="15.75" x14ac:dyDescent="0.3">
      <c r="J7"/>
      <c r="K7"/>
      <c r="L7"/>
      <c r="M7"/>
      <c r="N7"/>
      <c r="O7"/>
      <c r="P7"/>
      <c r="Q7"/>
      <c r="R7"/>
      <c r="S7"/>
      <c r="T7"/>
      <c r="U7"/>
      <c r="V7"/>
    </row>
    <row r="8" spans="1:22" ht="15.75" x14ac:dyDescent="0.3">
      <c r="J8"/>
      <c r="K8"/>
      <c r="L8"/>
      <c r="M8"/>
      <c r="N8"/>
      <c r="O8"/>
      <c r="P8"/>
      <c r="Q8"/>
      <c r="R8"/>
      <c r="S8"/>
      <c r="T8"/>
      <c r="U8"/>
      <c r="V8"/>
    </row>
    <row r="9" spans="1:22" s="5" customFormat="1" ht="15" x14ac:dyDescent="0.25">
      <c r="A9" s="5" t="s">
        <v>6</v>
      </c>
      <c r="C9" s="5" t="str">
        <f>+Desarrollo!B1</f>
        <v>21 de septiembre de 2017.</v>
      </c>
      <c r="H9" s="5" t="s">
        <v>7</v>
      </c>
      <c r="J9"/>
      <c r="K9"/>
      <c r="L9"/>
      <c r="M9"/>
      <c r="N9"/>
      <c r="O9"/>
      <c r="P9"/>
      <c r="Q9"/>
      <c r="R9"/>
      <c r="S9"/>
      <c r="T9"/>
      <c r="U9"/>
      <c r="V9"/>
    </row>
    <row r="10" spans="1:22" ht="15.75" x14ac:dyDescent="0.3">
      <c r="J10"/>
      <c r="K10"/>
      <c r="L10"/>
      <c r="M10"/>
      <c r="N10"/>
      <c r="O10"/>
      <c r="P10"/>
      <c r="Q10"/>
      <c r="R10"/>
      <c r="S10"/>
      <c r="T10"/>
      <c r="U10"/>
      <c r="V10"/>
    </row>
    <row r="11" spans="1:22" ht="16.5" thickBot="1" x14ac:dyDescent="0.35">
      <c r="A11" s="5" t="s">
        <v>8</v>
      </c>
      <c r="C11" s="1" t="str">
        <f>+Desarrollo!B3</f>
        <v>Nespresso</v>
      </c>
      <c r="F11" s="5" t="s">
        <v>0</v>
      </c>
      <c r="J11"/>
      <c r="K11"/>
      <c r="L11"/>
      <c r="M11"/>
      <c r="N11"/>
      <c r="O11"/>
      <c r="P11"/>
      <c r="Q11"/>
      <c r="R11"/>
      <c r="S11"/>
      <c r="T11"/>
      <c r="U11"/>
      <c r="V11"/>
    </row>
    <row r="12" spans="1:22" ht="15.75" x14ac:dyDescent="0.3">
      <c r="A12" s="5"/>
      <c r="F12" s="11"/>
      <c r="G12" s="12"/>
      <c r="H12" s="13"/>
      <c r="J12"/>
      <c r="K12"/>
      <c r="L12"/>
      <c r="M12"/>
      <c r="N12"/>
      <c r="O12"/>
      <c r="P12"/>
      <c r="Q12"/>
      <c r="R12"/>
      <c r="S12"/>
      <c r="T12"/>
      <c r="U12"/>
      <c r="V12"/>
    </row>
    <row r="13" spans="1:22" ht="15.75" x14ac:dyDescent="0.3">
      <c r="A13" s="5" t="s">
        <v>10</v>
      </c>
      <c r="C13" s="1" t="str">
        <f>+CONCATENATE(Desarrollo!B4,  Desarrollo!B5)</f>
        <v/>
      </c>
      <c r="F13" s="6"/>
      <c r="G13" s="7"/>
      <c r="H13" s="8"/>
      <c r="J13"/>
      <c r="K13"/>
      <c r="L13"/>
      <c r="M13"/>
      <c r="N13"/>
      <c r="O13"/>
      <c r="P13"/>
      <c r="Q13"/>
      <c r="R13"/>
      <c r="S13"/>
      <c r="T13"/>
      <c r="U13"/>
      <c r="V13"/>
    </row>
    <row r="14" spans="1:22" ht="15.75" x14ac:dyDescent="0.3">
      <c r="A14" s="5"/>
      <c r="F14" s="6"/>
      <c r="G14" s="7"/>
      <c r="H14" s="8"/>
      <c r="J14"/>
      <c r="K14"/>
      <c r="L14"/>
      <c r="M14"/>
      <c r="N14"/>
      <c r="O14"/>
      <c r="P14"/>
      <c r="Q14"/>
      <c r="R14"/>
      <c r="S14"/>
      <c r="T14"/>
      <c r="U14"/>
      <c r="V14"/>
    </row>
    <row r="15" spans="1:22" ht="15.75" x14ac:dyDescent="0.3">
      <c r="A15" s="5" t="s">
        <v>11</v>
      </c>
      <c r="C15" s="19" t="s">
        <v>93</v>
      </c>
      <c r="D15" s="18"/>
      <c r="E15" s="18"/>
      <c r="F15" s="72" t="s">
        <v>88</v>
      </c>
      <c r="G15" s="7"/>
      <c r="H15" s="8"/>
      <c r="J15"/>
      <c r="K15"/>
      <c r="L15"/>
      <c r="M15"/>
      <c r="N15"/>
      <c r="O15"/>
      <c r="P15"/>
      <c r="Q15"/>
      <c r="R15"/>
      <c r="S15"/>
      <c r="T15"/>
      <c r="U15"/>
      <c r="V15"/>
    </row>
    <row r="16" spans="1:22" ht="15.75" x14ac:dyDescent="0.3">
      <c r="C16" s="17" t="s">
        <v>182</v>
      </c>
      <c r="D16" s="18"/>
      <c r="E16" s="18"/>
      <c r="F16" s="46">
        <f>+Desarrollo!C28</f>
        <v>38.6</v>
      </c>
      <c r="G16" s="73" t="s">
        <v>82</v>
      </c>
      <c r="H16" s="74">
        <f>+Desarrollo!E28</f>
        <v>32.5</v>
      </c>
      <c r="J16"/>
      <c r="K16"/>
      <c r="L16"/>
      <c r="M16"/>
      <c r="N16"/>
      <c r="O16"/>
      <c r="P16"/>
      <c r="Q16"/>
      <c r="R16"/>
      <c r="S16"/>
      <c r="T16"/>
      <c r="U16"/>
      <c r="V16"/>
    </row>
    <row r="17" spans="1:22" ht="15.75" x14ac:dyDescent="0.3">
      <c r="C17" s="17"/>
      <c r="D17" s="18"/>
      <c r="E17" s="18"/>
      <c r="F17" s="72">
        <v>1</v>
      </c>
      <c r="G17" s="75" t="s">
        <v>83</v>
      </c>
      <c r="H17" s="8"/>
      <c r="J17"/>
      <c r="K17"/>
      <c r="L17"/>
      <c r="M17"/>
      <c r="N17"/>
      <c r="O17"/>
      <c r="P17"/>
      <c r="Q17"/>
      <c r="R17"/>
      <c r="S17"/>
      <c r="T17"/>
      <c r="U17"/>
      <c r="V17"/>
    </row>
    <row r="18" spans="1:22" ht="15.75" x14ac:dyDescent="0.3">
      <c r="C18" s="17"/>
      <c r="D18" s="18"/>
      <c r="E18" s="18"/>
      <c r="F18" s="72"/>
      <c r="G18" s="7"/>
      <c r="H18" s="8"/>
      <c r="J18"/>
      <c r="K18"/>
      <c r="L18"/>
      <c r="M18"/>
      <c r="N18"/>
      <c r="O18"/>
      <c r="P18"/>
      <c r="Q18"/>
      <c r="R18"/>
      <c r="S18"/>
      <c r="T18"/>
      <c r="U18"/>
      <c r="V18"/>
    </row>
    <row r="19" spans="1:22" ht="15.75" x14ac:dyDescent="0.3">
      <c r="C19" s="20"/>
      <c r="D19" s="18"/>
      <c r="E19" s="18"/>
      <c r="F19" s="46"/>
      <c r="G19" s="73"/>
      <c r="H19" s="74"/>
      <c r="J19"/>
      <c r="K19"/>
      <c r="L19"/>
      <c r="M19"/>
      <c r="N19"/>
      <c r="O19"/>
      <c r="P19"/>
      <c r="Q19"/>
      <c r="R19"/>
      <c r="S19"/>
      <c r="T19"/>
      <c r="U19"/>
      <c r="V19"/>
    </row>
    <row r="20" spans="1:22" ht="15.75" x14ac:dyDescent="0.3">
      <c r="C20" s="18"/>
      <c r="D20" s="18"/>
      <c r="E20" s="18"/>
      <c r="F20" s="72"/>
      <c r="G20" s="75"/>
      <c r="H20" s="8"/>
      <c r="J20"/>
      <c r="K20"/>
      <c r="L20"/>
      <c r="M20"/>
      <c r="N20"/>
      <c r="O20"/>
      <c r="P20"/>
      <c r="Q20"/>
      <c r="R20"/>
      <c r="S20"/>
      <c r="T20"/>
      <c r="U20"/>
      <c r="V20"/>
    </row>
    <row r="21" spans="1:22" ht="15.75" x14ac:dyDescent="0.3">
      <c r="C21" s="18"/>
      <c r="D21" s="18"/>
      <c r="E21" s="18"/>
      <c r="F21" s="6"/>
      <c r="G21" s="7"/>
      <c r="H21" s="8"/>
      <c r="J21"/>
      <c r="K21"/>
      <c r="L21"/>
      <c r="M21"/>
      <c r="N21"/>
      <c r="O21"/>
      <c r="P21"/>
      <c r="Q21"/>
      <c r="R21"/>
      <c r="S21"/>
      <c r="T21"/>
      <c r="U21"/>
      <c r="V21"/>
    </row>
    <row r="22" spans="1:22" ht="16.5" thickBot="1" x14ac:dyDescent="0.35">
      <c r="C22" s="18"/>
      <c r="D22" s="18"/>
      <c r="E22" s="18"/>
      <c r="F22" s="14"/>
      <c r="G22" s="15"/>
      <c r="H22" s="16"/>
      <c r="J22"/>
      <c r="K22"/>
      <c r="L22"/>
      <c r="M22"/>
      <c r="N22"/>
      <c r="O22"/>
      <c r="P22"/>
      <c r="Q22"/>
      <c r="R22"/>
      <c r="S22"/>
      <c r="T22"/>
      <c r="U22"/>
      <c r="V22"/>
    </row>
    <row r="23" spans="1:22" ht="15.75" x14ac:dyDescent="0.3">
      <c r="A23" s="4" t="s">
        <v>13</v>
      </c>
      <c r="C23" s="21" t="s">
        <v>105</v>
      </c>
      <c r="D23" s="5" t="s">
        <v>14</v>
      </c>
      <c r="E23" s="22" t="s">
        <v>95</v>
      </c>
      <c r="F23" s="1" t="s">
        <v>135</v>
      </c>
      <c r="J23"/>
      <c r="K23"/>
      <c r="L23"/>
      <c r="M23"/>
      <c r="N23"/>
      <c r="O23"/>
      <c r="P23"/>
      <c r="Q23"/>
      <c r="R23"/>
      <c r="S23"/>
      <c r="T23"/>
      <c r="U23"/>
      <c r="V23"/>
    </row>
    <row r="24" spans="1:22" ht="15.75" x14ac:dyDescent="0.3">
      <c r="J24"/>
      <c r="K24"/>
      <c r="L24"/>
      <c r="M24"/>
      <c r="N24"/>
      <c r="O24"/>
      <c r="P24"/>
      <c r="Q24"/>
      <c r="R24"/>
      <c r="S24"/>
      <c r="T24"/>
      <c r="U24"/>
      <c r="V24"/>
    </row>
    <row r="25" spans="1:22" ht="15.75" x14ac:dyDescent="0.3">
      <c r="A25" s="4" t="s">
        <v>15</v>
      </c>
      <c r="C25" s="23">
        <v>90</v>
      </c>
      <c r="D25" s="22" t="s">
        <v>16</v>
      </c>
      <c r="E25" s="24">
        <v>130</v>
      </c>
      <c r="F25" s="25">
        <f>+C25</f>
        <v>90</v>
      </c>
      <c r="G25" s="26" t="s">
        <v>16</v>
      </c>
      <c r="H25" s="26">
        <f>+E25</f>
        <v>130</v>
      </c>
      <c r="J25"/>
      <c r="K25"/>
      <c r="L25"/>
      <c r="M25"/>
      <c r="N25"/>
      <c r="O25"/>
      <c r="P25"/>
      <c r="Q25"/>
      <c r="R25"/>
      <c r="S25"/>
      <c r="T25"/>
      <c r="U25"/>
      <c r="V25"/>
    </row>
    <row r="26" spans="1:22" ht="15.75" x14ac:dyDescent="0.3">
      <c r="A26" s="4" t="s">
        <v>17</v>
      </c>
      <c r="B26" s="3"/>
      <c r="C26" s="27">
        <f>+F16</f>
        <v>38.6</v>
      </c>
      <c r="D26" s="28" t="s">
        <v>16</v>
      </c>
      <c r="E26" s="27">
        <f>+H16</f>
        <v>32.5</v>
      </c>
      <c r="F26" s="29">
        <f>+E26</f>
        <v>32.5</v>
      </c>
      <c r="G26" s="29" t="s">
        <v>16</v>
      </c>
      <c r="H26" s="29">
        <f>+C26</f>
        <v>38.6</v>
      </c>
      <c r="I26" s="30"/>
      <c r="J26"/>
      <c r="K26"/>
      <c r="L26"/>
      <c r="M26"/>
      <c r="N26"/>
      <c r="O26"/>
      <c r="P26"/>
      <c r="Q26"/>
      <c r="R26"/>
      <c r="S26"/>
      <c r="T26"/>
      <c r="U26"/>
      <c r="V26"/>
    </row>
    <row r="27" spans="1:22" ht="16.5" thickBot="1" x14ac:dyDescent="0.35">
      <c r="A27" s="3" t="s">
        <v>18</v>
      </c>
      <c r="B27" s="31"/>
      <c r="C27" s="32">
        <f>+C25/C26</f>
        <v>2.3316062176165802</v>
      </c>
      <c r="D27" s="33"/>
      <c r="E27" s="32">
        <f>+E25/E26</f>
        <v>4</v>
      </c>
      <c r="F27" s="32">
        <f>+F25/F26</f>
        <v>2.7692307692307692</v>
      </c>
      <c r="G27" s="33"/>
      <c r="H27" s="32">
        <f>+H25/H26</f>
        <v>3.3678756476683938</v>
      </c>
      <c r="I27" s="30"/>
      <c r="J27"/>
      <c r="K27"/>
      <c r="L27"/>
      <c r="M27"/>
      <c r="N27"/>
      <c r="O27"/>
      <c r="P27"/>
      <c r="Q27"/>
      <c r="R27"/>
      <c r="S27"/>
      <c r="T27"/>
      <c r="U27"/>
      <c r="V27"/>
    </row>
    <row r="28" spans="1:22" ht="16.5" thickBot="1" x14ac:dyDescent="0.35">
      <c r="A28" s="3" t="s">
        <v>19</v>
      </c>
      <c r="B28" s="34"/>
      <c r="C28" s="35"/>
      <c r="D28" s="36">
        <v>8</v>
      </c>
      <c r="E28" s="37"/>
      <c r="F28" s="38"/>
      <c r="G28" s="39">
        <v>6</v>
      </c>
      <c r="H28" s="40" t="s">
        <v>20</v>
      </c>
      <c r="J28"/>
      <c r="K28"/>
      <c r="L28"/>
      <c r="M28"/>
      <c r="N28"/>
      <c r="O28"/>
      <c r="P28"/>
      <c r="Q28"/>
      <c r="R28"/>
      <c r="S28"/>
      <c r="T28"/>
      <c r="U28"/>
      <c r="V28"/>
    </row>
    <row r="29" spans="1:22" ht="15.75" x14ac:dyDescent="0.3">
      <c r="A29" s="3"/>
      <c r="B29" s="21"/>
      <c r="C29" s="30"/>
      <c r="G29" s="41"/>
      <c r="H29" s="30"/>
      <c r="J29"/>
      <c r="K29"/>
      <c r="L29"/>
      <c r="M29"/>
      <c r="N29"/>
      <c r="O29"/>
      <c r="P29"/>
      <c r="Q29"/>
      <c r="R29"/>
      <c r="S29"/>
      <c r="T29"/>
      <c r="U29"/>
      <c r="V29"/>
    </row>
    <row r="30" spans="1:22" ht="15.75" x14ac:dyDescent="0.3">
      <c r="A30" s="25" t="s">
        <v>21</v>
      </c>
      <c r="B30" s="25" t="s">
        <v>89</v>
      </c>
      <c r="D30" s="41" t="s">
        <v>22</v>
      </c>
      <c r="E30" s="42">
        <f>+Desarrollo!F27</f>
        <v>39.429000000000002</v>
      </c>
      <c r="G30" s="1" t="s">
        <v>23</v>
      </c>
      <c r="H30" s="43">
        <v>0</v>
      </c>
      <c r="J30"/>
      <c r="K30"/>
      <c r="L30"/>
      <c r="M30"/>
      <c r="N30"/>
      <c r="O30"/>
      <c r="P30"/>
      <c r="Q30"/>
      <c r="R30"/>
      <c r="S30"/>
      <c r="T30"/>
      <c r="U30"/>
      <c r="V30"/>
    </row>
    <row r="31" spans="1:22" ht="15.75" x14ac:dyDescent="0.3">
      <c r="A31" s="3"/>
      <c r="B31" s="3"/>
      <c r="C31" s="3"/>
      <c r="D31" s="44" t="s">
        <v>24</v>
      </c>
      <c r="E31" s="42">
        <f>+H30*E30</f>
        <v>0</v>
      </c>
      <c r="H31" s="43"/>
      <c r="I31" s="30"/>
      <c r="J31"/>
      <c r="K31"/>
      <c r="L31"/>
      <c r="M31"/>
      <c r="N31"/>
      <c r="O31"/>
      <c r="P31"/>
      <c r="Q31"/>
      <c r="R31"/>
      <c r="S31"/>
      <c r="T31"/>
      <c r="U31"/>
      <c r="V31"/>
    </row>
    <row r="32" spans="1:22" ht="15.75" x14ac:dyDescent="0.3">
      <c r="D32" s="44" t="s">
        <v>25</v>
      </c>
      <c r="E32" s="45">
        <f>+E30-E31</f>
        <v>39.429000000000002</v>
      </c>
      <c r="I32" s="30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2" ht="15.75" x14ac:dyDescent="0.3">
      <c r="E33" s="21" t="s">
        <v>27</v>
      </c>
      <c r="F33" s="21" t="s">
        <v>28</v>
      </c>
      <c r="G33" s="21" t="s">
        <v>28</v>
      </c>
      <c r="H33" s="21" t="s">
        <v>28</v>
      </c>
      <c r="I33" s="30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2" ht="15.75" x14ac:dyDescent="0.3">
      <c r="D34" s="41" t="s">
        <v>29</v>
      </c>
      <c r="E34" s="47">
        <f>+E32</f>
        <v>39.429000000000002</v>
      </c>
      <c r="F34" s="47">
        <v>0</v>
      </c>
      <c r="G34" s="47">
        <v>0</v>
      </c>
      <c r="H34" s="47">
        <v>0</v>
      </c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2" ht="15.75" x14ac:dyDescent="0.3">
      <c r="D35" s="41" t="s">
        <v>30</v>
      </c>
      <c r="E35" s="47">
        <f>+E34*1.15</f>
        <v>45.343350000000001</v>
      </c>
      <c r="F35" s="47">
        <v>0</v>
      </c>
      <c r="G35" s="47">
        <v>0</v>
      </c>
      <c r="H35" s="47">
        <v>0</v>
      </c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2" ht="16.5" thickBot="1" x14ac:dyDescent="0.35">
      <c r="A36" s="3"/>
      <c r="G36" s="41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2" ht="15.75" x14ac:dyDescent="0.3">
      <c r="A37" s="3"/>
      <c r="B37" s="21"/>
      <c r="C37" s="30"/>
      <c r="E37" s="11" t="s">
        <v>32</v>
      </c>
      <c r="F37" s="12" t="s">
        <v>33</v>
      </c>
      <c r="G37" s="12"/>
      <c r="H37" s="13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2" ht="16.5" thickBot="1" x14ac:dyDescent="0.35">
      <c r="A38" s="4" t="s">
        <v>34</v>
      </c>
      <c r="C38" s="48">
        <v>8</v>
      </c>
      <c r="D38" s="49" t="s">
        <v>35</v>
      </c>
      <c r="E38" s="14"/>
      <c r="F38" s="15" t="s">
        <v>36</v>
      </c>
      <c r="G38" s="15"/>
      <c r="H38" s="16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2" ht="15.75" x14ac:dyDescent="0.3">
      <c r="A39" s="4"/>
      <c r="C39" s="21"/>
      <c r="D39" s="1" t="s">
        <v>37</v>
      </c>
      <c r="E39" s="3"/>
      <c r="F39" s="3"/>
      <c r="J39"/>
      <c r="K39"/>
      <c r="L39"/>
      <c r="M39"/>
      <c r="N39"/>
      <c r="O39"/>
      <c r="P39"/>
      <c r="Q39"/>
      <c r="R39"/>
      <c r="S39"/>
      <c r="T39"/>
      <c r="U39"/>
      <c r="V39"/>
    </row>
    <row r="40" spans="1:22" ht="15.75" x14ac:dyDescent="0.3">
      <c r="A40" s="4" t="s">
        <v>38</v>
      </c>
      <c r="B40" s="5"/>
      <c r="C40" s="50">
        <f>+B48/F17</f>
        <v>2000</v>
      </c>
      <c r="D40" s="24">
        <f>+Desarrollo!D7</f>
        <v>100</v>
      </c>
      <c r="F40" s="44" t="s">
        <v>39</v>
      </c>
      <c r="G40" s="23">
        <v>1</v>
      </c>
      <c r="H40" s="3"/>
      <c r="J40"/>
      <c r="K40"/>
      <c r="L40"/>
      <c r="M40"/>
      <c r="N40"/>
      <c r="O40"/>
      <c r="P40"/>
      <c r="Q40"/>
      <c r="R40"/>
      <c r="S40"/>
      <c r="T40"/>
      <c r="U40"/>
      <c r="V40"/>
    </row>
    <row r="41" spans="1:22" ht="15.75" x14ac:dyDescent="0.3">
      <c r="A41" s="4" t="s">
        <v>40</v>
      </c>
      <c r="C41" s="34">
        <f>+C40+D40</f>
        <v>2100</v>
      </c>
      <c r="F41" s="44" t="s">
        <v>41</v>
      </c>
      <c r="G41" s="23">
        <v>1</v>
      </c>
      <c r="H41" s="3"/>
      <c r="J41"/>
      <c r="K41"/>
      <c r="L41"/>
      <c r="M41"/>
      <c r="N41"/>
      <c r="O41"/>
      <c r="P41"/>
      <c r="Q41"/>
      <c r="R41"/>
      <c r="S41"/>
      <c r="T41"/>
      <c r="U41"/>
      <c r="V41"/>
    </row>
    <row r="42" spans="1:22" ht="15.75" x14ac:dyDescent="0.3">
      <c r="A42" s="4" t="s">
        <v>42</v>
      </c>
      <c r="C42" s="34">
        <f>+C41/C38</f>
        <v>262.5</v>
      </c>
      <c r="F42" s="44" t="s">
        <v>43</v>
      </c>
      <c r="G42" s="23"/>
      <c r="H42" s="3"/>
      <c r="J42"/>
      <c r="K42"/>
      <c r="L42"/>
      <c r="M42"/>
      <c r="N42"/>
      <c r="O42"/>
      <c r="P42"/>
      <c r="Q42"/>
      <c r="R42"/>
      <c r="S42"/>
      <c r="T42"/>
      <c r="U42"/>
      <c r="V42"/>
    </row>
    <row r="43" spans="1:22" ht="15.75" x14ac:dyDescent="0.3">
      <c r="A43" s="4"/>
      <c r="C43" s="21"/>
      <c r="F43" s="41" t="s">
        <v>44</v>
      </c>
      <c r="G43" s="23">
        <f>+C40/1000</f>
        <v>2</v>
      </c>
      <c r="H43" s="3"/>
      <c r="J43"/>
      <c r="K43"/>
      <c r="L43"/>
      <c r="M43"/>
      <c r="N43"/>
      <c r="O43"/>
      <c r="P43"/>
      <c r="Q43"/>
      <c r="R43"/>
      <c r="S43"/>
      <c r="T43"/>
      <c r="U43"/>
      <c r="V43"/>
    </row>
    <row r="44" spans="1:22" ht="15.75" x14ac:dyDescent="0.3">
      <c r="A44" s="4"/>
      <c r="C44" s="51"/>
      <c r="F44" s="44" t="s">
        <v>45</v>
      </c>
      <c r="G44" s="48">
        <f>+C41</f>
        <v>2100</v>
      </c>
      <c r="H44" s="3"/>
      <c r="J44"/>
      <c r="K44"/>
      <c r="L44"/>
      <c r="M44"/>
      <c r="N44"/>
      <c r="O44"/>
      <c r="P44"/>
      <c r="Q44"/>
      <c r="R44"/>
      <c r="S44"/>
      <c r="T44"/>
      <c r="U44"/>
      <c r="V44"/>
    </row>
    <row r="45" spans="1:22" ht="15.75" x14ac:dyDescent="0.3">
      <c r="A45" s="4"/>
      <c r="C45" s="21"/>
      <c r="E45" s="44"/>
      <c r="F45" s="44"/>
      <c r="G45" s="30"/>
      <c r="I45" s="3"/>
      <c r="J45"/>
      <c r="K45"/>
      <c r="L45"/>
      <c r="M45"/>
      <c r="N45"/>
      <c r="O45"/>
      <c r="P45"/>
      <c r="Q45"/>
      <c r="R45"/>
      <c r="S45"/>
      <c r="T45"/>
      <c r="U45"/>
      <c r="V45"/>
    </row>
    <row r="46" spans="1:22" ht="15.75" x14ac:dyDescent="0.3">
      <c r="A46" s="4" t="s">
        <v>46</v>
      </c>
      <c r="C46" s="25">
        <f>+C42*C38</f>
        <v>2100</v>
      </c>
      <c r="F46" s="44"/>
      <c r="G46" s="30"/>
      <c r="H46" s="3"/>
      <c r="J46"/>
      <c r="K46"/>
      <c r="L46"/>
      <c r="M46"/>
      <c r="N46"/>
      <c r="O46"/>
      <c r="P46"/>
      <c r="Q46"/>
      <c r="R46"/>
      <c r="S46"/>
      <c r="T46"/>
      <c r="U46"/>
      <c r="V46"/>
    </row>
    <row r="47" spans="1:22" ht="15.75" x14ac:dyDescent="0.3">
      <c r="A47" s="3"/>
      <c r="B47" s="3"/>
      <c r="C47" s="3"/>
      <c r="D47" s="3"/>
      <c r="E47" s="3"/>
      <c r="H47" s="3"/>
      <c r="J47"/>
      <c r="K47"/>
      <c r="L47"/>
      <c r="M47"/>
      <c r="N47"/>
      <c r="O47"/>
      <c r="P47"/>
      <c r="Q47"/>
      <c r="R47"/>
      <c r="S47"/>
      <c r="T47"/>
      <c r="U47"/>
      <c r="V47"/>
    </row>
    <row r="48" spans="1:22" ht="15.75" x14ac:dyDescent="0.3">
      <c r="A48" s="4" t="s">
        <v>77</v>
      </c>
      <c r="B48" s="21">
        <f>+Desarrollo!B7</f>
        <v>2000</v>
      </c>
      <c r="C48" s="3"/>
      <c r="D48" s="25" t="s">
        <v>47</v>
      </c>
      <c r="E48" s="25" t="s">
        <v>48</v>
      </c>
      <c r="F48" s="25" t="s">
        <v>49</v>
      </c>
      <c r="G48" s="25" t="s">
        <v>50</v>
      </c>
      <c r="H48" s="25" t="s">
        <v>51</v>
      </c>
      <c r="J48"/>
      <c r="K48"/>
      <c r="L48"/>
      <c r="M48"/>
      <c r="N48"/>
      <c r="O48"/>
      <c r="P48"/>
      <c r="Q48"/>
      <c r="R48"/>
      <c r="S48"/>
      <c r="T48"/>
      <c r="U48"/>
      <c r="V48"/>
    </row>
    <row r="49" spans="1:22" ht="15.75" x14ac:dyDescent="0.3">
      <c r="A49" s="52" t="s">
        <v>52</v>
      </c>
      <c r="B49" s="53"/>
      <c r="C49" s="3"/>
      <c r="D49" s="21">
        <v>1</v>
      </c>
      <c r="E49" s="21">
        <v>0</v>
      </c>
      <c r="F49" s="21" t="s">
        <v>90</v>
      </c>
      <c r="G49" s="30">
        <v>7</v>
      </c>
      <c r="H49" s="30">
        <f>+(D49*E49)*G49</f>
        <v>0</v>
      </c>
      <c r="J49"/>
      <c r="K49"/>
      <c r="L49"/>
      <c r="M49"/>
      <c r="N49"/>
      <c r="O49"/>
      <c r="P49"/>
      <c r="Q49"/>
      <c r="R49"/>
      <c r="S49"/>
      <c r="T49"/>
      <c r="U49"/>
      <c r="V49"/>
    </row>
    <row r="50" spans="1:22" ht="15.75" x14ac:dyDescent="0.3">
      <c r="A50" s="53" t="s">
        <v>54</v>
      </c>
      <c r="B50" s="54">
        <f>+E34*C42</f>
        <v>10350.112500000001</v>
      </c>
      <c r="C50" s="3"/>
      <c r="D50" s="21">
        <v>0</v>
      </c>
      <c r="E50" s="21">
        <v>0</v>
      </c>
      <c r="F50" s="21" t="s">
        <v>91</v>
      </c>
      <c r="G50" s="30">
        <v>250</v>
      </c>
      <c r="H50" s="30">
        <f>+(D50*E50)*G50</f>
        <v>0</v>
      </c>
      <c r="J50"/>
      <c r="K50"/>
      <c r="L50"/>
      <c r="M50"/>
      <c r="N50"/>
      <c r="O50"/>
      <c r="P50"/>
      <c r="Q50"/>
      <c r="R50"/>
      <c r="S50"/>
      <c r="T50"/>
      <c r="U50"/>
      <c r="V50"/>
    </row>
    <row r="51" spans="1:22" ht="15.75" x14ac:dyDescent="0.3">
      <c r="A51" s="53" t="s">
        <v>12</v>
      </c>
      <c r="B51" s="54">
        <f>+H61</f>
        <v>700</v>
      </c>
      <c r="C51" s="3"/>
      <c r="D51" s="21">
        <v>0</v>
      </c>
      <c r="E51" s="21">
        <v>0</v>
      </c>
      <c r="F51" s="21" t="s">
        <v>84</v>
      </c>
      <c r="G51" s="30">
        <v>500</v>
      </c>
      <c r="H51" s="30">
        <f>+G51*E51*D51</f>
        <v>0</v>
      </c>
      <c r="J51"/>
      <c r="K51"/>
      <c r="L51"/>
      <c r="M51"/>
      <c r="N51"/>
      <c r="O51"/>
      <c r="P51"/>
      <c r="Q51"/>
      <c r="R51"/>
      <c r="S51"/>
      <c r="T51"/>
      <c r="U51"/>
      <c r="V51"/>
    </row>
    <row r="52" spans="1:22" ht="15.75" x14ac:dyDescent="0.3">
      <c r="A52" s="53"/>
      <c r="B52" s="54"/>
      <c r="C52" s="3"/>
      <c r="D52" s="21">
        <v>1</v>
      </c>
      <c r="E52" s="21">
        <v>1</v>
      </c>
      <c r="F52" s="21" t="s">
        <v>99</v>
      </c>
      <c r="G52" s="30">
        <v>700</v>
      </c>
      <c r="H52" s="30">
        <f t="shared" ref="H52:H59" si="0">+G52*E52</f>
        <v>700</v>
      </c>
      <c r="I52" s="30">
        <f>+(B72/100)*2</f>
        <v>254.8525875</v>
      </c>
      <c r="J52"/>
      <c r="K52"/>
      <c r="L52"/>
      <c r="M52"/>
      <c r="N52"/>
      <c r="O52"/>
      <c r="P52"/>
      <c r="Q52"/>
      <c r="R52"/>
      <c r="S52"/>
      <c r="T52"/>
      <c r="U52"/>
      <c r="V52"/>
    </row>
    <row r="53" spans="1:22" ht="16.5" x14ac:dyDescent="0.3">
      <c r="A53" s="53" t="s">
        <v>26</v>
      </c>
      <c r="B53" s="54">
        <v>0</v>
      </c>
      <c r="C53" s="3"/>
      <c r="D53" s="21">
        <v>1</v>
      </c>
      <c r="E53" s="21">
        <v>0</v>
      </c>
      <c r="F53" s="21" t="s">
        <v>79</v>
      </c>
      <c r="G53" s="30">
        <v>120</v>
      </c>
      <c r="H53" s="30">
        <f t="shared" si="0"/>
        <v>0</v>
      </c>
      <c r="I53" s="55"/>
      <c r="J53"/>
      <c r="K53"/>
      <c r="L53"/>
      <c r="M53"/>
      <c r="N53"/>
      <c r="O53"/>
      <c r="P53"/>
      <c r="Q53"/>
      <c r="R53"/>
      <c r="S53"/>
      <c r="T53"/>
      <c r="U53"/>
      <c r="V53"/>
    </row>
    <row r="54" spans="1:22" ht="15.75" x14ac:dyDescent="0.3">
      <c r="A54" s="56" t="s">
        <v>85</v>
      </c>
      <c r="B54" s="54">
        <v>0</v>
      </c>
      <c r="C54" s="3"/>
      <c r="D54" s="21">
        <v>1</v>
      </c>
      <c r="E54" s="21">
        <v>0</v>
      </c>
      <c r="F54" s="21" t="s">
        <v>80</v>
      </c>
      <c r="G54" s="30">
        <v>120</v>
      </c>
      <c r="H54" s="30">
        <f t="shared" si="0"/>
        <v>0</v>
      </c>
      <c r="J54"/>
      <c r="K54"/>
      <c r="L54"/>
      <c r="M54"/>
      <c r="N54"/>
      <c r="O54"/>
      <c r="P54"/>
      <c r="Q54"/>
      <c r="R54"/>
      <c r="S54"/>
      <c r="T54"/>
      <c r="U54"/>
      <c r="V54"/>
    </row>
    <row r="55" spans="1:22" ht="15.75" x14ac:dyDescent="0.3">
      <c r="A55" s="56" t="s">
        <v>86</v>
      </c>
      <c r="B55" s="54">
        <v>0</v>
      </c>
      <c r="D55" s="21">
        <v>0</v>
      </c>
      <c r="E55" s="21">
        <v>0</v>
      </c>
      <c r="F55" s="21" t="s">
        <v>31</v>
      </c>
      <c r="G55" s="30">
        <v>1.5</v>
      </c>
      <c r="H55" s="30">
        <f t="shared" si="0"/>
        <v>0</v>
      </c>
      <c r="J55"/>
      <c r="K55"/>
      <c r="L55"/>
      <c r="M55"/>
      <c r="N55"/>
      <c r="O55"/>
      <c r="P55"/>
      <c r="Q55"/>
      <c r="R55"/>
      <c r="S55"/>
      <c r="T55"/>
      <c r="U55"/>
      <c r="V55"/>
    </row>
    <row r="56" spans="1:22" ht="15.75" x14ac:dyDescent="0.3">
      <c r="A56" s="56" t="s">
        <v>87</v>
      </c>
      <c r="B56" s="54">
        <v>0</v>
      </c>
      <c r="D56" s="21">
        <v>1</v>
      </c>
      <c r="E56" s="21">
        <v>0</v>
      </c>
      <c r="F56" s="21" t="s">
        <v>55</v>
      </c>
      <c r="G56" s="30">
        <v>1.5</v>
      </c>
      <c r="H56" s="30">
        <f t="shared" si="0"/>
        <v>0</v>
      </c>
      <c r="J56"/>
      <c r="K56"/>
      <c r="L56"/>
      <c r="M56"/>
      <c r="N56"/>
      <c r="O56"/>
      <c r="P56"/>
      <c r="Q56"/>
      <c r="R56"/>
      <c r="S56"/>
      <c r="T56"/>
      <c r="U56"/>
      <c r="V56"/>
    </row>
    <row r="57" spans="1:22" ht="15.75" x14ac:dyDescent="0.3">
      <c r="A57" s="56"/>
      <c r="B57" s="56"/>
      <c r="D57" s="21">
        <v>0</v>
      </c>
      <c r="E57" s="21">
        <v>0</v>
      </c>
      <c r="F57" s="21" t="s">
        <v>56</v>
      </c>
      <c r="G57" s="30">
        <v>1.5</v>
      </c>
      <c r="H57" s="30">
        <f t="shared" si="0"/>
        <v>0</v>
      </c>
      <c r="J57"/>
      <c r="K57"/>
      <c r="L57"/>
      <c r="M57"/>
      <c r="N57"/>
      <c r="O57"/>
      <c r="P57"/>
      <c r="Q57"/>
      <c r="R57"/>
      <c r="S57"/>
      <c r="T57"/>
      <c r="U57"/>
      <c r="V57"/>
    </row>
    <row r="58" spans="1:22" ht="15.75" x14ac:dyDescent="0.3">
      <c r="A58" s="52" t="s">
        <v>58</v>
      </c>
      <c r="B58" s="57">
        <f>SUM(B50:B57)</f>
        <v>11050.112500000001</v>
      </c>
      <c r="C58" s="3"/>
      <c r="D58" s="21">
        <v>0</v>
      </c>
      <c r="E58" s="21">
        <v>0</v>
      </c>
      <c r="F58" s="3" t="s">
        <v>59</v>
      </c>
      <c r="G58" s="30">
        <v>600</v>
      </c>
      <c r="H58" s="30">
        <f t="shared" si="0"/>
        <v>0</v>
      </c>
      <c r="J58"/>
      <c r="K58"/>
      <c r="L58"/>
      <c r="M58"/>
      <c r="N58"/>
      <c r="O58"/>
      <c r="P58"/>
      <c r="Q58"/>
      <c r="R58"/>
      <c r="S58"/>
      <c r="T58"/>
      <c r="U58"/>
      <c r="V58"/>
    </row>
    <row r="59" spans="1:22" ht="15.75" x14ac:dyDescent="0.3">
      <c r="A59" s="9"/>
      <c r="B59" s="58"/>
      <c r="C59" s="3"/>
      <c r="D59" s="21"/>
      <c r="E59" s="21"/>
      <c r="F59" s="3"/>
      <c r="G59" s="3"/>
      <c r="H59" s="30">
        <f t="shared" si="0"/>
        <v>0</v>
      </c>
      <c r="J59"/>
      <c r="K59"/>
      <c r="L59"/>
      <c r="M59"/>
      <c r="N59"/>
      <c r="O59"/>
      <c r="P59"/>
      <c r="Q59"/>
      <c r="R59"/>
      <c r="S59"/>
      <c r="T59"/>
      <c r="U59"/>
      <c r="V59"/>
    </row>
    <row r="60" spans="1:22" ht="15.75" x14ac:dyDescent="0.3">
      <c r="A60" s="9"/>
      <c r="B60" s="32">
        <f>+B58/B48</f>
        <v>5.5250562500000004</v>
      </c>
      <c r="C60" s="4" t="s">
        <v>61</v>
      </c>
      <c r="D60" s="3"/>
      <c r="E60" s="3"/>
      <c r="F60" s="3"/>
      <c r="G60" s="3"/>
      <c r="J60"/>
      <c r="K60"/>
      <c r="L60"/>
      <c r="M60"/>
      <c r="N60"/>
      <c r="O60"/>
      <c r="P60"/>
      <c r="Q60"/>
      <c r="R60"/>
      <c r="S60"/>
      <c r="T60"/>
      <c r="U60"/>
      <c r="V60"/>
    </row>
    <row r="61" spans="1:22" ht="15.75" x14ac:dyDescent="0.3">
      <c r="A61" s="3"/>
      <c r="B61" s="3"/>
      <c r="D61" s="3"/>
      <c r="E61" s="3"/>
      <c r="F61" s="3"/>
      <c r="G61" s="61" t="s">
        <v>62</v>
      </c>
      <c r="H61" s="30">
        <f>SUM(H49:H60)</f>
        <v>700</v>
      </c>
      <c r="J61"/>
      <c r="K61"/>
      <c r="L61"/>
      <c r="M61"/>
      <c r="N61"/>
      <c r="O61"/>
      <c r="P61"/>
      <c r="Q61"/>
      <c r="R61"/>
      <c r="S61"/>
      <c r="T61"/>
      <c r="U61"/>
      <c r="V61"/>
    </row>
    <row r="62" spans="1:22" ht="15.75" x14ac:dyDescent="0.3">
      <c r="D62" s="3"/>
      <c r="E62" s="3"/>
      <c r="G62" s="5" t="s">
        <v>63</v>
      </c>
      <c r="H62" s="76">
        <v>1.2</v>
      </c>
      <c r="J62"/>
      <c r="K62"/>
      <c r="L62"/>
      <c r="M62"/>
      <c r="N62"/>
      <c r="O62"/>
      <c r="P62"/>
      <c r="Q62"/>
      <c r="R62"/>
      <c r="S62"/>
      <c r="T62"/>
      <c r="U62"/>
      <c r="V62"/>
    </row>
    <row r="63" spans="1:22" ht="15.75" x14ac:dyDescent="0.3">
      <c r="A63" s="4" t="s">
        <v>65</v>
      </c>
      <c r="B63" s="3"/>
      <c r="C63" s="3"/>
      <c r="E63" s="32">
        <f>+B72/C40</f>
        <v>6.3713146875</v>
      </c>
      <c r="G63" s="1" t="s">
        <v>66</v>
      </c>
      <c r="H63" s="62">
        <v>1.75</v>
      </c>
      <c r="J63"/>
      <c r="K63"/>
      <c r="L63"/>
      <c r="M63"/>
      <c r="N63"/>
      <c r="O63"/>
      <c r="P63"/>
      <c r="Q63"/>
      <c r="R63"/>
      <c r="S63"/>
      <c r="T63"/>
      <c r="U63"/>
      <c r="V63"/>
    </row>
    <row r="64" spans="1:22" ht="15.75" x14ac:dyDescent="0.3">
      <c r="A64" s="3"/>
      <c r="B64" s="4" t="s">
        <v>68</v>
      </c>
      <c r="C64" s="25" t="s">
        <v>69</v>
      </c>
      <c r="D64" s="3"/>
      <c r="E64" s="3"/>
      <c r="F64" s="3"/>
      <c r="G64" s="1" t="s">
        <v>66</v>
      </c>
      <c r="H64" s="62">
        <v>2</v>
      </c>
      <c r="J64"/>
      <c r="K64"/>
      <c r="L64"/>
      <c r="M64"/>
      <c r="N64"/>
      <c r="O64"/>
      <c r="P64"/>
      <c r="Q64"/>
      <c r="R64"/>
      <c r="S64"/>
      <c r="T64"/>
      <c r="U64"/>
      <c r="V64"/>
    </row>
    <row r="65" spans="1:22" ht="15.75" x14ac:dyDescent="0.3">
      <c r="A65" s="52" t="s">
        <v>71</v>
      </c>
      <c r="B65" s="53"/>
      <c r="C65" s="3"/>
      <c r="D65" s="3">
        <f>+B72*C68</f>
        <v>0</v>
      </c>
      <c r="E65" s="3"/>
      <c r="F65" s="3"/>
      <c r="G65" s="5" t="s">
        <v>81</v>
      </c>
      <c r="H65" s="62">
        <v>2.5</v>
      </c>
      <c r="J65"/>
      <c r="K65"/>
      <c r="L65"/>
      <c r="M65"/>
      <c r="N65"/>
      <c r="O65"/>
      <c r="P65"/>
      <c r="Q65"/>
      <c r="R65"/>
      <c r="S65"/>
      <c r="T65"/>
      <c r="U65"/>
      <c r="V65"/>
    </row>
    <row r="66" spans="1:22" ht="15.75" x14ac:dyDescent="0.3">
      <c r="A66" s="53" t="s">
        <v>54</v>
      </c>
      <c r="B66" s="54">
        <f>+E35*C42</f>
        <v>11902.629375</v>
      </c>
      <c r="C66" s="63"/>
      <c r="J66"/>
      <c r="K66"/>
      <c r="L66"/>
      <c r="M66"/>
      <c r="N66"/>
      <c r="O66"/>
      <c r="P66"/>
      <c r="Q66"/>
      <c r="R66"/>
      <c r="S66"/>
      <c r="T66"/>
      <c r="U66"/>
      <c r="V66"/>
    </row>
    <row r="67" spans="1:22" ht="15.75" x14ac:dyDescent="0.3">
      <c r="A67" s="53" t="s">
        <v>12</v>
      </c>
      <c r="B67" s="54">
        <f>+H61*H62</f>
        <v>840</v>
      </c>
      <c r="C67" s="63"/>
      <c r="J67"/>
      <c r="K67"/>
      <c r="L67"/>
      <c r="M67"/>
      <c r="N67"/>
      <c r="O67"/>
      <c r="P67"/>
      <c r="Q67"/>
      <c r="R67"/>
      <c r="S67"/>
      <c r="T67"/>
      <c r="U67"/>
      <c r="V67"/>
    </row>
    <row r="68" spans="1:22" ht="15.75" x14ac:dyDescent="0.3">
      <c r="A68" s="53" t="str">
        <f>+A54</f>
        <v>Placas</v>
      </c>
      <c r="B68" s="54">
        <f>+B54*H63</f>
        <v>0</v>
      </c>
      <c r="C68" s="63"/>
      <c r="J68"/>
      <c r="K68"/>
      <c r="L68"/>
      <c r="M68"/>
      <c r="N68"/>
      <c r="O68"/>
      <c r="P68"/>
      <c r="Q68"/>
      <c r="R68"/>
      <c r="S68"/>
      <c r="T68"/>
      <c r="U68"/>
      <c r="V68"/>
    </row>
    <row r="69" spans="1:22" ht="15.75" x14ac:dyDescent="0.3">
      <c r="A69" s="53" t="str">
        <f>+A55</f>
        <v>Mensajeria</v>
      </c>
      <c r="B69" s="54">
        <f>+B55*H62</f>
        <v>0</v>
      </c>
      <c r="C69" s="63"/>
      <c r="F69" s="64" t="s">
        <v>73</v>
      </c>
      <c r="G69" s="32">
        <f>+B60</f>
        <v>5.5250562500000004</v>
      </c>
      <c r="H69" s="65">
        <f>+G69*B48</f>
        <v>11050.112500000001</v>
      </c>
      <c r="J69"/>
      <c r="K69"/>
      <c r="L69"/>
      <c r="M69"/>
      <c r="N69"/>
      <c r="O69"/>
      <c r="P69"/>
      <c r="Q69"/>
      <c r="R69"/>
      <c r="S69"/>
      <c r="T69"/>
      <c r="U69"/>
      <c r="V69"/>
    </row>
    <row r="70" spans="1:22" ht="15.75" x14ac:dyDescent="0.3">
      <c r="A70" s="53" t="str">
        <f>+A56</f>
        <v>Listón</v>
      </c>
      <c r="B70" s="54">
        <f>+B56*H63</f>
        <v>0</v>
      </c>
      <c r="C70" s="66"/>
      <c r="F70" s="64" t="s">
        <v>75</v>
      </c>
      <c r="G70" s="32">
        <f>+C72</f>
        <v>6.3713146875</v>
      </c>
      <c r="H70" s="65">
        <f>+G70*B48</f>
        <v>12742.629375</v>
      </c>
      <c r="J70"/>
      <c r="K70"/>
      <c r="L70"/>
      <c r="M70"/>
      <c r="N70"/>
      <c r="O70"/>
      <c r="P70"/>
      <c r="Q70"/>
      <c r="R70"/>
      <c r="S70"/>
      <c r="T70"/>
      <c r="U70"/>
      <c r="V70"/>
    </row>
    <row r="71" spans="1:22" ht="15.75" x14ac:dyDescent="0.3">
      <c r="A71" s="53"/>
      <c r="B71" s="54"/>
      <c r="C71" s="66"/>
      <c r="F71" s="67" t="s">
        <v>76</v>
      </c>
      <c r="G71" s="68">
        <f>+G70-G69</f>
        <v>0.84625843749999952</v>
      </c>
      <c r="H71" s="65">
        <f>+G71*B48</f>
        <v>1692.5168749999991</v>
      </c>
      <c r="J71"/>
      <c r="K71"/>
      <c r="L71"/>
      <c r="M71"/>
      <c r="N71"/>
      <c r="O71"/>
      <c r="P71"/>
      <c r="Q71"/>
      <c r="R71"/>
      <c r="S71"/>
      <c r="T71"/>
      <c r="U71"/>
      <c r="V71"/>
    </row>
    <row r="72" spans="1:22" ht="15.75" x14ac:dyDescent="0.3">
      <c r="A72" s="52" t="s">
        <v>58</v>
      </c>
      <c r="B72" s="57">
        <f>SUM(B65:B71)</f>
        <v>12742.629375</v>
      </c>
      <c r="C72" s="68">
        <f>+B72/B48</f>
        <v>6.3713146875</v>
      </c>
      <c r="D72" s="5" t="s">
        <v>123</v>
      </c>
      <c r="J72"/>
      <c r="K72"/>
      <c r="L72"/>
      <c r="M72"/>
      <c r="N72"/>
      <c r="O72"/>
      <c r="P72"/>
      <c r="Q72"/>
      <c r="R72"/>
      <c r="S72"/>
      <c r="T72"/>
      <c r="U72"/>
      <c r="V72"/>
    </row>
    <row r="73" spans="1:22" ht="15.75" x14ac:dyDescent="0.3">
      <c r="J73"/>
      <c r="K73"/>
      <c r="L73"/>
      <c r="M73"/>
      <c r="N73"/>
      <c r="O73"/>
      <c r="P73"/>
      <c r="Q73"/>
      <c r="R73"/>
      <c r="S73"/>
      <c r="T73"/>
      <c r="U73"/>
      <c r="V73"/>
    </row>
    <row r="74" spans="1:22" ht="15.75" x14ac:dyDescent="0.3">
      <c r="J74"/>
      <c r="K74"/>
      <c r="L74"/>
      <c r="M74"/>
      <c r="N74"/>
      <c r="O74"/>
      <c r="P74"/>
      <c r="Q74"/>
      <c r="R74"/>
      <c r="S74"/>
      <c r="T74"/>
      <c r="U74"/>
      <c r="V74"/>
    </row>
    <row r="75" spans="1:22" ht="15.75" x14ac:dyDescent="0.3">
      <c r="A75" s="5"/>
      <c r="J75"/>
      <c r="K75"/>
      <c r="L75"/>
      <c r="M75"/>
      <c r="N75"/>
      <c r="O75"/>
      <c r="P75"/>
      <c r="Q75"/>
      <c r="R75"/>
      <c r="S75"/>
      <c r="T75"/>
      <c r="U75"/>
      <c r="V75"/>
    </row>
    <row r="76" spans="1:22" ht="15.75" x14ac:dyDescent="0.3">
      <c r="B76" s="69"/>
      <c r="C76" s="70"/>
      <c r="J76"/>
      <c r="K76"/>
      <c r="L76"/>
      <c r="M76"/>
      <c r="N76"/>
      <c r="O76"/>
      <c r="P76"/>
      <c r="Q76"/>
      <c r="R76"/>
      <c r="S76"/>
      <c r="T76"/>
      <c r="U76"/>
      <c r="V76"/>
    </row>
    <row r="77" spans="1:22" ht="15.75" x14ac:dyDescent="0.3">
      <c r="J77"/>
      <c r="K77"/>
      <c r="L77"/>
      <c r="M77"/>
      <c r="N77"/>
      <c r="O77"/>
      <c r="P77"/>
      <c r="Q77"/>
      <c r="R77"/>
      <c r="S77"/>
      <c r="T77"/>
      <c r="U77"/>
      <c r="V77"/>
    </row>
    <row r="78" spans="1:22" ht="15.75" x14ac:dyDescent="0.3">
      <c r="J78"/>
      <c r="K78"/>
      <c r="L78"/>
      <c r="M78"/>
      <c r="N78"/>
      <c r="O78"/>
      <c r="P78"/>
      <c r="Q78"/>
      <c r="R78"/>
      <c r="S78"/>
      <c r="T78"/>
      <c r="U78"/>
      <c r="V78"/>
    </row>
    <row r="79" spans="1:22" ht="15.75" x14ac:dyDescent="0.3">
      <c r="J79"/>
      <c r="K79"/>
      <c r="L79"/>
      <c r="M79"/>
      <c r="N79"/>
      <c r="O79"/>
      <c r="P79"/>
      <c r="Q79"/>
      <c r="R79"/>
      <c r="S79"/>
      <c r="T79"/>
      <c r="U79"/>
      <c r="V79"/>
    </row>
    <row r="80" spans="1:22" ht="15.75" x14ac:dyDescent="0.3">
      <c r="J80"/>
      <c r="K80"/>
      <c r="L80"/>
      <c r="M80"/>
      <c r="N80"/>
      <c r="O80"/>
      <c r="P80"/>
      <c r="Q80"/>
      <c r="R80"/>
      <c r="S80"/>
      <c r="T80"/>
      <c r="U80"/>
      <c r="V80"/>
    </row>
    <row r="81" spans="10:22" ht="15.75" x14ac:dyDescent="0.3">
      <c r="J81"/>
      <c r="K81"/>
      <c r="L81"/>
      <c r="M81"/>
      <c r="N81"/>
      <c r="O81"/>
      <c r="P81"/>
      <c r="Q81"/>
      <c r="R81"/>
      <c r="S81"/>
      <c r="T81"/>
      <c r="U81"/>
      <c r="V81"/>
    </row>
    <row r="82" spans="10:22" ht="15.75" x14ac:dyDescent="0.3">
      <c r="J82"/>
      <c r="K82"/>
      <c r="L82"/>
      <c r="M82"/>
      <c r="N82"/>
      <c r="O82"/>
      <c r="P82"/>
      <c r="Q82"/>
      <c r="R82"/>
      <c r="S82"/>
      <c r="T82"/>
      <c r="U82"/>
      <c r="V82"/>
    </row>
    <row r="83" spans="10:22" ht="15.75" x14ac:dyDescent="0.3">
      <c r="J83"/>
      <c r="K83"/>
      <c r="L83"/>
      <c r="M83"/>
      <c r="N83"/>
      <c r="O83"/>
      <c r="P83"/>
      <c r="Q83"/>
      <c r="R83"/>
      <c r="S83"/>
      <c r="T83"/>
      <c r="U83"/>
      <c r="V83"/>
    </row>
    <row r="86" spans="10:22" ht="16.5" x14ac:dyDescent="0.3">
      <c r="J86" s="55"/>
      <c r="K86" s="55"/>
      <c r="L86" s="55"/>
      <c r="M86" s="55"/>
      <c r="N86" s="55"/>
      <c r="O86" s="55"/>
      <c r="P86" s="55"/>
      <c r="Q86" s="55"/>
      <c r="R86" s="55"/>
    </row>
    <row r="87" spans="10:22" ht="16.5" x14ac:dyDescent="0.3">
      <c r="J87" s="55"/>
      <c r="K87" s="55"/>
      <c r="L87" s="55"/>
      <c r="M87" s="55"/>
      <c r="N87" s="55"/>
      <c r="O87" s="55"/>
      <c r="P87" s="55"/>
      <c r="Q87" s="55"/>
      <c r="R87" s="55"/>
    </row>
    <row r="88" spans="10:22" ht="16.5" x14ac:dyDescent="0.3">
      <c r="J88" s="55"/>
      <c r="K88" s="55"/>
      <c r="L88" s="55"/>
      <c r="M88" s="55"/>
      <c r="N88" s="55"/>
      <c r="O88" s="55"/>
      <c r="P88" s="55"/>
      <c r="Q88" s="55"/>
      <c r="R88" s="55"/>
    </row>
    <row r="89" spans="10:22" ht="16.5" x14ac:dyDescent="0.3">
      <c r="J89" s="55"/>
      <c r="K89" s="55"/>
      <c r="L89" s="55"/>
      <c r="M89" s="55"/>
      <c r="N89" s="55"/>
      <c r="O89" s="55"/>
      <c r="P89" s="55"/>
      <c r="Q89" s="55"/>
      <c r="R89" s="55"/>
    </row>
    <row r="90" spans="10:22" ht="16.5" x14ac:dyDescent="0.3">
      <c r="J90" s="55"/>
      <c r="K90" s="55"/>
      <c r="L90" s="55"/>
      <c r="M90" s="55"/>
      <c r="N90" s="55"/>
      <c r="O90" s="55"/>
      <c r="P90" s="55"/>
      <c r="Q90" s="55"/>
      <c r="R90" s="55"/>
    </row>
    <row r="91" spans="10:22" ht="16.5" x14ac:dyDescent="0.3">
      <c r="J91" s="55"/>
      <c r="K91" s="55"/>
      <c r="L91" s="55"/>
      <c r="M91" s="55"/>
      <c r="N91" s="55"/>
      <c r="O91" s="55"/>
      <c r="P91" s="55"/>
      <c r="Q91" s="55"/>
      <c r="R91" s="55"/>
    </row>
    <row r="92" spans="10:22" ht="16.5" x14ac:dyDescent="0.3">
      <c r="J92" s="55"/>
      <c r="K92" s="55"/>
      <c r="L92" s="55"/>
      <c r="M92" s="55"/>
      <c r="N92" s="55"/>
      <c r="O92" s="55"/>
      <c r="P92" s="55"/>
      <c r="Q92" s="55"/>
      <c r="R92" s="55"/>
    </row>
    <row r="93" spans="10:22" ht="16.5" x14ac:dyDescent="0.3">
      <c r="J93" s="55"/>
      <c r="K93" s="55"/>
      <c r="L93" s="55"/>
      <c r="M93" s="55"/>
      <c r="N93" s="55"/>
      <c r="O93" s="55"/>
      <c r="P93" s="55"/>
      <c r="Q93" s="55"/>
      <c r="R93" s="55"/>
    </row>
    <row r="94" spans="10:22" ht="16.5" x14ac:dyDescent="0.3">
      <c r="J94" s="55"/>
      <c r="K94" s="55"/>
      <c r="L94" s="55"/>
      <c r="M94" s="55"/>
      <c r="N94" s="55"/>
      <c r="O94" s="55"/>
      <c r="P94" s="55"/>
      <c r="Q94" s="55"/>
      <c r="R94" s="55"/>
    </row>
    <row r="95" spans="10:22" ht="16.5" x14ac:dyDescent="0.3">
      <c r="J95" s="55"/>
      <c r="K95" s="55"/>
      <c r="L95" s="55"/>
      <c r="M95" s="55"/>
      <c r="N95" s="55"/>
      <c r="O95" s="55"/>
      <c r="P95" s="55"/>
      <c r="Q95" s="55"/>
      <c r="R95" s="55"/>
    </row>
  </sheetData>
  <pageMargins left="0.70866141732283472" right="0.70866141732283472" top="0.74803149606299213" bottom="0.74803149606299213" header="0.31496062992125984" footer="0.31496062992125984"/>
  <pageSetup scale="61" orientation="portrait" r:id="rId1"/>
  <headerFooter>
    <oddFooter>&amp;R&amp;A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95"/>
  <sheetViews>
    <sheetView topLeftCell="A33" zoomScale="80" zoomScaleNormal="80" workbookViewId="0">
      <selection activeCell="G53" sqref="G53"/>
    </sheetView>
  </sheetViews>
  <sheetFormatPr baseColWidth="10" defaultRowHeight="14.25" x14ac:dyDescent="0.3"/>
  <cols>
    <col min="1" max="1" width="11.42578125" style="1"/>
    <col min="2" max="2" width="13.42578125" style="1" bestFit="1" customWidth="1"/>
    <col min="3" max="3" width="11.5703125" style="1" bestFit="1" customWidth="1"/>
    <col min="4" max="4" width="9.7109375" style="1" customWidth="1"/>
    <col min="5" max="5" width="14.28515625" style="1" customWidth="1"/>
    <col min="6" max="6" width="12.5703125" style="1" customWidth="1"/>
    <col min="7" max="7" width="13.42578125" style="1" customWidth="1"/>
    <col min="8" max="8" width="10.42578125" style="1" customWidth="1"/>
    <col min="9" max="9" width="12.42578125" style="1" customWidth="1"/>
    <col min="10" max="10" width="11.42578125" style="1"/>
    <col min="11" max="11" width="15.85546875" style="1" customWidth="1"/>
    <col min="12" max="12" width="11.42578125" style="1"/>
    <col min="13" max="13" width="14.140625" style="1" customWidth="1"/>
    <col min="14" max="16384" width="11.42578125" style="1"/>
  </cols>
  <sheetData>
    <row r="1" spans="1:24" ht="15.75" x14ac:dyDescent="0.3">
      <c r="J1"/>
      <c r="K1"/>
      <c r="L1"/>
      <c r="M1"/>
      <c r="N1"/>
      <c r="O1"/>
      <c r="P1"/>
      <c r="Q1"/>
      <c r="R1"/>
      <c r="S1"/>
      <c r="T1"/>
      <c r="U1"/>
      <c r="V1"/>
      <c r="W1"/>
      <c r="X1"/>
    </row>
    <row r="2" spans="1:24" ht="15.75" x14ac:dyDescent="0.3">
      <c r="J2"/>
      <c r="K2"/>
      <c r="L2"/>
      <c r="M2"/>
      <c r="N2"/>
      <c r="O2"/>
      <c r="P2"/>
      <c r="Q2"/>
      <c r="R2"/>
      <c r="S2"/>
      <c r="T2"/>
      <c r="U2"/>
      <c r="V2"/>
      <c r="W2"/>
      <c r="X2"/>
    </row>
    <row r="3" spans="1:24" ht="15.75" x14ac:dyDescent="0.3">
      <c r="J3"/>
      <c r="K3"/>
      <c r="L3"/>
      <c r="M3"/>
      <c r="N3"/>
      <c r="O3"/>
      <c r="P3"/>
      <c r="Q3"/>
      <c r="R3"/>
      <c r="S3"/>
      <c r="T3"/>
      <c r="U3"/>
      <c r="V3"/>
      <c r="W3"/>
      <c r="X3"/>
    </row>
    <row r="4" spans="1:24" ht="15.75" x14ac:dyDescent="0.3">
      <c r="J4"/>
      <c r="K4"/>
      <c r="L4"/>
      <c r="M4"/>
      <c r="N4"/>
      <c r="O4"/>
      <c r="P4"/>
      <c r="Q4"/>
      <c r="R4"/>
      <c r="S4"/>
      <c r="T4"/>
      <c r="U4"/>
      <c r="V4"/>
      <c r="W4"/>
      <c r="X4"/>
    </row>
    <row r="5" spans="1:24" ht="15.75" x14ac:dyDescent="0.3">
      <c r="A5" s="5"/>
      <c r="J5"/>
      <c r="K5"/>
      <c r="L5"/>
      <c r="M5"/>
      <c r="N5"/>
      <c r="O5"/>
      <c r="P5"/>
      <c r="Q5"/>
      <c r="R5"/>
      <c r="S5"/>
      <c r="T5"/>
      <c r="U5"/>
      <c r="V5"/>
      <c r="W5"/>
      <c r="X5"/>
    </row>
    <row r="6" spans="1:24" ht="18.75" x14ac:dyDescent="0.3">
      <c r="A6" s="2" t="s">
        <v>2</v>
      </c>
      <c r="E6" s="5" t="s">
        <v>3</v>
      </c>
      <c r="F6" s="1" t="s">
        <v>4</v>
      </c>
      <c r="J6"/>
      <c r="K6"/>
      <c r="L6"/>
      <c r="M6"/>
      <c r="N6"/>
      <c r="O6"/>
      <c r="P6"/>
      <c r="Q6"/>
      <c r="R6"/>
      <c r="S6"/>
      <c r="T6"/>
      <c r="U6"/>
      <c r="V6"/>
      <c r="W6"/>
      <c r="X6"/>
    </row>
    <row r="7" spans="1:24" ht="15.75" x14ac:dyDescent="0.3">
      <c r="J7"/>
      <c r="K7"/>
      <c r="L7"/>
      <c r="M7"/>
      <c r="N7"/>
      <c r="O7"/>
      <c r="P7"/>
      <c r="Q7"/>
      <c r="R7"/>
      <c r="S7"/>
      <c r="T7"/>
      <c r="U7"/>
      <c r="V7"/>
      <c r="W7"/>
      <c r="X7"/>
    </row>
    <row r="8" spans="1:24" ht="15.75" x14ac:dyDescent="0.3">
      <c r="J8"/>
      <c r="K8"/>
      <c r="L8"/>
      <c r="M8"/>
      <c r="N8"/>
      <c r="O8"/>
      <c r="P8"/>
      <c r="Q8"/>
      <c r="R8"/>
      <c r="S8"/>
      <c r="T8"/>
      <c r="U8"/>
      <c r="V8"/>
      <c r="W8"/>
      <c r="X8"/>
    </row>
    <row r="9" spans="1:24" s="5" customFormat="1" ht="15" x14ac:dyDescent="0.25">
      <c r="A9" s="5" t="s">
        <v>6</v>
      </c>
      <c r="C9" s="5" t="str">
        <f>+'cartón caja'!C9</f>
        <v>21 de septiembre de 2017.</v>
      </c>
      <c r="H9" s="5" t="s">
        <v>7</v>
      </c>
      <c r="J9"/>
      <c r="K9"/>
      <c r="L9"/>
      <c r="M9"/>
      <c r="N9"/>
      <c r="O9"/>
      <c r="P9"/>
      <c r="Q9"/>
      <c r="R9"/>
      <c r="S9"/>
      <c r="T9"/>
      <c r="U9"/>
      <c r="V9"/>
      <c r="W9"/>
      <c r="X9"/>
    </row>
    <row r="10" spans="1:24" ht="15.75" x14ac:dyDescent="0.3"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</row>
    <row r="11" spans="1:24" ht="16.5" thickBot="1" x14ac:dyDescent="0.35">
      <c r="A11" s="5" t="s">
        <v>8</v>
      </c>
      <c r="C11" s="1" t="str">
        <f>+'cartón caja'!C11</f>
        <v>Nespresso</v>
      </c>
      <c r="F11" s="5" t="s">
        <v>0</v>
      </c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</row>
    <row r="12" spans="1:24" ht="15.75" x14ac:dyDescent="0.3">
      <c r="A12" s="5"/>
      <c r="F12" s="11"/>
      <c r="G12" s="12"/>
      <c r="H12" s="13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</row>
    <row r="13" spans="1:24" ht="15.75" x14ac:dyDescent="0.3">
      <c r="A13" s="5" t="s">
        <v>10</v>
      </c>
      <c r="C13" s="1" t="str">
        <f>+'cartón caja'!C13</f>
        <v/>
      </c>
      <c r="F13" s="6"/>
      <c r="G13" s="7"/>
      <c r="H13" s="8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</row>
    <row r="14" spans="1:24" ht="15.75" x14ac:dyDescent="0.3">
      <c r="A14" s="5"/>
      <c r="F14" s="6"/>
      <c r="G14" s="7"/>
      <c r="H14" s="8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</row>
    <row r="15" spans="1:24" ht="15.75" x14ac:dyDescent="0.3">
      <c r="A15" s="5" t="s">
        <v>11</v>
      </c>
      <c r="C15" s="19" t="s">
        <v>119</v>
      </c>
      <c r="D15" s="18"/>
      <c r="E15" s="18"/>
      <c r="F15" s="72" t="s">
        <v>88</v>
      </c>
      <c r="G15" s="7"/>
      <c r="H15" s="8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</row>
    <row r="16" spans="1:24" ht="15.75" x14ac:dyDescent="0.3">
      <c r="C16" s="17" t="s">
        <v>183</v>
      </c>
      <c r="D16" s="18"/>
      <c r="E16" s="18"/>
      <c r="F16" s="46">
        <f>+Desarrollo!C83</f>
        <v>34</v>
      </c>
      <c r="G16" s="73" t="s">
        <v>82</v>
      </c>
      <c r="H16" s="74">
        <f>+Desarrollo!E83</f>
        <v>23.1</v>
      </c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</row>
    <row r="17" spans="1:24" ht="15.75" x14ac:dyDescent="0.3">
      <c r="C17" s="17" t="s">
        <v>94</v>
      </c>
      <c r="D17" s="18"/>
      <c r="E17" s="18"/>
      <c r="F17" s="72">
        <v>1</v>
      </c>
      <c r="G17" s="75" t="s">
        <v>83</v>
      </c>
      <c r="H17" s="8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</row>
    <row r="18" spans="1:24" ht="15.75" x14ac:dyDescent="0.3">
      <c r="C18" s="17"/>
      <c r="D18" s="18"/>
      <c r="E18" s="18"/>
      <c r="F18" s="72"/>
      <c r="G18" s="7"/>
      <c r="H18" s="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</row>
    <row r="19" spans="1:24" ht="15.75" x14ac:dyDescent="0.3">
      <c r="C19" s="20"/>
      <c r="D19" s="18"/>
      <c r="E19" s="18"/>
      <c r="F19" s="46"/>
      <c r="G19" s="73"/>
      <c r="H19" s="74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</row>
    <row r="20" spans="1:24" ht="15.75" x14ac:dyDescent="0.3">
      <c r="C20" s="18"/>
      <c r="D20" s="18"/>
      <c r="E20" s="18"/>
      <c r="F20" s="72"/>
      <c r="G20" s="75"/>
      <c r="H20" s="8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</row>
    <row r="21" spans="1:24" ht="15.75" x14ac:dyDescent="0.3">
      <c r="C21" s="18"/>
      <c r="D21" s="18"/>
      <c r="E21" s="18"/>
      <c r="F21" s="6"/>
      <c r="G21" s="7"/>
      <c r="H21" s="8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</row>
    <row r="22" spans="1:24" ht="16.5" thickBot="1" x14ac:dyDescent="0.35">
      <c r="C22" s="18"/>
      <c r="D22" s="18"/>
      <c r="E22" s="18"/>
      <c r="F22" s="14"/>
      <c r="G22" s="15"/>
      <c r="H22" s="16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</row>
    <row r="23" spans="1:24" ht="15.75" x14ac:dyDescent="0.3">
      <c r="A23" s="4" t="s">
        <v>13</v>
      </c>
      <c r="C23" s="21" t="s">
        <v>105</v>
      </c>
      <c r="D23" s="5" t="s">
        <v>14</v>
      </c>
      <c r="E23" s="22" t="s">
        <v>95</v>
      </c>
      <c r="F23" s="1" t="str">
        <f>+'cartón caja'!F23</f>
        <v>#4</v>
      </c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</row>
    <row r="24" spans="1:24" ht="15.75" x14ac:dyDescent="0.3"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</row>
    <row r="25" spans="1:24" ht="15.75" x14ac:dyDescent="0.3">
      <c r="A25" s="4" t="s">
        <v>15</v>
      </c>
      <c r="C25" s="23">
        <v>90</v>
      </c>
      <c r="D25" s="22" t="s">
        <v>16</v>
      </c>
      <c r="E25" s="24">
        <v>130</v>
      </c>
      <c r="F25" s="25">
        <f>+C25</f>
        <v>90</v>
      </c>
      <c r="G25" s="26" t="s">
        <v>16</v>
      </c>
      <c r="H25" s="26">
        <f>+E25</f>
        <v>130</v>
      </c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</row>
    <row r="26" spans="1:24" ht="15.75" x14ac:dyDescent="0.3">
      <c r="A26" s="4" t="s">
        <v>17</v>
      </c>
      <c r="B26" s="3"/>
      <c r="C26" s="27">
        <f>+F16</f>
        <v>34</v>
      </c>
      <c r="D26" s="28" t="s">
        <v>16</v>
      </c>
      <c r="E26" s="27">
        <f>+H16</f>
        <v>23.1</v>
      </c>
      <c r="F26" s="29">
        <f>+E26</f>
        <v>23.1</v>
      </c>
      <c r="G26" s="29" t="s">
        <v>16</v>
      </c>
      <c r="H26" s="29">
        <f>+C26</f>
        <v>34</v>
      </c>
      <c r="I26" s="30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</row>
    <row r="27" spans="1:24" ht="16.5" thickBot="1" x14ac:dyDescent="0.35">
      <c r="A27" s="3" t="s">
        <v>18</v>
      </c>
      <c r="B27" s="31"/>
      <c r="C27" s="32">
        <f>+C25/C26</f>
        <v>2.6470588235294117</v>
      </c>
      <c r="D27" s="33"/>
      <c r="E27" s="32">
        <f>+E25/E26</f>
        <v>5.6277056277056277</v>
      </c>
      <c r="F27" s="32">
        <f>+F25/F26</f>
        <v>3.8961038961038961</v>
      </c>
      <c r="G27" s="33"/>
      <c r="H27" s="32">
        <f>+H25/H26</f>
        <v>3.8235294117647061</v>
      </c>
      <c r="I27" s="30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</row>
    <row r="28" spans="1:24" ht="16.5" thickBot="1" x14ac:dyDescent="0.35">
      <c r="A28" s="3" t="s">
        <v>19</v>
      </c>
      <c r="B28" s="34"/>
      <c r="C28" s="35"/>
      <c r="D28" s="36">
        <v>10</v>
      </c>
      <c r="E28" s="37"/>
      <c r="F28" s="38"/>
      <c r="G28" s="39">
        <v>9</v>
      </c>
      <c r="H28" s="40" t="s">
        <v>20</v>
      </c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</row>
    <row r="29" spans="1:24" ht="15.75" x14ac:dyDescent="0.3">
      <c r="A29" s="3"/>
      <c r="B29" s="21"/>
      <c r="C29" s="30"/>
      <c r="G29" s="41"/>
      <c r="H29" s="30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</row>
    <row r="30" spans="1:24" ht="15.75" x14ac:dyDescent="0.3">
      <c r="A30" s="25" t="s">
        <v>21</v>
      </c>
      <c r="B30" s="25" t="s">
        <v>89</v>
      </c>
      <c r="D30" s="41" t="s">
        <v>22</v>
      </c>
      <c r="E30" s="42">
        <f>+'cartón caja'!E30</f>
        <v>39.429000000000002</v>
      </c>
      <c r="G30" s="1" t="s">
        <v>23</v>
      </c>
      <c r="H30" s="43">
        <v>0</v>
      </c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</row>
    <row r="31" spans="1:24" ht="15.75" x14ac:dyDescent="0.3">
      <c r="A31" s="3"/>
      <c r="B31" s="3"/>
      <c r="C31" s="3"/>
      <c r="D31" s="44" t="s">
        <v>24</v>
      </c>
      <c r="E31" s="42">
        <f>+H30*E30</f>
        <v>0</v>
      </c>
      <c r="H31" s="43"/>
      <c r="I31" s="30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</row>
    <row r="32" spans="1:24" ht="15.75" x14ac:dyDescent="0.3">
      <c r="D32" s="44" t="s">
        <v>25</v>
      </c>
      <c r="E32" s="45">
        <f>+E30-E31</f>
        <v>39.429000000000002</v>
      </c>
      <c r="I32" s="30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</row>
    <row r="33" spans="1:24" ht="15.75" x14ac:dyDescent="0.3">
      <c r="E33" s="21" t="s">
        <v>27</v>
      </c>
      <c r="F33" s="21" t="s">
        <v>28</v>
      </c>
      <c r="G33" s="21" t="s">
        <v>28</v>
      </c>
      <c r="H33" s="21" t="s">
        <v>28</v>
      </c>
      <c r="I33" s="30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</row>
    <row r="34" spans="1:24" ht="15.75" x14ac:dyDescent="0.3">
      <c r="D34" s="41" t="s">
        <v>29</v>
      </c>
      <c r="E34" s="47">
        <f>+E32</f>
        <v>39.429000000000002</v>
      </c>
      <c r="F34" s="47">
        <v>0</v>
      </c>
      <c r="G34" s="47">
        <v>0</v>
      </c>
      <c r="H34" s="47">
        <v>0</v>
      </c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</row>
    <row r="35" spans="1:24" ht="15.75" x14ac:dyDescent="0.3">
      <c r="D35" s="41" t="s">
        <v>30</v>
      </c>
      <c r="E35" s="47">
        <f>+E34*1.15</f>
        <v>45.343350000000001</v>
      </c>
      <c r="F35" s="47">
        <v>0</v>
      </c>
      <c r="G35" s="47">
        <v>0</v>
      </c>
      <c r="H35" s="47">
        <v>0</v>
      </c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</row>
    <row r="36" spans="1:24" ht="16.5" thickBot="1" x14ac:dyDescent="0.35">
      <c r="A36" s="3"/>
      <c r="G36" s="41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</row>
    <row r="37" spans="1:24" ht="15.75" x14ac:dyDescent="0.3">
      <c r="A37" s="3"/>
      <c r="B37" s="21"/>
      <c r="C37" s="30"/>
      <c r="E37" s="11" t="s">
        <v>32</v>
      </c>
      <c r="F37" s="12" t="s">
        <v>33</v>
      </c>
      <c r="G37" s="12"/>
      <c r="H37" s="13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</row>
    <row r="38" spans="1:24" ht="16.5" thickBot="1" x14ac:dyDescent="0.35">
      <c r="A38" s="4" t="s">
        <v>34</v>
      </c>
      <c r="C38" s="48">
        <v>10</v>
      </c>
      <c r="D38" s="49" t="s">
        <v>35</v>
      </c>
      <c r="E38" s="14"/>
      <c r="F38" s="15" t="s">
        <v>36</v>
      </c>
      <c r="G38" s="15"/>
      <c r="H38" s="16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</row>
    <row r="39" spans="1:24" ht="15.75" x14ac:dyDescent="0.3">
      <c r="A39" s="4"/>
      <c r="C39" s="21"/>
      <c r="D39" s="1" t="s">
        <v>37</v>
      </c>
      <c r="E39" s="3"/>
      <c r="F39" s="3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</row>
    <row r="40" spans="1:24" ht="15.75" x14ac:dyDescent="0.3">
      <c r="A40" s="4" t="s">
        <v>38</v>
      </c>
      <c r="B40" s="5"/>
      <c r="C40" s="50">
        <f>+B48/F17</f>
        <v>2000</v>
      </c>
      <c r="D40" s="24">
        <f>+'cartón caja'!D40</f>
        <v>100</v>
      </c>
      <c r="F40" s="44" t="s">
        <v>39</v>
      </c>
      <c r="G40" s="23">
        <v>1</v>
      </c>
      <c r="H40" s="3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</row>
    <row r="41" spans="1:24" ht="15.75" x14ac:dyDescent="0.3">
      <c r="A41" s="4" t="s">
        <v>40</v>
      </c>
      <c r="C41" s="34">
        <f>+C40+D40</f>
        <v>2100</v>
      </c>
      <c r="F41" s="44" t="s">
        <v>41</v>
      </c>
      <c r="G41" s="23">
        <v>1</v>
      </c>
      <c r="H41" s="3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</row>
    <row r="42" spans="1:24" ht="15.75" x14ac:dyDescent="0.3">
      <c r="A42" s="4" t="s">
        <v>42</v>
      </c>
      <c r="C42" s="34">
        <f>+C41/C38</f>
        <v>210</v>
      </c>
      <c r="F42" s="44" t="s">
        <v>43</v>
      </c>
      <c r="G42" s="23"/>
      <c r="H42" s="3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</row>
    <row r="43" spans="1:24" ht="15.75" x14ac:dyDescent="0.3">
      <c r="A43" s="4"/>
      <c r="C43" s="21"/>
      <c r="F43" s="41" t="s">
        <v>44</v>
      </c>
      <c r="G43" s="23">
        <f>+C40/1000</f>
        <v>2</v>
      </c>
      <c r="H43" s="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</row>
    <row r="44" spans="1:24" ht="15.75" x14ac:dyDescent="0.3">
      <c r="A44" s="4"/>
      <c r="C44" s="51"/>
      <c r="F44" s="44" t="s">
        <v>45</v>
      </c>
      <c r="G44" s="48">
        <f>+C41</f>
        <v>2100</v>
      </c>
      <c r="H44" s="3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</row>
    <row r="45" spans="1:24" ht="15.75" x14ac:dyDescent="0.3">
      <c r="A45" s="4"/>
      <c r="C45" s="21"/>
      <c r="E45" s="44"/>
      <c r="F45" s="44"/>
      <c r="G45" s="30"/>
      <c r="I45" s="3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</row>
    <row r="46" spans="1:24" ht="15.75" x14ac:dyDescent="0.3">
      <c r="A46" s="4" t="s">
        <v>46</v>
      </c>
      <c r="C46" s="25">
        <f>+C42*C38</f>
        <v>2100</v>
      </c>
      <c r="F46" s="44"/>
      <c r="G46" s="30"/>
      <c r="H46" s="3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</row>
    <row r="47" spans="1:24" ht="15.75" x14ac:dyDescent="0.3">
      <c r="A47" s="3"/>
      <c r="B47" s="3"/>
      <c r="C47" s="3"/>
      <c r="D47" s="3"/>
      <c r="E47" s="3"/>
      <c r="H47" s="3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</row>
    <row r="48" spans="1:24" ht="15.75" x14ac:dyDescent="0.3">
      <c r="A48" s="4" t="s">
        <v>77</v>
      </c>
      <c r="B48" s="21">
        <f>+'cartón caja'!B48</f>
        <v>2000</v>
      </c>
      <c r="C48" s="3"/>
      <c r="D48" s="25" t="s">
        <v>47</v>
      </c>
      <c r="E48" s="25" t="s">
        <v>48</v>
      </c>
      <c r="F48" s="25" t="s">
        <v>49</v>
      </c>
      <c r="G48" s="25" t="s">
        <v>50</v>
      </c>
      <c r="H48" s="25" t="s">
        <v>51</v>
      </c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</row>
    <row r="49" spans="1:24" ht="15.75" x14ac:dyDescent="0.3">
      <c r="A49" s="52" t="s">
        <v>52</v>
      </c>
      <c r="B49" s="53"/>
      <c r="C49" s="3"/>
      <c r="D49" s="21">
        <v>1</v>
      </c>
      <c r="E49" s="21">
        <v>0</v>
      </c>
      <c r="F49" s="21" t="s">
        <v>90</v>
      </c>
      <c r="G49" s="30">
        <v>7</v>
      </c>
      <c r="H49" s="30">
        <f>+(D49*E49)*G49</f>
        <v>0</v>
      </c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</row>
    <row r="50" spans="1:24" ht="15.75" x14ac:dyDescent="0.3">
      <c r="A50" s="53" t="s">
        <v>54</v>
      </c>
      <c r="B50" s="54">
        <f>+E34*C42</f>
        <v>8280.09</v>
      </c>
      <c r="C50" s="3"/>
      <c r="D50" s="21">
        <v>0</v>
      </c>
      <c r="E50" s="21">
        <v>0</v>
      </c>
      <c r="F50" s="21" t="s">
        <v>91</v>
      </c>
      <c r="G50" s="30">
        <v>250</v>
      </c>
      <c r="H50" s="30">
        <f>+(D50*E50)*G50</f>
        <v>0</v>
      </c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</row>
    <row r="51" spans="1:24" ht="15.75" x14ac:dyDescent="0.3">
      <c r="A51" s="53" t="s">
        <v>12</v>
      </c>
      <c r="B51" s="54">
        <f>+H61</f>
        <v>500</v>
      </c>
      <c r="C51" s="3"/>
      <c r="D51" s="21">
        <v>0</v>
      </c>
      <c r="E51" s="21">
        <v>0</v>
      </c>
      <c r="F51" s="21" t="s">
        <v>84</v>
      </c>
      <c r="G51" s="30">
        <v>500</v>
      </c>
      <c r="H51" s="30">
        <f>+G51*E51*D51</f>
        <v>0</v>
      </c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</row>
    <row r="52" spans="1:24" ht="15.75" x14ac:dyDescent="0.3">
      <c r="A52" s="53"/>
      <c r="B52" s="54"/>
      <c r="C52" s="3"/>
      <c r="D52" s="21">
        <v>1</v>
      </c>
      <c r="E52" s="21">
        <v>1</v>
      </c>
      <c r="F52" s="21" t="s">
        <v>99</v>
      </c>
      <c r="G52" s="30">
        <v>500</v>
      </c>
      <c r="H52" s="30">
        <f t="shared" ref="H52" si="0">+G52*E52</f>
        <v>500</v>
      </c>
      <c r="I52" s="30">
        <f>+(B72/100)*2</f>
        <v>202.44207000000003</v>
      </c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</row>
    <row r="53" spans="1:24" ht="16.5" x14ac:dyDescent="0.3">
      <c r="A53" s="53" t="s">
        <v>26</v>
      </c>
      <c r="B53" s="54">
        <v>0</v>
      </c>
      <c r="C53" s="3"/>
      <c r="D53" s="21">
        <v>1</v>
      </c>
      <c r="E53" s="21">
        <v>0</v>
      </c>
      <c r="F53" s="21" t="s">
        <v>79</v>
      </c>
      <c r="G53" s="30">
        <v>130</v>
      </c>
      <c r="H53" s="30">
        <f t="shared" ref="H53:H59" si="1">+G53*E53</f>
        <v>0</v>
      </c>
      <c r="I53" s="55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</row>
    <row r="54" spans="1:24" ht="15.75" x14ac:dyDescent="0.3">
      <c r="A54" s="56" t="s">
        <v>85</v>
      </c>
      <c r="B54" s="54">
        <v>0</v>
      </c>
      <c r="C54" s="3"/>
      <c r="D54" s="21">
        <v>1</v>
      </c>
      <c r="E54" s="21">
        <v>0</v>
      </c>
      <c r="F54" s="21" t="s">
        <v>80</v>
      </c>
      <c r="G54" s="30">
        <v>130</v>
      </c>
      <c r="H54" s="30">
        <f t="shared" si="1"/>
        <v>0</v>
      </c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</row>
    <row r="55" spans="1:24" ht="15.75" x14ac:dyDescent="0.3">
      <c r="A55" s="56" t="s">
        <v>86</v>
      </c>
      <c r="B55" s="54">
        <v>0</v>
      </c>
      <c r="D55" s="21">
        <v>0</v>
      </c>
      <c r="E55" s="21">
        <v>0</v>
      </c>
      <c r="F55" s="21" t="s">
        <v>31</v>
      </c>
      <c r="G55" s="30">
        <v>1.5</v>
      </c>
      <c r="H55" s="30">
        <f t="shared" si="1"/>
        <v>0</v>
      </c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</row>
    <row r="56" spans="1:24" ht="15.75" x14ac:dyDescent="0.3">
      <c r="A56" s="56" t="s">
        <v>87</v>
      </c>
      <c r="B56" s="54">
        <v>0</v>
      </c>
      <c r="D56" s="21">
        <v>1</v>
      </c>
      <c r="E56" s="21">
        <v>0</v>
      </c>
      <c r="F56" s="21" t="s">
        <v>55</v>
      </c>
      <c r="G56" s="30">
        <v>1.5</v>
      </c>
      <c r="H56" s="30">
        <f t="shared" si="1"/>
        <v>0</v>
      </c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</row>
    <row r="57" spans="1:24" ht="15.75" x14ac:dyDescent="0.3">
      <c r="A57" s="56"/>
      <c r="B57" s="56"/>
      <c r="D57" s="21">
        <v>0</v>
      </c>
      <c r="E57" s="21">
        <v>0</v>
      </c>
      <c r="F57" s="21" t="s">
        <v>56</v>
      </c>
      <c r="G57" s="30">
        <v>1.5</v>
      </c>
      <c r="H57" s="30">
        <f t="shared" si="1"/>
        <v>0</v>
      </c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</row>
    <row r="58" spans="1:24" ht="15.75" x14ac:dyDescent="0.3">
      <c r="A58" s="52" t="s">
        <v>58</v>
      </c>
      <c r="B58" s="57">
        <f>SUM(B50:B57)</f>
        <v>8780.09</v>
      </c>
      <c r="C58" s="3"/>
      <c r="D58" s="21">
        <v>0</v>
      </c>
      <c r="E58" s="21">
        <v>0</v>
      </c>
      <c r="F58" s="3" t="s">
        <v>59</v>
      </c>
      <c r="G58" s="30">
        <v>600</v>
      </c>
      <c r="H58" s="30">
        <f t="shared" si="1"/>
        <v>0</v>
      </c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</row>
    <row r="59" spans="1:24" ht="15.75" x14ac:dyDescent="0.3">
      <c r="A59" s="9"/>
      <c r="B59" s="58"/>
      <c r="C59" s="3"/>
      <c r="D59" s="21"/>
      <c r="E59" s="21"/>
      <c r="F59" s="3"/>
      <c r="G59" s="3"/>
      <c r="H59" s="30">
        <f t="shared" si="1"/>
        <v>0</v>
      </c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</row>
    <row r="60" spans="1:24" ht="15.75" x14ac:dyDescent="0.3">
      <c r="A60" s="9"/>
      <c r="B60" s="32">
        <f>+B58/B48</f>
        <v>4.3900449999999998</v>
      </c>
      <c r="C60" s="4" t="s">
        <v>61</v>
      </c>
      <c r="D60" s="3"/>
      <c r="E60" s="3"/>
      <c r="F60" s="3"/>
      <c r="G60" s="3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</row>
    <row r="61" spans="1:24" ht="15.75" x14ac:dyDescent="0.3">
      <c r="A61" s="3"/>
      <c r="B61" s="3"/>
      <c r="D61" s="3"/>
      <c r="E61" s="3"/>
      <c r="F61" s="3"/>
      <c r="G61" s="61" t="s">
        <v>62</v>
      </c>
      <c r="H61" s="30">
        <f>SUM(H49:H60)</f>
        <v>500</v>
      </c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</row>
    <row r="62" spans="1:24" ht="15.75" x14ac:dyDescent="0.3">
      <c r="D62" s="3"/>
      <c r="E62" s="3"/>
      <c r="G62" s="5" t="s">
        <v>63</v>
      </c>
      <c r="H62" s="76">
        <f>+'cartón caja'!H62</f>
        <v>1.2</v>
      </c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</row>
    <row r="63" spans="1:24" ht="15.75" x14ac:dyDescent="0.3">
      <c r="A63" s="4" t="s">
        <v>65</v>
      </c>
      <c r="B63" s="3"/>
      <c r="C63" s="3"/>
      <c r="E63" s="32">
        <f>+B72/C40</f>
        <v>5.0610517500000007</v>
      </c>
      <c r="G63" s="1" t="s">
        <v>66</v>
      </c>
      <c r="H63" s="62">
        <v>1.75</v>
      </c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</row>
    <row r="64" spans="1:24" ht="15.75" x14ac:dyDescent="0.3">
      <c r="A64" s="3"/>
      <c r="B64" s="4" t="s">
        <v>68</v>
      </c>
      <c r="C64" s="25" t="s">
        <v>69</v>
      </c>
      <c r="D64" s="3"/>
      <c r="E64" s="3"/>
      <c r="F64" s="3"/>
      <c r="G64" s="1" t="s">
        <v>66</v>
      </c>
      <c r="H64" s="62">
        <v>2</v>
      </c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</row>
    <row r="65" spans="1:24" ht="15.75" x14ac:dyDescent="0.3">
      <c r="A65" s="52" t="s">
        <v>71</v>
      </c>
      <c r="B65" s="53"/>
      <c r="C65" s="3"/>
      <c r="D65" s="3">
        <f>+B72*C68</f>
        <v>0</v>
      </c>
      <c r="E65" s="3"/>
      <c r="F65" s="3"/>
      <c r="G65" s="5" t="s">
        <v>81</v>
      </c>
      <c r="H65" s="62">
        <v>2.5</v>
      </c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</row>
    <row r="66" spans="1:24" ht="15.75" x14ac:dyDescent="0.3">
      <c r="A66" s="53" t="s">
        <v>54</v>
      </c>
      <c r="B66" s="54">
        <f>+E35*C42</f>
        <v>9522.1035000000011</v>
      </c>
      <c r="C66" s="63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</row>
    <row r="67" spans="1:24" ht="15.75" x14ac:dyDescent="0.3">
      <c r="A67" s="53" t="s">
        <v>12</v>
      </c>
      <c r="B67" s="54">
        <f>+H61*H62</f>
        <v>600</v>
      </c>
      <c r="C67" s="63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</row>
    <row r="68" spans="1:24" ht="15.75" x14ac:dyDescent="0.3">
      <c r="A68" s="53" t="str">
        <f>+A54</f>
        <v>Placas</v>
      </c>
      <c r="B68" s="54">
        <f>+B54*H63</f>
        <v>0</v>
      </c>
      <c r="C68" s="63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</row>
    <row r="69" spans="1:24" ht="15.75" x14ac:dyDescent="0.3">
      <c r="A69" s="53" t="str">
        <f>+A55</f>
        <v>Mensajeria</v>
      </c>
      <c r="B69" s="54">
        <f>+B55*H62</f>
        <v>0</v>
      </c>
      <c r="C69" s="63"/>
      <c r="F69" s="64" t="s">
        <v>73</v>
      </c>
      <c r="G69" s="32">
        <f>+B60</f>
        <v>4.3900449999999998</v>
      </c>
      <c r="H69" s="65">
        <f>+G69*B48</f>
        <v>8780.09</v>
      </c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</row>
    <row r="70" spans="1:24" ht="15.75" x14ac:dyDescent="0.3">
      <c r="A70" s="53" t="str">
        <f>+A56</f>
        <v>Listón</v>
      </c>
      <c r="B70" s="54">
        <f>+B56*H63</f>
        <v>0</v>
      </c>
      <c r="C70" s="66"/>
      <c r="F70" s="64" t="s">
        <v>75</v>
      </c>
      <c r="G70" s="32">
        <f>+C72</f>
        <v>5.0610517500000007</v>
      </c>
      <c r="H70" s="65">
        <f>+G70*B48</f>
        <v>10122.103500000001</v>
      </c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</row>
    <row r="71" spans="1:24" ht="15.75" x14ac:dyDescent="0.3">
      <c r="A71" s="53"/>
      <c r="B71" s="54"/>
      <c r="C71" s="66"/>
      <c r="F71" s="67" t="s">
        <v>76</v>
      </c>
      <c r="G71" s="68">
        <f>+G70-G69</f>
        <v>0.67100675000000098</v>
      </c>
      <c r="H71" s="65">
        <f>+G71*B48</f>
        <v>1342.0135000000021</v>
      </c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</row>
    <row r="72" spans="1:24" ht="15.75" x14ac:dyDescent="0.3">
      <c r="A72" s="52" t="s">
        <v>58</v>
      </c>
      <c r="B72" s="57">
        <f>SUM(B65:B71)</f>
        <v>10122.103500000001</v>
      </c>
      <c r="C72" s="68">
        <f>+B72/B48</f>
        <v>5.0610517500000007</v>
      </c>
      <c r="D72" s="5" t="s">
        <v>124</v>
      </c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</row>
    <row r="73" spans="1:24" ht="15.75" x14ac:dyDescent="0.3"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</row>
    <row r="74" spans="1:24" ht="15.75" x14ac:dyDescent="0.3"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</row>
    <row r="75" spans="1:24" ht="15.75" x14ac:dyDescent="0.3">
      <c r="A75" s="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</row>
    <row r="76" spans="1:24" x14ac:dyDescent="0.3">
      <c r="B76" s="69"/>
      <c r="C76" s="70"/>
    </row>
    <row r="80" spans="1:24" x14ac:dyDescent="0.3">
      <c r="J80" s="71"/>
    </row>
    <row r="86" spans="10:18" ht="16.5" x14ac:dyDescent="0.3">
      <c r="J86" s="55"/>
      <c r="K86" s="55"/>
      <c r="L86" s="55"/>
      <c r="M86" s="55"/>
      <c r="N86" s="55"/>
      <c r="O86" s="55"/>
      <c r="P86" s="55"/>
      <c r="Q86" s="55"/>
      <c r="R86" s="55"/>
    </row>
    <row r="87" spans="10:18" ht="16.5" x14ac:dyDescent="0.3">
      <c r="J87" s="55"/>
      <c r="K87" s="55"/>
      <c r="L87" s="55"/>
      <c r="M87" s="55"/>
      <c r="N87" s="55"/>
      <c r="O87" s="55"/>
      <c r="P87" s="55"/>
      <c r="Q87" s="55"/>
      <c r="R87" s="55"/>
    </row>
    <row r="88" spans="10:18" ht="16.5" x14ac:dyDescent="0.3">
      <c r="J88" s="55"/>
      <c r="K88" s="55"/>
      <c r="L88" s="55"/>
      <c r="M88" s="55"/>
      <c r="N88" s="55"/>
      <c r="O88" s="55"/>
      <c r="P88" s="55"/>
      <c r="Q88" s="55"/>
      <c r="R88" s="55"/>
    </row>
    <row r="89" spans="10:18" ht="16.5" x14ac:dyDescent="0.3">
      <c r="J89" s="55"/>
      <c r="K89" s="55"/>
      <c r="L89" s="55"/>
      <c r="M89" s="55"/>
      <c r="N89" s="55"/>
      <c r="O89" s="55"/>
      <c r="P89" s="55"/>
      <c r="Q89" s="55"/>
      <c r="R89" s="55"/>
    </row>
    <row r="90" spans="10:18" ht="16.5" x14ac:dyDescent="0.3">
      <c r="J90" s="55"/>
      <c r="K90" s="55"/>
      <c r="L90" s="55"/>
      <c r="M90" s="55"/>
      <c r="N90" s="55"/>
      <c r="O90" s="55"/>
      <c r="P90" s="55"/>
      <c r="Q90" s="55"/>
      <c r="R90" s="55"/>
    </row>
    <row r="91" spans="10:18" ht="16.5" x14ac:dyDescent="0.3">
      <c r="J91" s="55"/>
      <c r="K91" s="55"/>
      <c r="L91" s="55"/>
      <c r="M91" s="55"/>
      <c r="N91" s="55"/>
      <c r="O91" s="55"/>
      <c r="P91" s="55"/>
      <c r="Q91" s="55"/>
      <c r="R91" s="55"/>
    </row>
    <row r="92" spans="10:18" ht="16.5" x14ac:dyDescent="0.3">
      <c r="J92" s="55"/>
      <c r="K92" s="55"/>
      <c r="L92" s="55"/>
      <c r="M92" s="55"/>
      <c r="N92" s="55"/>
      <c r="O92" s="55"/>
      <c r="P92" s="55"/>
      <c r="Q92" s="55"/>
      <c r="R92" s="55"/>
    </row>
    <row r="93" spans="10:18" ht="16.5" x14ac:dyDescent="0.3">
      <c r="J93" s="55"/>
      <c r="K93" s="55"/>
      <c r="L93" s="55"/>
      <c r="M93" s="55"/>
      <c r="N93" s="55"/>
      <c r="O93" s="55"/>
      <c r="P93" s="55"/>
      <c r="Q93" s="55"/>
      <c r="R93" s="55"/>
    </row>
    <row r="94" spans="10:18" ht="16.5" x14ac:dyDescent="0.3">
      <c r="J94" s="55"/>
      <c r="K94" s="55"/>
      <c r="L94" s="55"/>
      <c r="M94" s="55"/>
      <c r="N94" s="55"/>
      <c r="O94" s="55"/>
      <c r="P94" s="55"/>
      <c r="Q94" s="55"/>
      <c r="R94" s="55"/>
    </row>
    <row r="95" spans="10:18" ht="16.5" x14ac:dyDescent="0.3">
      <c r="J95" s="55"/>
      <c r="K95" s="55"/>
      <c r="L95" s="55"/>
      <c r="M95" s="55"/>
      <c r="N95" s="55"/>
      <c r="O95" s="55"/>
      <c r="P95" s="55"/>
      <c r="Q95" s="55"/>
      <c r="R95" s="55"/>
    </row>
  </sheetData>
  <pageMargins left="0.70866141732283472" right="0.70866141732283472" top="0.74803149606299213" bottom="0.74803149606299213" header="0.31496062992125984" footer="0.31496062992125984"/>
  <pageSetup scale="61" orientation="portrait" r:id="rId1"/>
  <headerFooter>
    <oddFooter>&amp;A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X96"/>
  <sheetViews>
    <sheetView topLeftCell="A47" zoomScale="80" zoomScaleNormal="80" workbookViewId="0">
      <selection activeCell="G75" sqref="G75"/>
    </sheetView>
  </sheetViews>
  <sheetFormatPr baseColWidth="10" defaultRowHeight="14.25" x14ac:dyDescent="0.3"/>
  <cols>
    <col min="1" max="1" width="11.42578125" style="1"/>
    <col min="2" max="2" width="13.42578125" style="1" bestFit="1" customWidth="1"/>
    <col min="3" max="3" width="11.5703125" style="1" bestFit="1" customWidth="1"/>
    <col min="4" max="4" width="9.7109375" style="1" customWidth="1"/>
    <col min="5" max="5" width="14.28515625" style="1" customWidth="1"/>
    <col min="6" max="6" width="12.5703125" style="1" customWidth="1"/>
    <col min="7" max="7" width="13.42578125" style="1" customWidth="1"/>
    <col min="8" max="8" width="10.42578125" style="1" customWidth="1"/>
    <col min="9" max="9" width="12.42578125" style="1" customWidth="1"/>
    <col min="10" max="10" width="11.42578125" style="1"/>
    <col min="11" max="11" width="15.85546875" style="1" customWidth="1"/>
    <col min="12" max="12" width="11.42578125" style="1"/>
    <col min="13" max="13" width="14.140625" style="1" customWidth="1"/>
    <col min="14" max="16384" width="11.42578125" style="1"/>
  </cols>
  <sheetData>
    <row r="1" spans="1:24" ht="15.75" x14ac:dyDescent="0.3">
      <c r="J1"/>
      <c r="K1"/>
      <c r="L1"/>
      <c r="M1"/>
      <c r="N1"/>
      <c r="O1"/>
      <c r="P1"/>
      <c r="Q1"/>
      <c r="R1"/>
      <c r="S1"/>
      <c r="T1"/>
      <c r="U1"/>
      <c r="V1"/>
      <c r="W1"/>
      <c r="X1"/>
    </row>
    <row r="2" spans="1:24" ht="15.75" x14ac:dyDescent="0.3">
      <c r="J2"/>
      <c r="K2"/>
      <c r="L2"/>
      <c r="M2"/>
      <c r="N2"/>
      <c r="O2"/>
      <c r="P2"/>
      <c r="Q2"/>
      <c r="R2"/>
      <c r="S2"/>
      <c r="T2"/>
      <c r="U2"/>
      <c r="V2"/>
      <c r="W2"/>
      <c r="X2"/>
    </row>
    <row r="3" spans="1:24" ht="15.75" x14ac:dyDescent="0.3">
      <c r="J3"/>
      <c r="K3"/>
      <c r="L3"/>
      <c r="M3"/>
      <c r="N3"/>
      <c r="O3"/>
      <c r="P3"/>
      <c r="Q3"/>
      <c r="R3"/>
      <c r="S3"/>
      <c r="T3"/>
      <c r="U3"/>
      <c r="V3"/>
      <c r="W3"/>
      <c r="X3"/>
    </row>
    <row r="4" spans="1:24" ht="15.75" x14ac:dyDescent="0.3">
      <c r="J4"/>
      <c r="K4"/>
      <c r="L4"/>
      <c r="M4"/>
      <c r="N4"/>
      <c r="O4"/>
      <c r="P4"/>
      <c r="Q4"/>
      <c r="R4"/>
      <c r="S4"/>
      <c r="T4"/>
      <c r="U4"/>
      <c r="V4"/>
      <c r="W4"/>
      <c r="X4"/>
    </row>
    <row r="5" spans="1:24" ht="15.75" x14ac:dyDescent="0.3">
      <c r="A5" s="5"/>
      <c r="J5"/>
      <c r="K5"/>
      <c r="L5"/>
      <c r="M5"/>
      <c r="N5"/>
      <c r="O5"/>
      <c r="P5"/>
      <c r="Q5"/>
      <c r="R5"/>
      <c r="S5"/>
      <c r="T5"/>
      <c r="U5"/>
      <c r="V5"/>
      <c r="W5"/>
      <c r="X5"/>
    </row>
    <row r="6" spans="1:24" ht="18.75" x14ac:dyDescent="0.3">
      <c r="A6" s="2" t="s">
        <v>2</v>
      </c>
      <c r="E6" s="5" t="s">
        <v>3</v>
      </c>
      <c r="F6" s="1" t="s">
        <v>4</v>
      </c>
      <c r="J6"/>
      <c r="K6"/>
      <c r="L6"/>
      <c r="M6"/>
      <c r="N6"/>
      <c r="O6"/>
      <c r="P6"/>
      <c r="Q6"/>
      <c r="R6"/>
      <c r="S6"/>
      <c r="T6"/>
      <c r="U6"/>
      <c r="V6"/>
      <c r="W6"/>
      <c r="X6"/>
    </row>
    <row r="7" spans="1:24" ht="15.75" x14ac:dyDescent="0.3">
      <c r="J7"/>
      <c r="K7"/>
      <c r="L7"/>
      <c r="M7"/>
      <c r="N7"/>
      <c r="O7"/>
      <c r="P7"/>
      <c r="Q7"/>
      <c r="R7"/>
      <c r="S7"/>
      <c r="T7"/>
      <c r="U7"/>
      <c r="V7"/>
      <c r="W7"/>
      <c r="X7"/>
    </row>
    <row r="8" spans="1:24" ht="15.75" x14ac:dyDescent="0.3">
      <c r="J8"/>
      <c r="K8"/>
      <c r="L8"/>
      <c r="M8"/>
      <c r="N8"/>
      <c r="O8"/>
      <c r="P8"/>
      <c r="Q8"/>
      <c r="R8"/>
      <c r="S8"/>
      <c r="T8"/>
      <c r="U8"/>
      <c r="V8"/>
      <c r="W8"/>
      <c r="X8"/>
    </row>
    <row r="9" spans="1:24" s="5" customFormat="1" ht="15" x14ac:dyDescent="0.25">
      <c r="A9" s="5" t="s">
        <v>6</v>
      </c>
      <c r="C9" s="5" t="str">
        <f>+'cartón caja'!C9</f>
        <v>21 de septiembre de 2017.</v>
      </c>
      <c r="H9" s="5" t="s">
        <v>7</v>
      </c>
      <c r="J9"/>
      <c r="K9"/>
      <c r="L9"/>
      <c r="M9"/>
      <c r="N9"/>
      <c r="O9"/>
      <c r="P9"/>
      <c r="Q9"/>
      <c r="R9"/>
      <c r="S9"/>
      <c r="T9"/>
      <c r="U9"/>
      <c r="V9"/>
      <c r="W9"/>
      <c r="X9"/>
    </row>
    <row r="10" spans="1:24" ht="15.75" x14ac:dyDescent="0.3"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</row>
    <row r="11" spans="1:24" ht="16.5" thickBot="1" x14ac:dyDescent="0.35">
      <c r="A11" s="5" t="s">
        <v>8</v>
      </c>
      <c r="C11" s="1" t="str">
        <f>+'cartón caja'!C11</f>
        <v>Nespresso</v>
      </c>
      <c r="F11" s="5" t="s">
        <v>0</v>
      </c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</row>
    <row r="12" spans="1:24" ht="15.75" x14ac:dyDescent="0.3">
      <c r="A12" s="5"/>
      <c r="F12" s="11"/>
      <c r="G12" s="12"/>
      <c r="H12" s="13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</row>
    <row r="13" spans="1:24" ht="15.75" x14ac:dyDescent="0.3">
      <c r="A13" s="5" t="s">
        <v>10</v>
      </c>
      <c r="C13" s="1" t="str">
        <f>+'cartón cartera'!C13</f>
        <v/>
      </c>
      <c r="F13" s="6"/>
      <c r="G13" s="7"/>
      <c r="H13" s="8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</row>
    <row r="14" spans="1:24" ht="15.75" x14ac:dyDescent="0.3">
      <c r="A14" s="5"/>
      <c r="F14" s="6"/>
      <c r="G14" s="7"/>
      <c r="H14" s="8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</row>
    <row r="15" spans="1:24" ht="15.75" x14ac:dyDescent="0.3">
      <c r="A15" s="5" t="s">
        <v>11</v>
      </c>
      <c r="C15" s="19" t="s">
        <v>165</v>
      </c>
      <c r="D15" s="18"/>
      <c r="E15" s="18"/>
      <c r="F15" s="72" t="s">
        <v>88</v>
      </c>
      <c r="G15" s="7"/>
      <c r="H15" s="8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</row>
    <row r="16" spans="1:24" ht="15.75" x14ac:dyDescent="0.3">
      <c r="C16" s="17" t="s">
        <v>184</v>
      </c>
      <c r="D16" s="18"/>
      <c r="E16" s="18"/>
      <c r="F16" s="46">
        <f>+Desarrollo!C11</f>
        <v>22.6</v>
      </c>
      <c r="G16" s="73" t="s">
        <v>82</v>
      </c>
      <c r="H16" s="74">
        <f>+Desarrollo!D11</f>
        <v>16.5</v>
      </c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</row>
    <row r="17" spans="1:24" ht="15.75" x14ac:dyDescent="0.3">
      <c r="C17" s="17"/>
      <c r="D17" s="18"/>
      <c r="E17" s="18"/>
      <c r="F17" s="72">
        <v>1</v>
      </c>
      <c r="G17" s="75" t="s">
        <v>83</v>
      </c>
      <c r="H17" s="8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</row>
    <row r="18" spans="1:24" ht="15.75" x14ac:dyDescent="0.3">
      <c r="C18" s="17"/>
      <c r="D18" s="18"/>
      <c r="E18" s="18"/>
      <c r="F18" s="72"/>
      <c r="G18" s="7"/>
      <c r="H18" s="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</row>
    <row r="19" spans="1:24" ht="15.75" x14ac:dyDescent="0.3">
      <c r="C19" s="20"/>
      <c r="D19" s="18"/>
      <c r="E19" s="18"/>
      <c r="F19" s="46"/>
      <c r="G19" s="73"/>
      <c r="H19" s="74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</row>
    <row r="20" spans="1:24" ht="15.75" x14ac:dyDescent="0.3">
      <c r="C20" s="18"/>
      <c r="D20" s="18"/>
      <c r="E20" s="18"/>
      <c r="F20" s="72"/>
      <c r="G20" s="75"/>
      <c r="H20" s="8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</row>
    <row r="21" spans="1:24" ht="15.75" x14ac:dyDescent="0.3">
      <c r="C21" s="18"/>
      <c r="D21" s="18"/>
      <c r="E21" s="18"/>
      <c r="F21" s="6"/>
      <c r="G21" s="7"/>
      <c r="H21" s="8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</row>
    <row r="22" spans="1:24" ht="16.5" thickBot="1" x14ac:dyDescent="0.35">
      <c r="C22" s="18"/>
      <c r="D22" s="18"/>
      <c r="E22" s="18"/>
      <c r="F22" s="14"/>
      <c r="G22" s="15"/>
      <c r="H22" s="16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</row>
    <row r="23" spans="1:24" ht="15.75" x14ac:dyDescent="0.3">
      <c r="A23" s="4" t="s">
        <v>13</v>
      </c>
      <c r="C23" s="21" t="str">
        <f>+Desarrollo!A53</f>
        <v>Espuma 3 cm.</v>
      </c>
      <c r="D23" s="5" t="s">
        <v>14</v>
      </c>
      <c r="E23" s="22" t="str">
        <f>+Desarrollo!B49</f>
        <v>Gris</v>
      </c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</row>
    <row r="24" spans="1:24" ht="15.75" x14ac:dyDescent="0.3">
      <c r="A24" s="4"/>
      <c r="D24" s="5"/>
      <c r="E24" s="22"/>
      <c r="J24" s="129"/>
      <c r="K24" s="129"/>
      <c r="L24" s="129"/>
      <c r="M24" s="129"/>
      <c r="N24" s="129"/>
      <c r="O24" s="129"/>
      <c r="P24" s="129"/>
      <c r="Q24" s="129"/>
      <c r="R24" s="129"/>
      <c r="S24" s="129"/>
      <c r="T24" s="129"/>
      <c r="U24" s="129"/>
      <c r="V24" s="129"/>
      <c r="W24" s="129"/>
      <c r="X24" s="129"/>
    </row>
    <row r="25" spans="1:24" ht="15.75" x14ac:dyDescent="0.3"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</row>
    <row r="26" spans="1:24" ht="15.75" x14ac:dyDescent="0.3">
      <c r="A26" s="4" t="s">
        <v>15</v>
      </c>
      <c r="C26" s="23">
        <f>+Desarrollo!C49</f>
        <v>100</v>
      </c>
      <c r="D26" s="22" t="s">
        <v>16</v>
      </c>
      <c r="E26" s="24">
        <f>+Desarrollo!E49</f>
        <v>200</v>
      </c>
      <c r="F26" s="25">
        <f>+C26</f>
        <v>100</v>
      </c>
      <c r="G26" s="26" t="s">
        <v>16</v>
      </c>
      <c r="H26" s="26">
        <f>+E26</f>
        <v>200</v>
      </c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</row>
    <row r="27" spans="1:24" ht="15.75" x14ac:dyDescent="0.3">
      <c r="A27" s="4" t="s">
        <v>17</v>
      </c>
      <c r="B27" s="3"/>
      <c r="C27" s="27">
        <f>+F16</f>
        <v>22.6</v>
      </c>
      <c r="D27" s="28" t="s">
        <v>16</v>
      </c>
      <c r="E27" s="27">
        <f>+H16</f>
        <v>16.5</v>
      </c>
      <c r="F27" s="29">
        <f>+E27</f>
        <v>16.5</v>
      </c>
      <c r="G27" s="29" t="s">
        <v>16</v>
      </c>
      <c r="H27" s="29">
        <f>+C27</f>
        <v>22.6</v>
      </c>
      <c r="I27" s="30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</row>
    <row r="28" spans="1:24" ht="16.5" thickBot="1" x14ac:dyDescent="0.35">
      <c r="A28" s="3" t="s">
        <v>18</v>
      </c>
      <c r="B28" s="31"/>
      <c r="C28" s="32">
        <f>+C26/C27</f>
        <v>4.4247787610619467</v>
      </c>
      <c r="D28" s="33"/>
      <c r="E28" s="32">
        <f>+E26/E27</f>
        <v>12.121212121212121</v>
      </c>
      <c r="F28" s="32">
        <f>+F26/F27</f>
        <v>6.0606060606060606</v>
      </c>
      <c r="G28" s="33"/>
      <c r="H28" s="32">
        <f>+H26/H27</f>
        <v>8.8495575221238933</v>
      </c>
      <c r="I28" s="30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</row>
    <row r="29" spans="1:24" ht="16.5" thickBot="1" x14ac:dyDescent="0.35">
      <c r="A29" s="3" t="s">
        <v>19</v>
      </c>
      <c r="B29" s="34"/>
      <c r="C29" s="35"/>
      <c r="D29" s="36">
        <v>48</v>
      </c>
      <c r="E29" s="37"/>
      <c r="F29" s="38"/>
      <c r="G29" s="39">
        <v>48</v>
      </c>
      <c r="H29" s="40" t="s">
        <v>20</v>
      </c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</row>
    <row r="30" spans="1:24" ht="15.75" x14ac:dyDescent="0.3">
      <c r="A30" s="3"/>
      <c r="B30" s="21"/>
      <c r="C30" s="30"/>
      <c r="G30" s="41"/>
      <c r="H30" s="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</row>
    <row r="31" spans="1:24" ht="15.75" x14ac:dyDescent="0.3">
      <c r="A31" s="25" t="s">
        <v>21</v>
      </c>
      <c r="B31" s="25"/>
      <c r="D31" s="41" t="s">
        <v>22</v>
      </c>
      <c r="E31" s="42">
        <f>+Desarrollo!F53</f>
        <v>240</v>
      </c>
      <c r="F31" s="117"/>
      <c r="G31" s="1" t="s">
        <v>23</v>
      </c>
      <c r="H31" s="43">
        <v>0</v>
      </c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</row>
    <row r="32" spans="1:24" ht="15.75" x14ac:dyDescent="0.3">
      <c r="A32" s="3"/>
      <c r="B32" s="3"/>
      <c r="C32" s="3"/>
      <c r="D32" s="44" t="s">
        <v>24</v>
      </c>
      <c r="E32" s="42">
        <f>+H31*E31</f>
        <v>0</v>
      </c>
      <c r="H32" s="43"/>
      <c r="I32" s="30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</row>
    <row r="33" spans="1:24" ht="15.75" x14ac:dyDescent="0.3">
      <c r="D33" s="44" t="s">
        <v>25</v>
      </c>
      <c r="E33" s="45">
        <f>+E31-E32</f>
        <v>240</v>
      </c>
      <c r="I33" s="30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</row>
    <row r="34" spans="1:24" ht="15.75" x14ac:dyDescent="0.3">
      <c r="E34" s="21" t="s">
        <v>27</v>
      </c>
      <c r="F34" s="21" t="s">
        <v>28</v>
      </c>
      <c r="G34" s="21" t="s">
        <v>28</v>
      </c>
      <c r="H34" s="21" t="s">
        <v>28</v>
      </c>
      <c r="I34" s="30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</row>
    <row r="35" spans="1:24" ht="15.75" x14ac:dyDescent="0.3">
      <c r="D35" s="41" t="s">
        <v>29</v>
      </c>
      <c r="E35" s="47">
        <f>+E33</f>
        <v>240</v>
      </c>
      <c r="F35" s="47">
        <v>0</v>
      </c>
      <c r="G35" s="47">
        <v>0</v>
      </c>
      <c r="H35" s="47">
        <v>0</v>
      </c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</row>
    <row r="36" spans="1:24" ht="15.75" x14ac:dyDescent="0.3">
      <c r="D36" s="41" t="s">
        <v>30</v>
      </c>
      <c r="E36" s="47">
        <f>+E35*1.1</f>
        <v>264</v>
      </c>
      <c r="F36" s="47">
        <v>0</v>
      </c>
      <c r="G36" s="47">
        <v>0</v>
      </c>
      <c r="H36" s="47">
        <v>0</v>
      </c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</row>
    <row r="37" spans="1:24" ht="16.5" thickBot="1" x14ac:dyDescent="0.35">
      <c r="A37" s="3"/>
      <c r="G37" s="41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</row>
    <row r="38" spans="1:24" ht="15.75" x14ac:dyDescent="0.3">
      <c r="A38" s="3"/>
      <c r="B38" s="21"/>
      <c r="C38" s="30"/>
      <c r="E38" s="11" t="s">
        <v>32</v>
      </c>
      <c r="F38" s="12" t="s">
        <v>33</v>
      </c>
      <c r="G38" s="12"/>
      <c r="H38" s="13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</row>
    <row r="39" spans="1:24" ht="16.5" thickBot="1" x14ac:dyDescent="0.35">
      <c r="A39" s="4" t="s">
        <v>34</v>
      </c>
      <c r="C39" s="48">
        <v>48</v>
      </c>
      <c r="D39" s="49" t="s">
        <v>35</v>
      </c>
      <c r="E39" s="14"/>
      <c r="F39" s="15" t="s">
        <v>36</v>
      </c>
      <c r="G39" s="15"/>
      <c r="H39" s="16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</row>
    <row r="40" spans="1:24" ht="15.75" x14ac:dyDescent="0.3">
      <c r="A40" s="4"/>
      <c r="C40" s="21"/>
      <c r="D40" s="1" t="s">
        <v>37</v>
      </c>
      <c r="E40" s="3"/>
      <c r="F40" s="3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</row>
    <row r="41" spans="1:24" ht="15.75" x14ac:dyDescent="0.3">
      <c r="A41" s="4" t="s">
        <v>38</v>
      </c>
      <c r="B41" s="5"/>
      <c r="C41" s="50">
        <f>+B49/F17</f>
        <v>2000</v>
      </c>
      <c r="D41" s="24">
        <f>+'cartón cartera'!D40*1</f>
        <v>100</v>
      </c>
      <c r="F41" s="44" t="s">
        <v>39</v>
      </c>
      <c r="G41" s="23">
        <v>1</v>
      </c>
      <c r="H41" s="3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</row>
    <row r="42" spans="1:24" ht="15.75" x14ac:dyDescent="0.3">
      <c r="A42" s="4" t="s">
        <v>40</v>
      </c>
      <c r="C42" s="34">
        <f>+C41+D41</f>
        <v>2100</v>
      </c>
      <c r="F42" s="44" t="s">
        <v>41</v>
      </c>
      <c r="G42" s="23">
        <v>1</v>
      </c>
      <c r="H42" s="3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</row>
    <row r="43" spans="1:24" ht="15.75" x14ac:dyDescent="0.3">
      <c r="A43" s="4" t="s">
        <v>42</v>
      </c>
      <c r="C43" s="34">
        <v>46</v>
      </c>
      <c r="D43" s="127">
        <f>+C42/C39</f>
        <v>43.75</v>
      </c>
      <c r="F43" s="44" t="s">
        <v>43</v>
      </c>
      <c r="G43" s="23"/>
      <c r="H43" s="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</row>
    <row r="44" spans="1:24" ht="15.75" x14ac:dyDescent="0.3">
      <c r="A44" s="4"/>
      <c r="C44" s="21"/>
      <c r="F44" s="41" t="s">
        <v>44</v>
      </c>
      <c r="G44" s="23">
        <f>+C41/1000</f>
        <v>2</v>
      </c>
      <c r="H44" s="3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</row>
    <row r="45" spans="1:24" ht="15.75" x14ac:dyDescent="0.3">
      <c r="A45" s="4"/>
      <c r="C45" s="51"/>
      <c r="F45" s="44" t="s">
        <v>45</v>
      </c>
      <c r="G45" s="48">
        <f>+C42</f>
        <v>2100</v>
      </c>
      <c r="H45" s="3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</row>
    <row r="46" spans="1:24" ht="15.75" x14ac:dyDescent="0.3">
      <c r="A46" s="4"/>
      <c r="C46" s="21"/>
      <c r="E46" s="44"/>
      <c r="F46" s="44"/>
      <c r="G46" s="30"/>
      <c r="I46" s="3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</row>
    <row r="47" spans="1:24" ht="15.75" x14ac:dyDescent="0.3">
      <c r="A47" s="4" t="s">
        <v>46</v>
      </c>
      <c r="C47" s="25">
        <f>+C43*C39</f>
        <v>2208</v>
      </c>
      <c r="F47" s="44"/>
      <c r="G47" s="30"/>
      <c r="H47" s="3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</row>
    <row r="48" spans="1:24" ht="15.75" x14ac:dyDescent="0.3">
      <c r="A48" s="3"/>
      <c r="B48" s="3"/>
      <c r="C48" s="3"/>
      <c r="D48" s="3"/>
      <c r="E48" s="3"/>
      <c r="H48" s="3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</row>
    <row r="49" spans="1:24" ht="15.75" x14ac:dyDescent="0.3">
      <c r="A49" s="4" t="s">
        <v>77</v>
      </c>
      <c r="B49" s="21">
        <f>+Desarrollo!B7</f>
        <v>2000</v>
      </c>
      <c r="C49" s="21"/>
      <c r="D49" s="25" t="s">
        <v>47</v>
      </c>
      <c r="E49" s="25" t="s">
        <v>48</v>
      </c>
      <c r="F49" s="25" t="s">
        <v>49</v>
      </c>
      <c r="G49" s="25" t="s">
        <v>50</v>
      </c>
      <c r="H49" s="25" t="s">
        <v>51</v>
      </c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</row>
    <row r="50" spans="1:24" ht="15.75" x14ac:dyDescent="0.3">
      <c r="A50" s="52" t="s">
        <v>52</v>
      </c>
      <c r="B50" s="53"/>
      <c r="C50" s="3"/>
      <c r="D50" s="21">
        <v>1</v>
      </c>
      <c r="E50" s="21">
        <v>0</v>
      </c>
      <c r="F50" s="21" t="s">
        <v>90</v>
      </c>
      <c r="G50" s="30">
        <v>7</v>
      </c>
      <c r="H50" s="30">
        <f>+(D50*E50)*G50</f>
        <v>0</v>
      </c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</row>
    <row r="51" spans="1:24" ht="15.75" x14ac:dyDescent="0.3">
      <c r="A51" s="53" t="s">
        <v>54</v>
      </c>
      <c r="B51" s="54">
        <f>+E35*C43</f>
        <v>11040</v>
      </c>
      <c r="C51" s="3"/>
      <c r="D51" s="21">
        <v>0</v>
      </c>
      <c r="E51" s="21">
        <v>0</v>
      </c>
      <c r="F51" s="21" t="s">
        <v>91</v>
      </c>
      <c r="G51" s="30">
        <v>250</v>
      </c>
      <c r="H51" s="30">
        <f>+(D51*E51)*G51</f>
        <v>0</v>
      </c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</row>
    <row r="52" spans="1:24" ht="15.75" x14ac:dyDescent="0.3">
      <c r="A52" s="53" t="s">
        <v>12</v>
      </c>
      <c r="B52" s="54">
        <f>+H62</f>
        <v>835</v>
      </c>
      <c r="C52" s="3"/>
      <c r="D52" s="21">
        <v>0</v>
      </c>
      <c r="E52" s="21">
        <v>0</v>
      </c>
      <c r="F52" s="21" t="s">
        <v>84</v>
      </c>
      <c r="G52" s="30">
        <v>500</v>
      </c>
      <c r="H52" s="30">
        <f t="shared" ref="H52:H57" si="0">+(D52*E52)*G52</f>
        <v>0</v>
      </c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</row>
    <row r="53" spans="1:24" ht="15.75" x14ac:dyDescent="0.3">
      <c r="A53" s="53"/>
      <c r="B53" s="54"/>
      <c r="C53" s="3"/>
      <c r="D53" s="21">
        <v>1</v>
      </c>
      <c r="E53" s="21">
        <v>1</v>
      </c>
      <c r="F53" s="21" t="s">
        <v>99</v>
      </c>
      <c r="G53" s="30">
        <v>400</v>
      </c>
      <c r="H53" s="30">
        <f t="shared" si="0"/>
        <v>400</v>
      </c>
      <c r="I53" s="30">
        <f>+(B73/100)*2</f>
        <v>272.52</v>
      </c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</row>
    <row r="54" spans="1:24" ht="16.5" x14ac:dyDescent="0.3">
      <c r="A54" s="53" t="s">
        <v>26</v>
      </c>
      <c r="B54" s="54">
        <v>400</v>
      </c>
      <c r="C54" s="3"/>
      <c r="D54" s="21">
        <v>1</v>
      </c>
      <c r="E54" s="21">
        <v>1</v>
      </c>
      <c r="F54" s="21" t="s">
        <v>79</v>
      </c>
      <c r="G54" s="30">
        <v>145</v>
      </c>
      <c r="H54" s="30">
        <f t="shared" si="0"/>
        <v>145</v>
      </c>
      <c r="I54" s="55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</row>
    <row r="55" spans="1:24" ht="15.75" x14ac:dyDescent="0.3">
      <c r="A55" s="56" t="s">
        <v>85</v>
      </c>
      <c r="B55" s="54">
        <v>0</v>
      </c>
      <c r="C55" s="3"/>
      <c r="D55" s="21">
        <v>1</v>
      </c>
      <c r="E55" s="21">
        <v>2</v>
      </c>
      <c r="F55" s="21" t="s">
        <v>80</v>
      </c>
      <c r="G55" s="30">
        <v>145</v>
      </c>
      <c r="H55" s="30">
        <f t="shared" si="0"/>
        <v>290</v>
      </c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</row>
    <row r="56" spans="1:24" ht="15.75" x14ac:dyDescent="0.3">
      <c r="A56" s="56" t="s">
        <v>86</v>
      </c>
      <c r="B56" s="54">
        <v>0</v>
      </c>
      <c r="D56" s="21">
        <v>0</v>
      </c>
      <c r="E56" s="21">
        <v>0</v>
      </c>
      <c r="F56" s="21" t="s">
        <v>31</v>
      </c>
      <c r="G56" s="30">
        <v>1.5</v>
      </c>
      <c r="H56" s="30">
        <f t="shared" si="0"/>
        <v>0</v>
      </c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</row>
    <row r="57" spans="1:24" ht="15.75" x14ac:dyDescent="0.3">
      <c r="A57" s="56" t="s">
        <v>87</v>
      </c>
      <c r="B57" s="54">
        <v>0</v>
      </c>
      <c r="D57" s="21">
        <v>1</v>
      </c>
      <c r="E57" s="21">
        <v>0</v>
      </c>
      <c r="F57" s="21" t="s">
        <v>55</v>
      </c>
      <c r="G57" s="30">
        <v>1.5</v>
      </c>
      <c r="H57" s="30">
        <f t="shared" si="0"/>
        <v>0</v>
      </c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</row>
    <row r="58" spans="1:24" ht="15.75" x14ac:dyDescent="0.3">
      <c r="A58" s="56"/>
      <c r="B58" s="56"/>
      <c r="D58" s="21">
        <v>0</v>
      </c>
      <c r="E58" s="21">
        <v>0</v>
      </c>
      <c r="F58" s="21" t="s">
        <v>169</v>
      </c>
      <c r="G58" s="30">
        <f>+G82</f>
        <v>550</v>
      </c>
      <c r="H58" s="30">
        <f t="shared" ref="H58:H60" si="1">+G58*E58</f>
        <v>0</v>
      </c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</row>
    <row r="59" spans="1:24" ht="15.75" x14ac:dyDescent="0.3">
      <c r="A59" s="52" t="s">
        <v>58</v>
      </c>
      <c r="B59" s="57">
        <f>SUM(B51:B58)</f>
        <v>12275</v>
      </c>
      <c r="C59" s="3"/>
      <c r="D59" s="21">
        <v>0</v>
      </c>
      <c r="E59" s="21">
        <v>0</v>
      </c>
      <c r="F59" s="3" t="s">
        <v>59</v>
      </c>
      <c r="G59" s="30">
        <v>600</v>
      </c>
      <c r="H59" s="30">
        <f t="shared" si="1"/>
        <v>0</v>
      </c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</row>
    <row r="60" spans="1:24" ht="15.75" x14ac:dyDescent="0.3">
      <c r="A60" s="9"/>
      <c r="B60" s="58"/>
      <c r="C60" s="3"/>
      <c r="D60" s="21"/>
      <c r="E60" s="21"/>
      <c r="F60" s="3"/>
      <c r="G60" s="3"/>
      <c r="H60" s="30">
        <f t="shared" si="1"/>
        <v>0</v>
      </c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</row>
    <row r="61" spans="1:24" ht="15.75" x14ac:dyDescent="0.3">
      <c r="A61" s="9"/>
      <c r="B61" s="32">
        <f>+B59/B49</f>
        <v>6.1375000000000002</v>
      </c>
      <c r="C61" s="4" t="s">
        <v>61</v>
      </c>
      <c r="D61" s="3"/>
      <c r="E61" s="3"/>
      <c r="F61" s="3"/>
      <c r="G61" s="3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</row>
    <row r="62" spans="1:24" ht="15.75" x14ac:dyDescent="0.3">
      <c r="A62" s="3"/>
      <c r="B62" s="3"/>
      <c r="D62" s="3"/>
      <c r="E62" s="3"/>
      <c r="F62" s="3"/>
      <c r="G62" s="61" t="s">
        <v>62</v>
      </c>
      <c r="H62" s="30">
        <f>SUM(H50:H61)</f>
        <v>835</v>
      </c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</row>
    <row r="63" spans="1:24" ht="15.75" x14ac:dyDescent="0.3">
      <c r="D63" s="3"/>
      <c r="E63" s="3"/>
      <c r="G63" s="5" t="s">
        <v>63</v>
      </c>
      <c r="H63" s="76">
        <f>+'cartón caja'!H62</f>
        <v>1.2</v>
      </c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</row>
    <row r="64" spans="1:24" ht="15.75" x14ac:dyDescent="0.3">
      <c r="A64" s="4" t="s">
        <v>65</v>
      </c>
      <c r="B64" s="3"/>
      <c r="C64" s="3"/>
      <c r="E64" s="32">
        <f>+B73/C41</f>
        <v>6.8129999999999997</v>
      </c>
      <c r="G64" s="1" t="s">
        <v>66</v>
      </c>
      <c r="H64" s="62">
        <v>1.75</v>
      </c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</row>
    <row r="65" spans="1:24" ht="15.75" x14ac:dyDescent="0.3">
      <c r="A65" s="3"/>
      <c r="B65" s="4" t="s">
        <v>68</v>
      </c>
      <c r="C65" s="25" t="s">
        <v>69</v>
      </c>
      <c r="D65" s="3"/>
      <c r="E65" s="3"/>
      <c r="F65" s="3"/>
      <c r="G65" s="1" t="s">
        <v>66</v>
      </c>
      <c r="H65" s="62">
        <v>2</v>
      </c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</row>
    <row r="66" spans="1:24" ht="15.75" x14ac:dyDescent="0.3">
      <c r="A66" s="52" t="s">
        <v>71</v>
      </c>
      <c r="B66" s="53"/>
      <c r="C66" s="3"/>
      <c r="D66" s="3">
        <f>+B73*C69</f>
        <v>0</v>
      </c>
      <c r="E66" s="3"/>
      <c r="F66" s="3"/>
      <c r="G66" s="5" t="s">
        <v>81</v>
      </c>
      <c r="H66" s="62">
        <v>2.5</v>
      </c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</row>
    <row r="67" spans="1:24" ht="15.75" x14ac:dyDescent="0.3">
      <c r="A67" s="53" t="s">
        <v>54</v>
      </c>
      <c r="B67" s="54">
        <f>+E36*C43</f>
        <v>12144</v>
      </c>
      <c r="C67" s="63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</row>
    <row r="68" spans="1:24" ht="15.75" x14ac:dyDescent="0.3">
      <c r="A68" s="53" t="s">
        <v>12</v>
      </c>
      <c r="B68" s="54">
        <f>+H62*H63</f>
        <v>1002</v>
      </c>
      <c r="C68" s="63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</row>
    <row r="69" spans="1:24" ht="15.75" x14ac:dyDescent="0.3">
      <c r="A69" s="53" t="str">
        <f>+A55</f>
        <v>Placas</v>
      </c>
      <c r="B69" s="54">
        <f>+B54*H63</f>
        <v>480</v>
      </c>
      <c r="C69" s="63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</row>
    <row r="70" spans="1:24" ht="15.75" x14ac:dyDescent="0.3">
      <c r="A70" s="53" t="str">
        <f>+A56</f>
        <v>Mensajeria</v>
      </c>
      <c r="B70" s="54">
        <f>+B56*H63</f>
        <v>0</v>
      </c>
      <c r="C70" s="63"/>
      <c r="F70" s="64" t="s">
        <v>73</v>
      </c>
      <c r="G70" s="32">
        <f>+B61</f>
        <v>6.1375000000000002</v>
      </c>
      <c r="H70" s="65">
        <f>+G70*C49</f>
        <v>0</v>
      </c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</row>
    <row r="71" spans="1:24" ht="15.75" x14ac:dyDescent="0.3">
      <c r="A71" s="53" t="str">
        <f>+A57</f>
        <v>Listón</v>
      </c>
      <c r="B71" s="54">
        <f>+B57*H64</f>
        <v>0</v>
      </c>
      <c r="C71" s="66"/>
      <c r="F71" s="64" t="s">
        <v>75</v>
      </c>
      <c r="G71" s="32">
        <f>+C73</f>
        <v>6.8129999999999997</v>
      </c>
      <c r="H71" s="65">
        <f>+G71*C49</f>
        <v>0</v>
      </c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</row>
    <row r="72" spans="1:24" ht="15.75" x14ac:dyDescent="0.3">
      <c r="A72" s="53"/>
      <c r="B72" s="54"/>
      <c r="C72" s="66"/>
      <c r="F72" s="67" t="s">
        <v>76</v>
      </c>
      <c r="G72" s="68">
        <f>+G71-G70</f>
        <v>0.67549999999999955</v>
      </c>
      <c r="H72" s="65">
        <f>+G72*C49</f>
        <v>0</v>
      </c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</row>
    <row r="73" spans="1:24" ht="15.75" x14ac:dyDescent="0.3">
      <c r="A73" s="52" t="s">
        <v>58</v>
      </c>
      <c r="B73" s="57">
        <f>SUM(B66:B72)</f>
        <v>13626</v>
      </c>
      <c r="C73" s="68">
        <f>+B73/B49</f>
        <v>6.8129999999999997</v>
      </c>
      <c r="D73" s="5" t="s">
        <v>194</v>
      </c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</row>
    <row r="74" spans="1:24" ht="15.75" x14ac:dyDescent="0.3"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</row>
    <row r="75" spans="1:24" ht="15.75" x14ac:dyDescent="0.3"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</row>
    <row r="76" spans="1:24" ht="15.75" x14ac:dyDescent="0.3">
      <c r="A76" s="5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</row>
    <row r="77" spans="1:24" ht="15" thickBot="1" x14ac:dyDescent="0.35">
      <c r="A77" s="5" t="s">
        <v>9</v>
      </c>
    </row>
    <row r="78" spans="1:24" x14ac:dyDescent="0.3">
      <c r="A78" s="11" t="s">
        <v>102</v>
      </c>
      <c r="B78" s="12"/>
      <c r="C78" s="12"/>
      <c r="D78" s="12"/>
      <c r="E78" s="12"/>
      <c r="F78" s="12"/>
      <c r="G78" s="13"/>
    </row>
    <row r="79" spans="1:24" x14ac:dyDescent="0.3">
      <c r="A79" s="46">
        <f>+F16</f>
        <v>22.6</v>
      </c>
      <c r="B79" s="73">
        <f>+H16</f>
        <v>16.5</v>
      </c>
      <c r="C79" s="7" t="s">
        <v>101</v>
      </c>
      <c r="D79" s="73" t="s">
        <v>103</v>
      </c>
      <c r="E79" s="7" t="s">
        <v>104</v>
      </c>
      <c r="F79" s="92" t="s">
        <v>122</v>
      </c>
      <c r="G79" s="118">
        <v>550</v>
      </c>
    </row>
    <row r="80" spans="1:24" x14ac:dyDescent="0.3">
      <c r="A80" s="46">
        <f>0.463*0.503*C41</f>
        <v>465.77800000000002</v>
      </c>
      <c r="B80" s="78">
        <v>4</v>
      </c>
      <c r="C80" s="78">
        <f>+A80*B80</f>
        <v>1863.1120000000001</v>
      </c>
      <c r="D80" s="78">
        <v>0</v>
      </c>
      <c r="E80" s="119">
        <f>+C80+D80</f>
        <v>1863.1120000000001</v>
      </c>
      <c r="F80" s="75" t="s">
        <v>167</v>
      </c>
      <c r="G80" s="8"/>
    </row>
    <row r="81" spans="1:18" x14ac:dyDescent="0.3">
      <c r="A81" s="6"/>
      <c r="B81" s="78"/>
      <c r="C81" s="78"/>
      <c r="D81" s="78"/>
      <c r="E81" s="78"/>
      <c r="F81" s="7"/>
      <c r="G81" s="8"/>
      <c r="J81" s="71"/>
    </row>
    <row r="82" spans="1:18" x14ac:dyDescent="0.3">
      <c r="A82" s="46">
        <f>+A79</f>
        <v>22.6</v>
      </c>
      <c r="B82" s="73">
        <f>+B79</f>
        <v>16.5</v>
      </c>
      <c r="C82" s="7" t="s">
        <v>101</v>
      </c>
      <c r="D82" s="73" t="s">
        <v>103</v>
      </c>
      <c r="E82" s="7" t="s">
        <v>104</v>
      </c>
      <c r="F82" s="92" t="s">
        <v>122</v>
      </c>
      <c r="G82" s="118">
        <v>550</v>
      </c>
    </row>
    <row r="83" spans="1:18" x14ac:dyDescent="0.3">
      <c r="A83" s="46">
        <f>0.155*0.15*C42</f>
        <v>48.825000000000003</v>
      </c>
      <c r="B83" s="78">
        <f>4.1*2</f>
        <v>8.1999999999999993</v>
      </c>
      <c r="C83" s="78">
        <f>+A83*B83</f>
        <v>400.36500000000001</v>
      </c>
      <c r="D83" s="78">
        <v>0</v>
      </c>
      <c r="E83" s="119">
        <f>+C83+D83</f>
        <v>400.36500000000001</v>
      </c>
      <c r="F83" s="75" t="s">
        <v>166</v>
      </c>
      <c r="G83" s="8"/>
    </row>
    <row r="84" spans="1:18" x14ac:dyDescent="0.3">
      <c r="A84" s="6"/>
      <c r="B84" s="7"/>
      <c r="C84" s="78"/>
      <c r="D84" s="78"/>
      <c r="E84" s="78"/>
      <c r="F84" s="78"/>
      <c r="G84" s="8"/>
    </row>
    <row r="85" spans="1:18" ht="15" thickBot="1" x14ac:dyDescent="0.35">
      <c r="A85" s="14"/>
      <c r="B85" s="15"/>
      <c r="C85" s="15"/>
      <c r="D85" s="15"/>
      <c r="E85" s="15"/>
      <c r="F85" s="15"/>
      <c r="G85" s="16"/>
    </row>
    <row r="87" spans="1:18" ht="16.5" x14ac:dyDescent="0.3">
      <c r="J87" s="55"/>
      <c r="K87" s="55"/>
      <c r="L87" s="55"/>
      <c r="M87" s="55"/>
      <c r="N87" s="55"/>
      <c r="O87" s="55"/>
      <c r="P87" s="55"/>
      <c r="Q87" s="55"/>
      <c r="R87" s="55"/>
    </row>
    <row r="88" spans="1:18" ht="16.5" x14ac:dyDescent="0.3">
      <c r="J88" s="55"/>
      <c r="K88" s="55"/>
      <c r="L88" s="55"/>
      <c r="M88" s="55"/>
      <c r="N88" s="55"/>
      <c r="O88" s="55"/>
      <c r="P88" s="55"/>
      <c r="Q88" s="55"/>
      <c r="R88" s="55"/>
    </row>
    <row r="89" spans="1:18" ht="16.5" x14ac:dyDescent="0.3">
      <c r="J89" s="55"/>
      <c r="K89" s="55"/>
      <c r="L89" s="55"/>
      <c r="M89" s="55"/>
      <c r="N89" s="55"/>
      <c r="O89" s="55"/>
      <c r="P89" s="55"/>
      <c r="Q89" s="55"/>
      <c r="R89" s="55"/>
    </row>
    <row r="90" spans="1:18" ht="16.5" x14ac:dyDescent="0.3">
      <c r="J90" s="55"/>
      <c r="K90" s="55"/>
      <c r="L90" s="55"/>
      <c r="M90" s="55"/>
      <c r="N90" s="55"/>
      <c r="O90" s="55"/>
      <c r="P90" s="55"/>
      <c r="Q90" s="55"/>
      <c r="R90" s="55"/>
    </row>
    <row r="91" spans="1:18" ht="16.5" x14ac:dyDescent="0.3">
      <c r="J91" s="55"/>
      <c r="K91" s="55"/>
      <c r="L91" s="55"/>
      <c r="M91" s="55"/>
      <c r="N91" s="55"/>
      <c r="O91" s="55"/>
      <c r="P91" s="55"/>
      <c r="Q91" s="55"/>
      <c r="R91" s="55"/>
    </row>
    <row r="92" spans="1:18" ht="16.5" x14ac:dyDescent="0.3">
      <c r="J92" s="55"/>
      <c r="K92" s="55"/>
      <c r="L92" s="55"/>
      <c r="M92" s="55"/>
      <c r="N92" s="55"/>
      <c r="O92" s="55"/>
      <c r="P92" s="55"/>
      <c r="Q92" s="55"/>
      <c r="R92" s="55"/>
    </row>
    <row r="93" spans="1:18" ht="16.5" x14ac:dyDescent="0.3">
      <c r="J93" s="55"/>
      <c r="K93" s="55"/>
      <c r="L93" s="55"/>
      <c r="M93" s="55"/>
      <c r="N93" s="55"/>
      <c r="O93" s="55"/>
      <c r="P93" s="55"/>
      <c r="Q93" s="55"/>
      <c r="R93" s="55"/>
    </row>
    <row r="94" spans="1:18" ht="16.5" x14ac:dyDescent="0.3">
      <c r="J94" s="55"/>
      <c r="K94" s="55"/>
      <c r="L94" s="55"/>
      <c r="M94" s="55"/>
      <c r="N94" s="55"/>
      <c r="O94" s="55"/>
      <c r="P94" s="55"/>
      <c r="Q94" s="55"/>
      <c r="R94" s="55"/>
    </row>
    <row r="95" spans="1:18" ht="16.5" x14ac:dyDescent="0.3">
      <c r="J95" s="55"/>
      <c r="K95" s="55"/>
      <c r="L95" s="55"/>
      <c r="M95" s="55"/>
      <c r="N95" s="55"/>
      <c r="O95" s="55"/>
      <c r="P95" s="55"/>
      <c r="Q95" s="55"/>
      <c r="R95" s="55"/>
    </row>
    <row r="96" spans="1:18" ht="16.5" x14ac:dyDescent="0.3">
      <c r="J96" s="55"/>
      <c r="K96" s="55"/>
      <c r="L96" s="55"/>
      <c r="M96" s="55"/>
      <c r="N96" s="55"/>
      <c r="O96" s="55"/>
      <c r="P96" s="55"/>
      <c r="Q96" s="55"/>
      <c r="R96" s="55"/>
    </row>
  </sheetData>
  <pageMargins left="0.70866141732283472" right="0.70866141732283472" top="0.74803149606299213" bottom="0.74803149606299213" header="0.31496062992125984" footer="0.31496062992125984"/>
  <pageSetup scale="53" orientation="portrait" r:id="rId1"/>
  <headerFooter>
    <oddFooter>&amp;A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X96"/>
  <sheetViews>
    <sheetView topLeftCell="A50" zoomScale="80" zoomScaleNormal="80" workbookViewId="0">
      <selection activeCell="G54" sqref="G54"/>
    </sheetView>
  </sheetViews>
  <sheetFormatPr baseColWidth="10" defaultRowHeight="14.25" x14ac:dyDescent="0.3"/>
  <cols>
    <col min="1" max="1" width="11.42578125" style="1"/>
    <col min="2" max="2" width="13.42578125" style="1" bestFit="1" customWidth="1"/>
    <col min="3" max="3" width="11.5703125" style="1" bestFit="1" customWidth="1"/>
    <col min="4" max="4" width="9.7109375" style="1" customWidth="1"/>
    <col min="5" max="5" width="14.28515625" style="1" customWidth="1"/>
    <col min="6" max="6" width="12.5703125" style="1" customWidth="1"/>
    <col min="7" max="7" width="13.42578125" style="1" customWidth="1"/>
    <col min="8" max="8" width="10.42578125" style="1" customWidth="1"/>
    <col min="9" max="9" width="12.42578125" style="1" customWidth="1"/>
    <col min="10" max="10" width="11.42578125" style="1"/>
    <col min="11" max="11" width="15.85546875" style="1" customWidth="1"/>
    <col min="12" max="12" width="11.42578125" style="1"/>
    <col min="13" max="13" width="14.140625" style="1" customWidth="1"/>
    <col min="14" max="16384" width="11.42578125" style="1"/>
  </cols>
  <sheetData>
    <row r="1" spans="1:24" ht="15.75" x14ac:dyDescent="0.3">
      <c r="J1" s="129"/>
      <c r="K1" s="129"/>
      <c r="L1" s="129"/>
      <c r="M1" s="129"/>
      <c r="N1" s="129"/>
      <c r="O1" s="129"/>
      <c r="P1" s="129"/>
      <c r="Q1" s="129"/>
      <c r="R1" s="129"/>
      <c r="S1" s="129"/>
      <c r="T1" s="129"/>
      <c r="U1" s="129"/>
      <c r="V1" s="129"/>
      <c r="W1" s="129"/>
      <c r="X1" s="129"/>
    </row>
    <row r="2" spans="1:24" ht="15.75" x14ac:dyDescent="0.3">
      <c r="J2" s="129"/>
      <c r="K2" s="129"/>
      <c r="L2" s="129"/>
      <c r="M2" s="129"/>
      <c r="N2" s="129"/>
      <c r="O2" s="129"/>
      <c r="P2" s="129"/>
      <c r="Q2" s="129"/>
      <c r="R2" s="129"/>
      <c r="S2" s="129"/>
      <c r="T2" s="129"/>
      <c r="U2" s="129"/>
      <c r="V2" s="129"/>
      <c r="W2" s="129"/>
      <c r="X2" s="129"/>
    </row>
    <row r="3" spans="1:24" ht="15.75" x14ac:dyDescent="0.3">
      <c r="J3" s="129"/>
      <c r="K3" s="129"/>
      <c r="L3" s="129"/>
      <c r="M3" s="129"/>
      <c r="N3" s="129"/>
      <c r="O3" s="129"/>
      <c r="P3" s="129"/>
      <c r="Q3" s="129"/>
      <c r="R3" s="129"/>
      <c r="S3" s="129"/>
      <c r="T3" s="129"/>
      <c r="U3" s="129"/>
      <c r="V3" s="129"/>
      <c r="W3" s="129"/>
      <c r="X3" s="129"/>
    </row>
    <row r="4" spans="1:24" ht="15.75" x14ac:dyDescent="0.3">
      <c r="J4" s="129"/>
      <c r="K4" s="129"/>
      <c r="L4" s="129"/>
      <c r="M4" s="129"/>
      <c r="N4" s="129"/>
      <c r="O4" s="129"/>
      <c r="P4" s="129"/>
      <c r="Q4" s="129"/>
      <c r="R4" s="129"/>
      <c r="S4" s="129"/>
      <c r="T4" s="129"/>
      <c r="U4" s="129"/>
      <c r="V4" s="129"/>
      <c r="W4" s="129"/>
      <c r="X4" s="129"/>
    </row>
    <row r="5" spans="1:24" ht="15.75" x14ac:dyDescent="0.3">
      <c r="A5" s="5"/>
      <c r="J5" s="129"/>
      <c r="K5" s="129"/>
      <c r="L5" s="129"/>
      <c r="M5" s="129"/>
      <c r="N5" s="129"/>
      <c r="O5" s="129"/>
      <c r="P5" s="129"/>
      <c r="Q5" s="129"/>
      <c r="R5" s="129"/>
      <c r="S5" s="129"/>
      <c r="T5" s="129"/>
      <c r="U5" s="129"/>
      <c r="V5" s="129"/>
      <c r="W5" s="129"/>
      <c r="X5" s="129"/>
    </row>
    <row r="6" spans="1:24" ht="18.75" x14ac:dyDescent="0.3">
      <c r="A6" s="2" t="s">
        <v>2</v>
      </c>
      <c r="E6" s="5" t="s">
        <v>3</v>
      </c>
      <c r="F6" s="1" t="s">
        <v>4</v>
      </c>
      <c r="J6" s="129"/>
      <c r="K6" s="129"/>
      <c r="L6" s="129"/>
      <c r="M6" s="129"/>
      <c r="N6" s="129"/>
      <c r="O6" s="129"/>
      <c r="P6" s="129"/>
      <c r="Q6" s="129"/>
      <c r="R6" s="129"/>
      <c r="S6" s="129"/>
      <c r="T6" s="129"/>
      <c r="U6" s="129"/>
      <c r="V6" s="129"/>
      <c r="W6" s="129"/>
      <c r="X6" s="129"/>
    </row>
    <row r="7" spans="1:24" ht="15.75" x14ac:dyDescent="0.3">
      <c r="J7" s="129"/>
      <c r="K7" s="129"/>
      <c r="L7" s="129"/>
      <c r="M7" s="129"/>
      <c r="N7" s="129"/>
      <c r="O7" s="129"/>
      <c r="P7" s="129"/>
      <c r="Q7" s="129"/>
      <c r="R7" s="129"/>
      <c r="S7" s="129"/>
      <c r="T7" s="129"/>
      <c r="U7" s="129"/>
      <c r="V7" s="129"/>
      <c r="W7" s="129"/>
      <c r="X7" s="129"/>
    </row>
    <row r="8" spans="1:24" ht="15.75" x14ac:dyDescent="0.3">
      <c r="J8" s="129"/>
      <c r="K8" s="129"/>
      <c r="L8" s="129"/>
      <c r="M8" s="129"/>
      <c r="N8" s="129"/>
      <c r="O8" s="129"/>
      <c r="P8" s="129"/>
      <c r="Q8" s="129"/>
      <c r="R8" s="129"/>
      <c r="S8" s="129"/>
      <c r="T8" s="129"/>
      <c r="U8" s="129"/>
      <c r="V8" s="129"/>
      <c r="W8" s="129"/>
      <c r="X8" s="129"/>
    </row>
    <row r="9" spans="1:24" s="5" customFormat="1" ht="15" x14ac:dyDescent="0.25">
      <c r="A9" s="5" t="s">
        <v>6</v>
      </c>
      <c r="C9" s="5" t="str">
        <f>+'cartón caja'!C9</f>
        <v>21 de septiembre de 2017.</v>
      </c>
      <c r="H9" s="5" t="s">
        <v>7</v>
      </c>
      <c r="J9" s="129"/>
      <c r="K9" s="129"/>
      <c r="L9" s="129"/>
      <c r="M9" s="129"/>
      <c r="N9" s="129"/>
      <c r="O9" s="129"/>
      <c r="P9" s="129"/>
      <c r="Q9" s="129"/>
      <c r="R9" s="129"/>
      <c r="S9" s="129"/>
      <c r="T9" s="129"/>
      <c r="U9" s="129"/>
      <c r="V9" s="129"/>
      <c r="W9" s="129"/>
      <c r="X9" s="129"/>
    </row>
    <row r="10" spans="1:24" ht="15.75" x14ac:dyDescent="0.3">
      <c r="J10" s="129"/>
      <c r="K10" s="129"/>
      <c r="L10" s="129"/>
      <c r="M10" s="129"/>
      <c r="N10" s="129"/>
      <c r="O10" s="129"/>
      <c r="P10" s="129"/>
      <c r="Q10" s="129"/>
      <c r="R10" s="129"/>
      <c r="S10" s="129"/>
      <c r="T10" s="129"/>
      <c r="U10" s="129"/>
      <c r="V10" s="129"/>
      <c r="W10" s="129"/>
      <c r="X10" s="129"/>
    </row>
    <row r="11" spans="1:24" ht="16.5" thickBot="1" x14ac:dyDescent="0.35">
      <c r="A11" s="5" t="s">
        <v>8</v>
      </c>
      <c r="C11" s="1" t="str">
        <f>+'cartón caja'!C11</f>
        <v>Nespresso</v>
      </c>
      <c r="F11" s="5" t="s">
        <v>0</v>
      </c>
      <c r="J11" s="129"/>
      <c r="K11" s="129"/>
      <c r="L11" s="129"/>
      <c r="M11" s="129"/>
      <c r="N11" s="129"/>
      <c r="O11" s="129"/>
      <c r="P11" s="129"/>
      <c r="Q11" s="129"/>
      <c r="R11" s="129"/>
      <c r="S11" s="129"/>
      <c r="T11" s="129"/>
      <c r="U11" s="129"/>
      <c r="V11" s="129"/>
      <c r="W11" s="129"/>
      <c r="X11" s="129"/>
    </row>
    <row r="12" spans="1:24" ht="15.75" x14ac:dyDescent="0.3">
      <c r="A12" s="5"/>
      <c r="F12" s="11"/>
      <c r="G12" s="12"/>
      <c r="H12" s="13"/>
      <c r="J12" s="129"/>
      <c r="K12" s="129"/>
      <c r="L12" s="129"/>
      <c r="M12" s="129"/>
      <c r="N12" s="129"/>
      <c r="O12" s="129"/>
      <c r="P12" s="129"/>
      <c r="Q12" s="129"/>
      <c r="R12" s="129"/>
      <c r="S12" s="129"/>
      <c r="T12" s="129"/>
      <c r="U12" s="129"/>
      <c r="V12" s="129"/>
      <c r="W12" s="129"/>
      <c r="X12" s="129"/>
    </row>
    <row r="13" spans="1:24" ht="15.75" x14ac:dyDescent="0.3">
      <c r="A13" s="5" t="s">
        <v>10</v>
      </c>
      <c r="C13" s="1" t="str">
        <f>+'cartón cartera'!C13</f>
        <v/>
      </c>
      <c r="F13" s="6"/>
      <c r="G13" s="7"/>
      <c r="H13" s="8"/>
      <c r="J13" s="129"/>
      <c r="K13" s="129"/>
      <c r="L13" s="129"/>
      <c r="M13" s="129"/>
      <c r="N13" s="129"/>
      <c r="O13" s="129"/>
      <c r="P13" s="129"/>
      <c r="Q13" s="129"/>
      <c r="R13" s="129"/>
      <c r="S13" s="129"/>
      <c r="T13" s="129"/>
      <c r="U13" s="129"/>
      <c r="V13" s="129"/>
      <c r="W13" s="129"/>
      <c r="X13" s="129"/>
    </row>
    <row r="14" spans="1:24" ht="15.75" x14ac:dyDescent="0.3">
      <c r="A14" s="5"/>
      <c r="F14" s="6"/>
      <c r="G14" s="7"/>
      <c r="H14" s="8"/>
      <c r="J14" s="129"/>
      <c r="K14" s="129"/>
      <c r="L14" s="129"/>
      <c r="M14" s="129"/>
      <c r="N14" s="129"/>
      <c r="O14" s="129"/>
      <c r="P14" s="129"/>
      <c r="Q14" s="129"/>
      <c r="R14" s="129"/>
      <c r="S14" s="129"/>
      <c r="T14" s="129"/>
      <c r="U14" s="129"/>
      <c r="V14" s="129"/>
      <c r="W14" s="129"/>
      <c r="X14" s="129"/>
    </row>
    <row r="15" spans="1:24" ht="15.75" x14ac:dyDescent="0.3">
      <c r="A15" s="5" t="s">
        <v>11</v>
      </c>
      <c r="C15" s="19" t="s">
        <v>165</v>
      </c>
      <c r="D15" s="18"/>
      <c r="E15" s="18"/>
      <c r="F15" s="72" t="s">
        <v>88</v>
      </c>
      <c r="G15" s="7"/>
      <c r="H15" s="8"/>
      <c r="J15" s="129"/>
      <c r="K15" s="129"/>
      <c r="L15" s="129"/>
      <c r="M15" s="129"/>
      <c r="N15" s="129"/>
      <c r="O15" s="129"/>
      <c r="P15" s="129"/>
      <c r="Q15" s="129"/>
      <c r="R15" s="129"/>
      <c r="S15" s="129"/>
      <c r="T15" s="129"/>
      <c r="U15" s="129"/>
      <c r="V15" s="129"/>
      <c r="W15" s="129"/>
      <c r="X15" s="129"/>
    </row>
    <row r="16" spans="1:24" ht="15.75" x14ac:dyDescent="0.3">
      <c r="C16" s="17" t="s">
        <v>184</v>
      </c>
      <c r="D16" s="18"/>
      <c r="E16" s="18"/>
      <c r="F16" s="46">
        <f>+Desarrollo!C11</f>
        <v>22.6</v>
      </c>
      <c r="G16" s="73" t="s">
        <v>82</v>
      </c>
      <c r="H16" s="74">
        <f>+Desarrollo!D11</f>
        <v>16.5</v>
      </c>
      <c r="J16" s="129"/>
      <c r="K16" s="129"/>
      <c r="L16" s="129"/>
      <c r="M16" s="129"/>
      <c r="N16" s="129"/>
      <c r="O16" s="129"/>
      <c r="P16" s="129"/>
      <c r="Q16" s="129"/>
      <c r="R16" s="129"/>
      <c r="S16" s="129"/>
      <c r="T16" s="129"/>
      <c r="U16" s="129"/>
      <c r="V16" s="129"/>
      <c r="W16" s="129"/>
      <c r="X16" s="129"/>
    </row>
    <row r="17" spans="1:24" ht="15.75" x14ac:dyDescent="0.3">
      <c r="C17" s="17"/>
      <c r="D17" s="18"/>
      <c r="E17" s="18"/>
      <c r="F17" s="72">
        <v>1</v>
      </c>
      <c r="G17" s="75" t="s">
        <v>83</v>
      </c>
      <c r="H17" s="8"/>
      <c r="J17" s="129"/>
      <c r="K17" s="129"/>
      <c r="L17" s="129"/>
      <c r="M17" s="129"/>
      <c r="N17" s="129"/>
      <c r="O17" s="129"/>
      <c r="P17" s="129"/>
      <c r="Q17" s="129"/>
      <c r="R17" s="129"/>
      <c r="S17" s="129"/>
      <c r="T17" s="129"/>
      <c r="U17" s="129"/>
      <c r="V17" s="129"/>
      <c r="W17" s="129"/>
      <c r="X17" s="129"/>
    </row>
    <row r="18" spans="1:24" ht="15.75" x14ac:dyDescent="0.3">
      <c r="C18" s="17"/>
      <c r="D18" s="18"/>
      <c r="E18" s="18"/>
      <c r="F18" s="72"/>
      <c r="G18" s="7"/>
      <c r="H18" s="8"/>
      <c r="J18" s="129"/>
      <c r="K18" s="129"/>
      <c r="L18" s="129"/>
      <c r="M18" s="129"/>
      <c r="N18" s="129"/>
      <c r="O18" s="129"/>
      <c r="P18" s="129"/>
      <c r="Q18" s="129"/>
      <c r="R18" s="129"/>
      <c r="S18" s="129"/>
      <c r="T18" s="129"/>
      <c r="U18" s="129"/>
      <c r="V18" s="129"/>
      <c r="W18" s="129"/>
      <c r="X18" s="129"/>
    </row>
    <row r="19" spans="1:24" ht="15.75" x14ac:dyDescent="0.3">
      <c r="C19" s="20"/>
      <c r="D19" s="18"/>
      <c r="E19" s="18"/>
      <c r="F19" s="46"/>
      <c r="G19" s="73"/>
      <c r="H19" s="74"/>
      <c r="J19" s="129"/>
      <c r="K19" s="129"/>
      <c r="L19" s="129"/>
      <c r="M19" s="129"/>
      <c r="N19" s="129"/>
      <c r="O19" s="129"/>
      <c r="P19" s="129"/>
      <c r="Q19" s="129"/>
      <c r="R19" s="129"/>
      <c r="S19" s="129"/>
      <c r="T19" s="129"/>
      <c r="U19" s="129"/>
      <c r="V19" s="129"/>
      <c r="W19" s="129"/>
      <c r="X19" s="129"/>
    </row>
    <row r="20" spans="1:24" ht="15.75" x14ac:dyDescent="0.3">
      <c r="C20" s="18"/>
      <c r="D20" s="18"/>
      <c r="E20" s="18"/>
      <c r="F20" s="72"/>
      <c r="G20" s="75"/>
      <c r="H20" s="8"/>
      <c r="J20" s="129"/>
      <c r="K20" s="129"/>
      <c r="L20" s="129"/>
      <c r="M20" s="129"/>
      <c r="N20" s="129"/>
      <c r="O20" s="129"/>
      <c r="P20" s="129"/>
      <c r="Q20" s="129"/>
      <c r="R20" s="129"/>
      <c r="S20" s="129"/>
      <c r="T20" s="129"/>
      <c r="U20" s="129"/>
      <c r="V20" s="129"/>
      <c r="W20" s="129"/>
      <c r="X20" s="129"/>
    </row>
    <row r="21" spans="1:24" ht="15.75" x14ac:dyDescent="0.3">
      <c r="C21" s="18"/>
      <c r="D21" s="18"/>
      <c r="E21" s="18"/>
      <c r="F21" s="6"/>
      <c r="G21" s="7"/>
      <c r="H21" s="8"/>
      <c r="J21" s="129"/>
      <c r="K21" s="129"/>
      <c r="L21" s="129"/>
      <c r="M21" s="129"/>
      <c r="N21" s="129"/>
      <c r="O21" s="129"/>
      <c r="P21" s="129"/>
      <c r="Q21" s="129"/>
      <c r="R21" s="129"/>
      <c r="S21" s="129"/>
      <c r="T21" s="129"/>
      <c r="U21" s="129"/>
      <c r="V21" s="129"/>
      <c r="W21" s="129"/>
      <c r="X21" s="129"/>
    </row>
    <row r="22" spans="1:24" ht="16.5" thickBot="1" x14ac:dyDescent="0.35">
      <c r="C22" s="18"/>
      <c r="D22" s="18"/>
      <c r="E22" s="18"/>
      <c r="F22" s="14"/>
      <c r="G22" s="15"/>
      <c r="H22" s="16"/>
      <c r="J22" s="129"/>
      <c r="K22" s="129"/>
      <c r="L22" s="129"/>
      <c r="M22" s="129"/>
      <c r="N22" s="129"/>
      <c r="O22" s="129"/>
      <c r="P22" s="129"/>
      <c r="Q22" s="129"/>
      <c r="R22" s="129"/>
      <c r="S22" s="129"/>
      <c r="T22" s="129"/>
      <c r="U22" s="129"/>
      <c r="V22" s="129"/>
      <c r="W22" s="129"/>
      <c r="X22" s="129"/>
    </row>
    <row r="23" spans="1:24" ht="15.75" x14ac:dyDescent="0.3">
      <c r="A23" s="4" t="s">
        <v>13</v>
      </c>
      <c r="C23" s="21" t="str">
        <f>+Desarrollo!A49</f>
        <v>Espuma 1 cm.</v>
      </c>
      <c r="D23" s="5" t="s">
        <v>14</v>
      </c>
      <c r="E23" s="22" t="str">
        <f>+Desarrollo!B49</f>
        <v>Gris</v>
      </c>
      <c r="J23" s="129"/>
      <c r="K23" s="129"/>
      <c r="L23" s="129"/>
      <c r="M23" s="129"/>
      <c r="N23" s="129"/>
      <c r="O23" s="129"/>
      <c r="P23" s="129"/>
      <c r="Q23" s="129"/>
      <c r="R23" s="129"/>
      <c r="S23" s="129"/>
      <c r="T23" s="129"/>
      <c r="U23" s="129"/>
      <c r="V23" s="129"/>
      <c r="W23" s="129"/>
      <c r="X23" s="129"/>
    </row>
    <row r="24" spans="1:24" ht="15.75" x14ac:dyDescent="0.3">
      <c r="A24" s="4"/>
      <c r="D24" s="5"/>
      <c r="E24" s="22"/>
      <c r="J24" s="129"/>
      <c r="K24" s="129"/>
      <c r="L24" s="129"/>
      <c r="M24" s="129"/>
      <c r="N24" s="129"/>
      <c r="O24" s="129"/>
      <c r="P24" s="129"/>
      <c r="Q24" s="129"/>
      <c r="R24" s="129"/>
      <c r="S24" s="129"/>
      <c r="T24" s="129"/>
      <c r="U24" s="129"/>
      <c r="V24" s="129"/>
      <c r="W24" s="129"/>
      <c r="X24" s="129"/>
    </row>
    <row r="25" spans="1:24" ht="15.75" x14ac:dyDescent="0.3">
      <c r="J25" s="129"/>
      <c r="K25" s="129"/>
      <c r="L25" s="129"/>
      <c r="M25" s="129"/>
      <c r="N25" s="129"/>
      <c r="O25" s="129"/>
      <c r="P25" s="129"/>
      <c r="Q25" s="129"/>
      <c r="R25" s="129"/>
      <c r="S25" s="129"/>
      <c r="T25" s="129"/>
      <c r="U25" s="129"/>
      <c r="V25" s="129"/>
      <c r="W25" s="129"/>
      <c r="X25" s="129"/>
    </row>
    <row r="26" spans="1:24" ht="15.75" x14ac:dyDescent="0.3">
      <c r="A26" s="4" t="s">
        <v>15</v>
      </c>
      <c r="C26" s="23">
        <f>+Desarrollo!C49</f>
        <v>100</v>
      </c>
      <c r="D26" s="22" t="s">
        <v>16</v>
      </c>
      <c r="E26" s="24">
        <f>+Desarrollo!E49</f>
        <v>200</v>
      </c>
      <c r="F26" s="25">
        <f>+C26</f>
        <v>100</v>
      </c>
      <c r="G26" s="26" t="s">
        <v>16</v>
      </c>
      <c r="H26" s="26">
        <f>+E26</f>
        <v>200</v>
      </c>
      <c r="J26" s="129"/>
      <c r="K26" s="129"/>
      <c r="L26" s="129"/>
      <c r="M26" s="129"/>
      <c r="N26" s="129"/>
      <c r="O26" s="129"/>
      <c r="P26" s="129"/>
      <c r="Q26" s="129"/>
      <c r="R26" s="129"/>
      <c r="S26" s="129"/>
      <c r="T26" s="129"/>
      <c r="U26" s="129"/>
      <c r="V26" s="129"/>
      <c r="W26" s="129"/>
      <c r="X26" s="129"/>
    </row>
    <row r="27" spans="1:24" ht="15.75" x14ac:dyDescent="0.3">
      <c r="A27" s="4" t="s">
        <v>17</v>
      </c>
      <c r="B27" s="3"/>
      <c r="C27" s="27">
        <f>+F16</f>
        <v>22.6</v>
      </c>
      <c r="D27" s="28" t="s">
        <v>16</v>
      </c>
      <c r="E27" s="27">
        <f>+H16</f>
        <v>16.5</v>
      </c>
      <c r="F27" s="29">
        <f>+E27</f>
        <v>16.5</v>
      </c>
      <c r="G27" s="29" t="s">
        <v>16</v>
      </c>
      <c r="H27" s="29">
        <f>+C27</f>
        <v>22.6</v>
      </c>
      <c r="I27" s="30"/>
      <c r="J27" s="129"/>
      <c r="K27" s="129"/>
      <c r="L27" s="129"/>
      <c r="M27" s="129"/>
      <c r="N27" s="129"/>
      <c r="O27" s="129"/>
      <c r="P27" s="129"/>
      <c r="Q27" s="129"/>
      <c r="R27" s="129"/>
      <c r="S27" s="129"/>
      <c r="T27" s="129"/>
      <c r="U27" s="129"/>
      <c r="V27" s="129"/>
      <c r="W27" s="129"/>
      <c r="X27" s="129"/>
    </row>
    <row r="28" spans="1:24" ht="16.5" thickBot="1" x14ac:dyDescent="0.35">
      <c r="A28" s="3" t="s">
        <v>18</v>
      </c>
      <c r="B28" s="31"/>
      <c r="C28" s="32">
        <f>+C26/C27</f>
        <v>4.4247787610619467</v>
      </c>
      <c r="D28" s="33"/>
      <c r="E28" s="32">
        <f>+E26/E27</f>
        <v>12.121212121212121</v>
      </c>
      <c r="F28" s="32">
        <f>+F26/F27</f>
        <v>6.0606060606060606</v>
      </c>
      <c r="G28" s="33"/>
      <c r="H28" s="32">
        <f>+H26/H27</f>
        <v>8.8495575221238933</v>
      </c>
      <c r="I28" s="30"/>
      <c r="J28" s="129"/>
      <c r="K28" s="129"/>
      <c r="L28" s="129"/>
      <c r="M28" s="129"/>
      <c r="N28" s="129"/>
      <c r="O28" s="129"/>
      <c r="P28" s="129"/>
      <c r="Q28" s="129"/>
      <c r="R28" s="129"/>
      <c r="S28" s="129"/>
      <c r="T28" s="129"/>
      <c r="U28" s="129"/>
      <c r="V28" s="129"/>
      <c r="W28" s="129"/>
      <c r="X28" s="129"/>
    </row>
    <row r="29" spans="1:24" ht="16.5" thickBot="1" x14ac:dyDescent="0.35">
      <c r="A29" s="3" t="s">
        <v>19</v>
      </c>
      <c r="B29" s="34"/>
      <c r="C29" s="35"/>
      <c r="D29" s="36">
        <v>48</v>
      </c>
      <c r="E29" s="37"/>
      <c r="F29" s="38"/>
      <c r="G29" s="39">
        <v>48</v>
      </c>
      <c r="H29" s="40" t="s">
        <v>20</v>
      </c>
      <c r="J29" s="129"/>
      <c r="K29" s="129"/>
      <c r="L29" s="129"/>
      <c r="M29" s="129"/>
      <c r="N29" s="129"/>
      <c r="O29" s="129"/>
      <c r="P29" s="129"/>
      <c r="Q29" s="129"/>
      <c r="R29" s="129"/>
      <c r="S29" s="129"/>
      <c r="T29" s="129"/>
      <c r="U29" s="129"/>
      <c r="V29" s="129"/>
      <c r="W29" s="129"/>
      <c r="X29" s="129"/>
    </row>
    <row r="30" spans="1:24" ht="15.75" x14ac:dyDescent="0.3">
      <c r="A30" s="3"/>
      <c r="B30" s="21"/>
      <c r="C30" s="30"/>
      <c r="G30" s="41"/>
      <c r="H30" s="30"/>
      <c r="J30" s="129"/>
      <c r="K30" s="129"/>
      <c r="L30" s="129"/>
      <c r="M30" s="129"/>
      <c r="N30" s="129"/>
      <c r="O30" s="129"/>
      <c r="P30" s="129"/>
      <c r="Q30" s="129"/>
      <c r="R30" s="129"/>
      <c r="S30" s="129"/>
      <c r="T30" s="129"/>
      <c r="U30" s="129"/>
      <c r="V30" s="129"/>
      <c r="W30" s="129"/>
      <c r="X30" s="129"/>
    </row>
    <row r="31" spans="1:24" ht="15.75" x14ac:dyDescent="0.3">
      <c r="A31" s="25" t="s">
        <v>21</v>
      </c>
      <c r="B31" s="25"/>
      <c r="D31" s="41" t="s">
        <v>22</v>
      </c>
      <c r="E31" s="42">
        <f>+Desarrollo!F49</f>
        <v>100</v>
      </c>
      <c r="F31" s="117"/>
      <c r="G31" s="1" t="s">
        <v>23</v>
      </c>
      <c r="H31" s="43">
        <v>0</v>
      </c>
      <c r="J31" s="129"/>
      <c r="K31" s="129"/>
      <c r="L31" s="129"/>
      <c r="M31" s="129"/>
      <c r="N31" s="129"/>
      <c r="O31" s="129"/>
      <c r="P31" s="129"/>
      <c r="Q31" s="129"/>
      <c r="R31" s="129"/>
      <c r="S31" s="129"/>
      <c r="T31" s="129"/>
      <c r="U31" s="129"/>
      <c r="V31" s="129"/>
      <c r="W31" s="129"/>
      <c r="X31" s="129"/>
    </row>
    <row r="32" spans="1:24" ht="15.75" x14ac:dyDescent="0.3">
      <c r="A32" s="3"/>
      <c r="B32" s="3"/>
      <c r="C32" s="3"/>
      <c r="D32" s="44" t="s">
        <v>24</v>
      </c>
      <c r="E32" s="42">
        <f>+H31*E31</f>
        <v>0</v>
      </c>
      <c r="H32" s="43"/>
      <c r="I32" s="30"/>
      <c r="J32" s="129"/>
      <c r="K32" s="129"/>
      <c r="L32" s="129"/>
      <c r="M32" s="129"/>
      <c r="N32" s="129"/>
      <c r="O32" s="129"/>
      <c r="P32" s="129"/>
      <c r="Q32" s="129"/>
      <c r="R32" s="129"/>
      <c r="S32" s="129"/>
      <c r="T32" s="129"/>
      <c r="U32" s="129"/>
      <c r="V32" s="129"/>
      <c r="W32" s="129"/>
      <c r="X32" s="129"/>
    </row>
    <row r="33" spans="1:24" ht="15.75" x14ac:dyDescent="0.3">
      <c r="D33" s="44" t="s">
        <v>25</v>
      </c>
      <c r="E33" s="45">
        <f>+E31-E32</f>
        <v>100</v>
      </c>
      <c r="I33" s="30"/>
      <c r="J33" s="129"/>
      <c r="K33" s="129"/>
      <c r="L33" s="129"/>
      <c r="M33" s="129"/>
      <c r="N33" s="129"/>
      <c r="O33" s="129"/>
      <c r="P33" s="129"/>
      <c r="Q33" s="129"/>
      <c r="R33" s="129"/>
      <c r="S33" s="129"/>
      <c r="T33" s="129"/>
      <c r="U33" s="129"/>
      <c r="V33" s="129"/>
      <c r="W33" s="129"/>
      <c r="X33" s="129"/>
    </row>
    <row r="34" spans="1:24" ht="15.75" x14ac:dyDescent="0.3">
      <c r="E34" s="21" t="s">
        <v>27</v>
      </c>
      <c r="F34" s="21" t="s">
        <v>28</v>
      </c>
      <c r="G34" s="21" t="s">
        <v>28</v>
      </c>
      <c r="H34" s="21" t="s">
        <v>28</v>
      </c>
      <c r="I34" s="30"/>
      <c r="J34" s="129"/>
      <c r="K34" s="129"/>
      <c r="L34" s="129"/>
      <c r="M34" s="129"/>
      <c r="N34" s="129"/>
      <c r="O34" s="129"/>
      <c r="P34" s="129"/>
      <c r="Q34" s="129"/>
      <c r="R34" s="129"/>
      <c r="S34" s="129"/>
      <c r="T34" s="129"/>
      <c r="U34" s="129"/>
      <c r="V34" s="129"/>
      <c r="W34" s="129"/>
      <c r="X34" s="129"/>
    </row>
    <row r="35" spans="1:24" ht="15.75" x14ac:dyDescent="0.3">
      <c r="D35" s="41" t="s">
        <v>29</v>
      </c>
      <c r="E35" s="47">
        <f>+E33</f>
        <v>100</v>
      </c>
      <c r="F35" s="47">
        <v>0</v>
      </c>
      <c r="G35" s="47">
        <v>0</v>
      </c>
      <c r="H35" s="47">
        <v>0</v>
      </c>
      <c r="J35" s="129"/>
      <c r="K35" s="129"/>
      <c r="L35" s="129"/>
      <c r="M35" s="129"/>
      <c r="N35" s="129"/>
      <c r="O35" s="129"/>
      <c r="P35" s="129"/>
      <c r="Q35" s="129"/>
      <c r="R35" s="129"/>
      <c r="S35" s="129"/>
      <c r="T35" s="129"/>
      <c r="U35" s="129"/>
      <c r="V35" s="129"/>
      <c r="W35" s="129"/>
      <c r="X35" s="129"/>
    </row>
    <row r="36" spans="1:24" ht="15.75" x14ac:dyDescent="0.3">
      <c r="D36" s="41" t="s">
        <v>30</v>
      </c>
      <c r="E36" s="47">
        <f>+E35*1.1</f>
        <v>110.00000000000001</v>
      </c>
      <c r="F36" s="47">
        <v>0</v>
      </c>
      <c r="G36" s="47">
        <v>0</v>
      </c>
      <c r="H36" s="47">
        <v>0</v>
      </c>
      <c r="J36" s="129"/>
      <c r="K36" s="129"/>
      <c r="L36" s="129"/>
      <c r="M36" s="129"/>
      <c r="N36" s="129"/>
      <c r="O36" s="129"/>
      <c r="P36" s="129"/>
      <c r="Q36" s="129"/>
      <c r="R36" s="129"/>
      <c r="S36" s="129"/>
      <c r="T36" s="129"/>
      <c r="U36" s="129"/>
      <c r="V36" s="129"/>
      <c r="W36" s="129"/>
      <c r="X36" s="129"/>
    </row>
    <row r="37" spans="1:24" ht="16.5" thickBot="1" x14ac:dyDescent="0.35">
      <c r="A37" s="3"/>
      <c r="G37" s="41"/>
      <c r="J37" s="129"/>
      <c r="K37" s="129"/>
      <c r="L37" s="129"/>
      <c r="M37" s="129"/>
      <c r="N37" s="129"/>
      <c r="O37" s="129"/>
      <c r="P37" s="129"/>
      <c r="Q37" s="129"/>
      <c r="R37" s="129"/>
      <c r="S37" s="129"/>
      <c r="T37" s="129"/>
      <c r="U37" s="129"/>
      <c r="V37" s="129"/>
      <c r="W37" s="129"/>
      <c r="X37" s="129"/>
    </row>
    <row r="38" spans="1:24" ht="15.75" x14ac:dyDescent="0.3">
      <c r="A38" s="3"/>
      <c r="B38" s="21"/>
      <c r="C38" s="30"/>
      <c r="E38" s="11" t="s">
        <v>32</v>
      </c>
      <c r="F38" s="12" t="s">
        <v>33</v>
      </c>
      <c r="G38" s="12"/>
      <c r="H38" s="13"/>
      <c r="J38" s="129"/>
      <c r="K38" s="129"/>
      <c r="L38" s="129"/>
      <c r="M38" s="129"/>
      <c r="N38" s="129"/>
      <c r="O38" s="129"/>
      <c r="P38" s="129"/>
      <c r="Q38" s="129"/>
      <c r="R38" s="129"/>
      <c r="S38" s="129"/>
      <c r="T38" s="129"/>
      <c r="U38" s="129"/>
      <c r="V38" s="129"/>
      <c r="W38" s="129"/>
      <c r="X38" s="129"/>
    </row>
    <row r="39" spans="1:24" ht="16.5" thickBot="1" x14ac:dyDescent="0.35">
      <c r="A39" s="4" t="s">
        <v>34</v>
      </c>
      <c r="C39" s="48">
        <v>48</v>
      </c>
      <c r="D39" s="49" t="s">
        <v>35</v>
      </c>
      <c r="E39" s="14"/>
      <c r="F39" s="15" t="s">
        <v>36</v>
      </c>
      <c r="G39" s="15"/>
      <c r="H39" s="16"/>
      <c r="J39" s="129"/>
      <c r="K39" s="129"/>
      <c r="L39" s="129"/>
      <c r="M39" s="129"/>
      <c r="N39" s="129"/>
      <c r="O39" s="129"/>
      <c r="P39" s="129"/>
      <c r="Q39" s="129"/>
      <c r="R39" s="129"/>
      <c r="S39" s="129"/>
      <c r="T39" s="129"/>
      <c r="U39" s="129"/>
      <c r="V39" s="129"/>
      <c r="W39" s="129"/>
      <c r="X39" s="129"/>
    </row>
    <row r="40" spans="1:24" ht="15.75" x14ac:dyDescent="0.3">
      <c r="A40" s="4"/>
      <c r="C40" s="21"/>
      <c r="D40" s="1" t="s">
        <v>37</v>
      </c>
      <c r="E40" s="3"/>
      <c r="F40" s="3"/>
      <c r="J40" s="129"/>
      <c r="K40" s="129"/>
      <c r="L40" s="129"/>
      <c r="M40" s="129"/>
      <c r="N40" s="129"/>
      <c r="O40" s="129"/>
      <c r="P40" s="129"/>
      <c r="Q40" s="129"/>
      <c r="R40" s="129"/>
      <c r="S40" s="129"/>
      <c r="T40" s="129"/>
      <c r="U40" s="129"/>
      <c r="V40" s="129"/>
      <c r="W40" s="129"/>
      <c r="X40" s="129"/>
    </row>
    <row r="41" spans="1:24" ht="15.75" x14ac:dyDescent="0.3">
      <c r="A41" s="4" t="s">
        <v>38</v>
      </c>
      <c r="B41" s="5"/>
      <c r="C41" s="50">
        <f>+B49/F17</f>
        <v>2000</v>
      </c>
      <c r="D41" s="24">
        <f>+'cartón cartera'!D40*1</f>
        <v>100</v>
      </c>
      <c r="F41" s="44" t="s">
        <v>39</v>
      </c>
      <c r="G41" s="23">
        <v>1</v>
      </c>
      <c r="H41" s="3"/>
      <c r="J41" s="129"/>
      <c r="K41" s="129"/>
      <c r="L41" s="129"/>
      <c r="M41" s="129"/>
      <c r="N41" s="129"/>
      <c r="O41" s="129"/>
      <c r="P41" s="129"/>
      <c r="Q41" s="129"/>
      <c r="R41" s="129"/>
      <c r="S41" s="129"/>
      <c r="T41" s="129"/>
      <c r="U41" s="129"/>
      <c r="V41" s="129"/>
      <c r="W41" s="129"/>
      <c r="X41" s="129"/>
    </row>
    <row r="42" spans="1:24" ht="15.75" x14ac:dyDescent="0.3">
      <c r="A42" s="4" t="s">
        <v>40</v>
      </c>
      <c r="C42" s="34">
        <f>+C41+D41</f>
        <v>2100</v>
      </c>
      <c r="F42" s="44" t="s">
        <v>41</v>
      </c>
      <c r="G42" s="23">
        <v>1</v>
      </c>
      <c r="H42" s="3"/>
      <c r="J42" s="129"/>
      <c r="K42" s="129"/>
      <c r="L42" s="129"/>
      <c r="M42" s="129"/>
      <c r="N42" s="129"/>
      <c r="O42" s="129"/>
      <c r="P42" s="129"/>
      <c r="Q42" s="129"/>
      <c r="R42" s="129"/>
      <c r="S42" s="129"/>
      <c r="T42" s="129"/>
      <c r="U42" s="129"/>
      <c r="V42" s="129"/>
      <c r="W42" s="129"/>
      <c r="X42" s="129"/>
    </row>
    <row r="43" spans="1:24" ht="15.75" x14ac:dyDescent="0.3">
      <c r="A43" s="4" t="s">
        <v>42</v>
      </c>
      <c r="C43" s="34">
        <v>46</v>
      </c>
      <c r="D43" s="127">
        <f>+C42/C39</f>
        <v>43.75</v>
      </c>
      <c r="F43" s="44" t="s">
        <v>43</v>
      </c>
      <c r="G43" s="23"/>
      <c r="H43" s="3"/>
      <c r="J43" s="129"/>
      <c r="K43" s="129"/>
      <c r="L43" s="129"/>
      <c r="M43" s="129"/>
      <c r="N43" s="129"/>
      <c r="O43" s="129"/>
      <c r="P43" s="129"/>
      <c r="Q43" s="129"/>
      <c r="R43" s="129"/>
      <c r="S43" s="129"/>
      <c r="T43" s="129"/>
      <c r="U43" s="129"/>
      <c r="V43" s="129"/>
      <c r="W43" s="129"/>
      <c r="X43" s="129"/>
    </row>
    <row r="44" spans="1:24" ht="15.75" x14ac:dyDescent="0.3">
      <c r="A44" s="4"/>
      <c r="C44" s="21"/>
      <c r="F44" s="41" t="s">
        <v>44</v>
      </c>
      <c r="G44" s="23">
        <f>+C41/1000</f>
        <v>2</v>
      </c>
      <c r="H44" s="3"/>
      <c r="J44" s="129"/>
      <c r="K44" s="129"/>
      <c r="L44" s="129"/>
      <c r="M44" s="129"/>
      <c r="N44" s="129"/>
      <c r="O44" s="129"/>
      <c r="P44" s="129"/>
      <c r="Q44" s="129"/>
      <c r="R44" s="129"/>
      <c r="S44" s="129"/>
      <c r="T44" s="129"/>
      <c r="U44" s="129"/>
      <c r="V44" s="129"/>
      <c r="W44" s="129"/>
      <c r="X44" s="129"/>
    </row>
    <row r="45" spans="1:24" ht="15.75" x14ac:dyDescent="0.3">
      <c r="A45" s="4"/>
      <c r="C45" s="51"/>
      <c r="F45" s="44" t="s">
        <v>45</v>
      </c>
      <c r="G45" s="48">
        <f>+C42</f>
        <v>2100</v>
      </c>
      <c r="H45" s="3"/>
      <c r="J45" s="129"/>
      <c r="K45" s="129"/>
      <c r="L45" s="129"/>
      <c r="M45" s="129"/>
      <c r="N45" s="129"/>
      <c r="O45" s="129"/>
      <c r="P45" s="129"/>
      <c r="Q45" s="129"/>
      <c r="R45" s="129"/>
      <c r="S45" s="129"/>
      <c r="T45" s="129"/>
      <c r="U45" s="129"/>
      <c r="V45" s="129"/>
      <c r="W45" s="129"/>
      <c r="X45" s="129"/>
    </row>
    <row r="46" spans="1:24" ht="15.75" x14ac:dyDescent="0.3">
      <c r="A46" s="4"/>
      <c r="C46" s="21"/>
      <c r="E46" s="44"/>
      <c r="F46" s="44"/>
      <c r="G46" s="30"/>
      <c r="I46" s="3"/>
      <c r="J46" s="129"/>
      <c r="K46" s="129"/>
      <c r="L46" s="129"/>
      <c r="M46" s="129"/>
      <c r="N46" s="129"/>
      <c r="O46" s="129"/>
      <c r="P46" s="129"/>
      <c r="Q46" s="129"/>
      <c r="R46" s="129"/>
      <c r="S46" s="129"/>
      <c r="T46" s="129"/>
      <c r="U46" s="129"/>
      <c r="V46" s="129"/>
      <c r="W46" s="129"/>
      <c r="X46" s="129"/>
    </row>
    <row r="47" spans="1:24" ht="15.75" x14ac:dyDescent="0.3">
      <c r="A47" s="4" t="s">
        <v>46</v>
      </c>
      <c r="C47" s="25">
        <f>+C43*C39</f>
        <v>2208</v>
      </c>
      <c r="F47" s="44"/>
      <c r="G47" s="30"/>
      <c r="H47" s="3"/>
      <c r="J47" s="129"/>
      <c r="K47" s="129"/>
      <c r="L47" s="129"/>
      <c r="M47" s="129"/>
      <c r="N47" s="129"/>
      <c r="O47" s="129"/>
      <c r="P47" s="129"/>
      <c r="Q47" s="129"/>
      <c r="R47" s="129"/>
      <c r="S47" s="129"/>
      <c r="T47" s="129"/>
      <c r="U47" s="129"/>
      <c r="V47" s="129"/>
      <c r="W47" s="129"/>
      <c r="X47" s="129"/>
    </row>
    <row r="48" spans="1:24" ht="15.75" x14ac:dyDescent="0.3">
      <c r="A48" s="3"/>
      <c r="B48" s="3"/>
      <c r="C48" s="3"/>
      <c r="D48" s="3"/>
      <c r="E48" s="3"/>
      <c r="H48" s="3"/>
      <c r="J48" s="129"/>
      <c r="K48" s="129"/>
      <c r="L48" s="129"/>
      <c r="M48" s="129"/>
      <c r="N48" s="129"/>
      <c r="O48" s="129"/>
      <c r="P48" s="129"/>
      <c r="Q48" s="129"/>
      <c r="R48" s="129"/>
      <c r="S48" s="129"/>
      <c r="T48" s="129"/>
      <c r="U48" s="129"/>
      <c r="V48" s="129"/>
      <c r="W48" s="129"/>
      <c r="X48" s="129"/>
    </row>
    <row r="49" spans="1:24" ht="15.75" x14ac:dyDescent="0.3">
      <c r="A49" s="4" t="s">
        <v>77</v>
      </c>
      <c r="B49" s="21">
        <f>+Desarrollo!B7</f>
        <v>2000</v>
      </c>
      <c r="C49" s="21"/>
      <c r="D49" s="25" t="s">
        <v>47</v>
      </c>
      <c r="E49" s="25" t="s">
        <v>48</v>
      </c>
      <c r="F49" s="25" t="s">
        <v>49</v>
      </c>
      <c r="G49" s="25" t="s">
        <v>50</v>
      </c>
      <c r="H49" s="25" t="s">
        <v>51</v>
      </c>
      <c r="J49" s="129"/>
      <c r="K49" s="129"/>
      <c r="L49" s="129"/>
      <c r="M49" s="129"/>
      <c r="N49" s="129"/>
      <c r="O49" s="129"/>
      <c r="P49" s="129"/>
      <c r="Q49" s="129"/>
      <c r="R49" s="129"/>
      <c r="S49" s="129"/>
      <c r="T49" s="129"/>
      <c r="U49" s="129"/>
      <c r="V49" s="129"/>
      <c r="W49" s="129"/>
      <c r="X49" s="129"/>
    </row>
    <row r="50" spans="1:24" ht="15.75" x14ac:dyDescent="0.3">
      <c r="A50" s="52" t="s">
        <v>52</v>
      </c>
      <c r="B50" s="53"/>
      <c r="C50" s="3"/>
      <c r="D50" s="21">
        <v>1</v>
      </c>
      <c r="E50" s="21">
        <v>0</v>
      </c>
      <c r="F50" s="21" t="s">
        <v>90</v>
      </c>
      <c r="G50" s="30">
        <v>7</v>
      </c>
      <c r="H50" s="30">
        <f>+(D50*E50)*G50</f>
        <v>0</v>
      </c>
      <c r="J50" s="129"/>
      <c r="K50" s="129"/>
      <c r="L50" s="129"/>
      <c r="M50" s="129"/>
      <c r="N50" s="129"/>
      <c r="O50" s="129"/>
      <c r="P50" s="129"/>
      <c r="Q50" s="129"/>
      <c r="R50" s="129"/>
      <c r="S50" s="129"/>
      <c r="T50" s="129"/>
      <c r="U50" s="129"/>
      <c r="V50" s="129"/>
      <c r="W50" s="129"/>
      <c r="X50" s="129"/>
    </row>
    <row r="51" spans="1:24" ht="15.75" x14ac:dyDescent="0.3">
      <c r="A51" s="53" t="s">
        <v>54</v>
      </c>
      <c r="B51" s="54">
        <f>+E35*C43</f>
        <v>4600</v>
      </c>
      <c r="C51" s="3"/>
      <c r="D51" s="21">
        <v>0</v>
      </c>
      <c r="E51" s="21">
        <v>0</v>
      </c>
      <c r="F51" s="21" t="s">
        <v>91</v>
      </c>
      <c r="G51" s="30">
        <v>250</v>
      </c>
      <c r="H51" s="30">
        <f>+(D51*E51)*G51</f>
        <v>0</v>
      </c>
      <c r="J51" s="129"/>
      <c r="K51" s="129"/>
      <c r="L51" s="129"/>
      <c r="M51" s="129"/>
      <c r="N51" s="129"/>
      <c r="O51" s="129"/>
      <c r="P51" s="129"/>
      <c r="Q51" s="129"/>
      <c r="R51" s="129"/>
      <c r="S51" s="129"/>
      <c r="T51" s="129"/>
      <c r="U51" s="129"/>
      <c r="V51" s="129"/>
      <c r="W51" s="129"/>
      <c r="X51" s="129"/>
    </row>
    <row r="52" spans="1:24" ht="15.75" x14ac:dyDescent="0.3">
      <c r="A52" s="53" t="s">
        <v>12</v>
      </c>
      <c r="B52" s="54">
        <f>+H62</f>
        <v>735</v>
      </c>
      <c r="C52" s="3"/>
      <c r="D52" s="21">
        <v>0</v>
      </c>
      <c r="E52" s="21">
        <v>0</v>
      </c>
      <c r="F52" s="21" t="s">
        <v>84</v>
      </c>
      <c r="G52" s="30">
        <v>500</v>
      </c>
      <c r="H52" s="30">
        <f t="shared" ref="H52:H57" si="0">+(D52*E52)*G52</f>
        <v>0</v>
      </c>
      <c r="J52" s="129"/>
      <c r="K52" s="129"/>
      <c r="L52" s="129"/>
      <c r="M52" s="129"/>
      <c r="N52" s="129"/>
      <c r="O52" s="129"/>
      <c r="P52" s="129"/>
      <c r="Q52" s="129"/>
      <c r="R52" s="129"/>
      <c r="S52" s="129"/>
      <c r="T52" s="129"/>
      <c r="U52" s="129"/>
      <c r="V52" s="129"/>
      <c r="W52" s="129"/>
      <c r="X52" s="129"/>
    </row>
    <row r="53" spans="1:24" ht="15.75" x14ac:dyDescent="0.3">
      <c r="A53" s="53"/>
      <c r="B53" s="54"/>
      <c r="C53" s="3"/>
      <c r="D53" s="21">
        <v>1</v>
      </c>
      <c r="E53" s="21">
        <v>1</v>
      </c>
      <c r="F53" s="21" t="s">
        <v>99</v>
      </c>
      <c r="G53" s="30">
        <v>300</v>
      </c>
      <c r="H53" s="30">
        <f t="shared" si="0"/>
        <v>300</v>
      </c>
      <c r="I53" s="30">
        <f>+(B73/100)*2</f>
        <v>128.44000000000003</v>
      </c>
      <c r="J53" s="129"/>
      <c r="K53" s="129"/>
      <c r="L53" s="129"/>
      <c r="M53" s="129"/>
      <c r="N53" s="129"/>
      <c r="O53" s="129"/>
      <c r="P53" s="129"/>
      <c r="Q53" s="129"/>
      <c r="R53" s="129"/>
      <c r="S53" s="129"/>
      <c r="T53" s="129"/>
      <c r="U53" s="129"/>
      <c r="V53" s="129"/>
      <c r="W53" s="129"/>
      <c r="X53" s="129"/>
    </row>
    <row r="54" spans="1:24" ht="16.5" x14ac:dyDescent="0.3">
      <c r="A54" s="53" t="s">
        <v>26</v>
      </c>
      <c r="B54" s="54">
        <v>400</v>
      </c>
      <c r="C54" s="3"/>
      <c r="D54" s="21">
        <v>1</v>
      </c>
      <c r="E54" s="21">
        <v>1</v>
      </c>
      <c r="F54" s="21" t="s">
        <v>79</v>
      </c>
      <c r="G54" s="30">
        <v>145</v>
      </c>
      <c r="H54" s="30">
        <f t="shared" si="0"/>
        <v>145</v>
      </c>
      <c r="I54" s="55"/>
      <c r="J54" s="129"/>
      <c r="K54" s="129"/>
      <c r="L54" s="129"/>
      <c r="M54" s="129"/>
      <c r="N54" s="129"/>
      <c r="O54" s="129"/>
      <c r="P54" s="129"/>
      <c r="Q54" s="129"/>
      <c r="R54" s="129"/>
      <c r="S54" s="129"/>
      <c r="T54" s="129"/>
      <c r="U54" s="129"/>
      <c r="V54" s="129"/>
      <c r="W54" s="129"/>
      <c r="X54" s="129"/>
    </row>
    <row r="55" spans="1:24" ht="15.75" x14ac:dyDescent="0.3">
      <c r="A55" s="56" t="s">
        <v>85</v>
      </c>
      <c r="B55" s="54">
        <v>0</v>
      </c>
      <c r="C55" s="3"/>
      <c r="D55" s="21">
        <v>1</v>
      </c>
      <c r="E55" s="21">
        <v>2</v>
      </c>
      <c r="F55" s="21" t="s">
        <v>80</v>
      </c>
      <c r="G55" s="30">
        <v>145</v>
      </c>
      <c r="H55" s="30">
        <f t="shared" si="0"/>
        <v>290</v>
      </c>
      <c r="J55" s="129"/>
      <c r="K55" s="129"/>
      <c r="L55" s="129"/>
      <c r="M55" s="129"/>
      <c r="N55" s="129"/>
      <c r="O55" s="129"/>
      <c r="P55" s="129"/>
      <c r="Q55" s="129"/>
      <c r="R55" s="129"/>
      <c r="S55" s="129"/>
      <c r="T55" s="129"/>
      <c r="U55" s="129"/>
      <c r="V55" s="129"/>
      <c r="W55" s="129"/>
      <c r="X55" s="129"/>
    </row>
    <row r="56" spans="1:24" ht="15.75" x14ac:dyDescent="0.3">
      <c r="A56" s="56" t="s">
        <v>86</v>
      </c>
      <c r="B56" s="54">
        <v>0</v>
      </c>
      <c r="D56" s="21">
        <v>0</v>
      </c>
      <c r="E56" s="21">
        <v>0</v>
      </c>
      <c r="F56" s="21" t="s">
        <v>31</v>
      </c>
      <c r="G56" s="30">
        <v>1.5</v>
      </c>
      <c r="H56" s="30">
        <f t="shared" si="0"/>
        <v>0</v>
      </c>
      <c r="J56" s="129"/>
      <c r="K56" s="129"/>
      <c r="L56" s="129"/>
      <c r="M56" s="129"/>
      <c r="N56" s="129"/>
      <c r="O56" s="129"/>
      <c r="P56" s="129"/>
      <c r="Q56" s="129"/>
      <c r="R56" s="129"/>
      <c r="S56" s="129"/>
      <c r="T56" s="129"/>
      <c r="U56" s="129"/>
      <c r="V56" s="129"/>
      <c r="W56" s="129"/>
      <c r="X56" s="129"/>
    </row>
    <row r="57" spans="1:24" ht="15.75" x14ac:dyDescent="0.3">
      <c r="A57" s="56" t="s">
        <v>87</v>
      </c>
      <c r="B57" s="54">
        <v>0</v>
      </c>
      <c r="D57" s="21">
        <v>1</v>
      </c>
      <c r="E57" s="21">
        <v>0</v>
      </c>
      <c r="F57" s="21" t="s">
        <v>55</v>
      </c>
      <c r="G57" s="30">
        <v>1.5</v>
      </c>
      <c r="H57" s="30">
        <f t="shared" si="0"/>
        <v>0</v>
      </c>
      <c r="J57" s="129"/>
      <c r="K57" s="129"/>
      <c r="L57" s="129"/>
      <c r="M57" s="129"/>
      <c r="N57" s="129"/>
      <c r="O57" s="129"/>
      <c r="P57" s="129"/>
      <c r="Q57" s="129"/>
      <c r="R57" s="129"/>
      <c r="S57" s="129"/>
      <c r="T57" s="129"/>
      <c r="U57" s="129"/>
      <c r="V57" s="129"/>
      <c r="W57" s="129"/>
      <c r="X57" s="129"/>
    </row>
    <row r="58" spans="1:24" ht="15.75" x14ac:dyDescent="0.3">
      <c r="A58" s="56"/>
      <c r="B58" s="56"/>
      <c r="D58" s="21">
        <v>0</v>
      </c>
      <c r="E58" s="21">
        <v>0</v>
      </c>
      <c r="F58" s="21" t="s">
        <v>169</v>
      </c>
      <c r="G58" s="30">
        <f>+G82</f>
        <v>550</v>
      </c>
      <c r="H58" s="30">
        <f t="shared" ref="H58:H60" si="1">+G58*E58</f>
        <v>0</v>
      </c>
      <c r="J58" s="129"/>
      <c r="K58" s="129"/>
      <c r="L58" s="129"/>
      <c r="M58" s="129"/>
      <c r="N58" s="129"/>
      <c r="O58" s="129"/>
      <c r="P58" s="129"/>
      <c r="Q58" s="129"/>
      <c r="R58" s="129"/>
      <c r="S58" s="129"/>
      <c r="T58" s="129"/>
      <c r="U58" s="129"/>
      <c r="V58" s="129"/>
      <c r="W58" s="129"/>
      <c r="X58" s="129"/>
    </row>
    <row r="59" spans="1:24" ht="15.75" x14ac:dyDescent="0.3">
      <c r="A59" s="52" t="s">
        <v>58</v>
      </c>
      <c r="B59" s="57">
        <f>SUM(B51:B58)</f>
        <v>5735</v>
      </c>
      <c r="C59" s="3"/>
      <c r="D59" s="21">
        <v>0</v>
      </c>
      <c r="E59" s="21">
        <v>0</v>
      </c>
      <c r="F59" s="3" t="s">
        <v>59</v>
      </c>
      <c r="G59" s="30">
        <v>600</v>
      </c>
      <c r="H59" s="30">
        <f t="shared" si="1"/>
        <v>0</v>
      </c>
      <c r="J59" s="129"/>
      <c r="K59" s="129"/>
      <c r="L59" s="129"/>
      <c r="M59" s="129"/>
      <c r="N59" s="129"/>
      <c r="O59" s="129"/>
      <c r="P59" s="129"/>
      <c r="Q59" s="129"/>
      <c r="R59" s="129"/>
      <c r="S59" s="129"/>
      <c r="T59" s="129"/>
      <c r="U59" s="129"/>
      <c r="V59" s="129"/>
      <c r="W59" s="129"/>
      <c r="X59" s="129"/>
    </row>
    <row r="60" spans="1:24" ht="15.75" x14ac:dyDescent="0.3">
      <c r="A60" s="9"/>
      <c r="B60" s="58"/>
      <c r="C60" s="3"/>
      <c r="D60" s="21"/>
      <c r="E60" s="21"/>
      <c r="F60" s="3"/>
      <c r="G60" s="3"/>
      <c r="H60" s="30">
        <f t="shared" si="1"/>
        <v>0</v>
      </c>
      <c r="J60" s="129"/>
      <c r="K60" s="129"/>
      <c r="L60" s="129"/>
      <c r="M60" s="129"/>
      <c r="N60" s="129"/>
      <c r="O60" s="129"/>
      <c r="P60" s="129"/>
      <c r="Q60" s="129"/>
      <c r="R60" s="129"/>
      <c r="S60" s="129"/>
      <c r="T60" s="129"/>
      <c r="U60" s="129"/>
      <c r="V60" s="129"/>
      <c r="W60" s="129"/>
      <c r="X60" s="129"/>
    </row>
    <row r="61" spans="1:24" ht="15.75" x14ac:dyDescent="0.3">
      <c r="A61" s="9"/>
      <c r="B61" s="32">
        <f>+B59/B49</f>
        <v>2.8675000000000002</v>
      </c>
      <c r="C61" s="4" t="s">
        <v>61</v>
      </c>
      <c r="D61" s="3"/>
      <c r="E61" s="3"/>
      <c r="F61" s="3"/>
      <c r="G61" s="3"/>
      <c r="J61" s="129"/>
      <c r="K61" s="129"/>
      <c r="L61" s="129"/>
      <c r="M61" s="129"/>
      <c r="N61" s="129"/>
      <c r="O61" s="129"/>
      <c r="P61" s="129"/>
      <c r="Q61" s="129"/>
      <c r="R61" s="129"/>
      <c r="S61" s="129"/>
      <c r="T61" s="129"/>
      <c r="U61" s="129"/>
      <c r="V61" s="129"/>
      <c r="W61" s="129"/>
      <c r="X61" s="129"/>
    </row>
    <row r="62" spans="1:24" ht="15.75" x14ac:dyDescent="0.3">
      <c r="A62" s="3"/>
      <c r="B62" s="3"/>
      <c r="D62" s="3"/>
      <c r="E62" s="3"/>
      <c r="F62" s="3"/>
      <c r="G62" s="61" t="s">
        <v>62</v>
      </c>
      <c r="H62" s="30">
        <f>SUM(H50:H61)</f>
        <v>735</v>
      </c>
      <c r="J62" s="129"/>
      <c r="K62" s="129"/>
      <c r="L62" s="129"/>
      <c r="M62" s="129"/>
      <c r="N62" s="129"/>
      <c r="O62" s="129"/>
      <c r="P62" s="129"/>
      <c r="Q62" s="129"/>
      <c r="R62" s="129"/>
      <c r="S62" s="129"/>
      <c r="T62" s="129"/>
      <c r="U62" s="129"/>
      <c r="V62" s="129"/>
      <c r="W62" s="129"/>
      <c r="X62" s="129"/>
    </row>
    <row r="63" spans="1:24" ht="15.75" x14ac:dyDescent="0.3">
      <c r="D63" s="3"/>
      <c r="E63" s="3"/>
      <c r="G63" s="5" t="s">
        <v>63</v>
      </c>
      <c r="H63" s="76">
        <f>+'cartón caja'!H62</f>
        <v>1.2</v>
      </c>
      <c r="J63" s="129"/>
      <c r="K63" s="129"/>
      <c r="L63" s="129"/>
      <c r="M63" s="129"/>
      <c r="N63" s="129"/>
      <c r="O63" s="129"/>
      <c r="P63" s="129"/>
      <c r="Q63" s="129"/>
      <c r="R63" s="129"/>
      <c r="S63" s="129"/>
      <c r="T63" s="129"/>
      <c r="U63" s="129"/>
      <c r="V63" s="129"/>
      <c r="W63" s="129"/>
      <c r="X63" s="129"/>
    </row>
    <row r="64" spans="1:24" ht="15.75" x14ac:dyDescent="0.3">
      <c r="A64" s="4" t="s">
        <v>65</v>
      </c>
      <c r="B64" s="3"/>
      <c r="C64" s="3"/>
      <c r="E64" s="32">
        <f>+B73/C41</f>
        <v>3.2110000000000003</v>
      </c>
      <c r="G64" s="1" t="s">
        <v>66</v>
      </c>
      <c r="H64" s="62">
        <v>1.75</v>
      </c>
      <c r="J64" s="129"/>
      <c r="K64" s="129"/>
      <c r="L64" s="129"/>
      <c r="M64" s="129"/>
      <c r="N64" s="129"/>
      <c r="O64" s="129"/>
      <c r="P64" s="129"/>
      <c r="Q64" s="129"/>
      <c r="R64" s="129"/>
      <c r="S64" s="129"/>
      <c r="T64" s="129"/>
      <c r="U64" s="129"/>
      <c r="V64" s="129"/>
      <c r="W64" s="129"/>
      <c r="X64" s="129"/>
    </row>
    <row r="65" spans="1:24" ht="15.75" x14ac:dyDescent="0.3">
      <c r="A65" s="3"/>
      <c r="B65" s="4" t="s">
        <v>68</v>
      </c>
      <c r="C65" s="25" t="s">
        <v>69</v>
      </c>
      <c r="D65" s="3"/>
      <c r="E65" s="3"/>
      <c r="F65" s="3"/>
      <c r="G65" s="1" t="s">
        <v>66</v>
      </c>
      <c r="H65" s="62">
        <v>2</v>
      </c>
      <c r="J65" s="129"/>
      <c r="K65" s="129"/>
      <c r="L65" s="129"/>
      <c r="M65" s="129"/>
      <c r="N65" s="129"/>
      <c r="O65" s="129"/>
      <c r="P65" s="129"/>
      <c r="Q65" s="129"/>
      <c r="R65" s="129"/>
      <c r="S65" s="129"/>
      <c r="T65" s="129"/>
      <c r="U65" s="129"/>
      <c r="V65" s="129"/>
      <c r="W65" s="129"/>
      <c r="X65" s="129"/>
    </row>
    <row r="66" spans="1:24" ht="15.75" x14ac:dyDescent="0.3">
      <c r="A66" s="52" t="s">
        <v>71</v>
      </c>
      <c r="B66" s="53"/>
      <c r="C66" s="3"/>
      <c r="D66" s="3">
        <f>+B73*C69</f>
        <v>0</v>
      </c>
      <c r="E66" s="3"/>
      <c r="F66" s="3"/>
      <c r="G66" s="5" t="s">
        <v>81</v>
      </c>
      <c r="H66" s="62">
        <v>2.5</v>
      </c>
      <c r="J66" s="129"/>
      <c r="K66" s="129"/>
      <c r="L66" s="129"/>
      <c r="M66" s="129"/>
      <c r="N66" s="129"/>
      <c r="O66" s="129"/>
      <c r="P66" s="129"/>
      <c r="Q66" s="129"/>
      <c r="R66" s="129"/>
      <c r="S66" s="129"/>
      <c r="T66" s="129"/>
      <c r="U66" s="129"/>
      <c r="V66" s="129"/>
      <c r="W66" s="129"/>
      <c r="X66" s="129"/>
    </row>
    <row r="67" spans="1:24" ht="15.75" x14ac:dyDescent="0.3">
      <c r="A67" s="53" t="s">
        <v>54</v>
      </c>
      <c r="B67" s="54">
        <f>+E36*C43</f>
        <v>5060.0000000000009</v>
      </c>
      <c r="C67" s="63"/>
      <c r="J67" s="129"/>
      <c r="K67" s="129"/>
      <c r="L67" s="129"/>
      <c r="M67" s="129"/>
      <c r="N67" s="129"/>
      <c r="O67" s="129"/>
      <c r="P67" s="129"/>
      <c r="Q67" s="129"/>
      <c r="R67" s="129"/>
      <c r="S67" s="129"/>
      <c r="T67" s="129"/>
      <c r="U67" s="129"/>
      <c r="V67" s="129"/>
      <c r="W67" s="129"/>
      <c r="X67" s="129"/>
    </row>
    <row r="68" spans="1:24" ht="15.75" x14ac:dyDescent="0.3">
      <c r="A68" s="53" t="s">
        <v>12</v>
      </c>
      <c r="B68" s="54">
        <f>+H62*H63</f>
        <v>882</v>
      </c>
      <c r="C68" s="63"/>
      <c r="J68" s="129"/>
      <c r="K68" s="129"/>
      <c r="L68" s="129"/>
      <c r="M68" s="129"/>
      <c r="N68" s="129"/>
      <c r="O68" s="129"/>
      <c r="P68" s="129"/>
      <c r="Q68" s="129"/>
      <c r="R68" s="129"/>
      <c r="S68" s="129"/>
      <c r="T68" s="129"/>
      <c r="U68" s="129"/>
      <c r="V68" s="129"/>
      <c r="W68" s="129"/>
      <c r="X68" s="129"/>
    </row>
    <row r="69" spans="1:24" ht="15.75" x14ac:dyDescent="0.3">
      <c r="A69" s="53" t="str">
        <f>+A55</f>
        <v>Placas</v>
      </c>
      <c r="B69" s="54">
        <f>+B54*H63</f>
        <v>480</v>
      </c>
      <c r="C69" s="63"/>
      <c r="J69" s="129"/>
      <c r="K69" s="129"/>
      <c r="L69" s="129"/>
      <c r="M69" s="129"/>
      <c r="N69" s="129"/>
      <c r="O69" s="129"/>
      <c r="P69" s="129"/>
      <c r="Q69" s="129"/>
      <c r="R69" s="129"/>
      <c r="S69" s="129"/>
      <c r="T69" s="129"/>
      <c r="U69" s="129"/>
      <c r="V69" s="129"/>
      <c r="W69" s="129"/>
      <c r="X69" s="129"/>
    </row>
    <row r="70" spans="1:24" ht="15.75" x14ac:dyDescent="0.3">
      <c r="A70" s="53" t="str">
        <f>+A56</f>
        <v>Mensajeria</v>
      </c>
      <c r="B70" s="54">
        <f>+B56*H63</f>
        <v>0</v>
      </c>
      <c r="C70" s="63"/>
      <c r="F70" s="64" t="s">
        <v>73</v>
      </c>
      <c r="G70" s="32">
        <f>+B61</f>
        <v>2.8675000000000002</v>
      </c>
      <c r="H70" s="65">
        <f>+G70*C49</f>
        <v>0</v>
      </c>
      <c r="J70" s="129"/>
      <c r="K70" s="129"/>
      <c r="L70" s="129"/>
      <c r="M70" s="129"/>
      <c r="N70" s="129"/>
      <c r="O70" s="129"/>
      <c r="P70" s="129"/>
      <c r="Q70" s="129"/>
      <c r="R70" s="129"/>
      <c r="S70" s="129"/>
      <c r="T70" s="129"/>
      <c r="U70" s="129"/>
      <c r="V70" s="129"/>
      <c r="W70" s="129"/>
      <c r="X70" s="129"/>
    </row>
    <row r="71" spans="1:24" ht="15.75" x14ac:dyDescent="0.3">
      <c r="A71" s="53" t="str">
        <f>+A57</f>
        <v>Listón</v>
      </c>
      <c r="B71" s="54">
        <f>+B57*H64</f>
        <v>0</v>
      </c>
      <c r="C71" s="66"/>
      <c r="F71" s="64" t="s">
        <v>75</v>
      </c>
      <c r="G71" s="32">
        <f>+C73</f>
        <v>3.2110000000000003</v>
      </c>
      <c r="H71" s="65">
        <f>+G71*C49</f>
        <v>0</v>
      </c>
      <c r="J71" s="129"/>
      <c r="K71" s="129"/>
      <c r="L71" s="129"/>
      <c r="M71" s="129"/>
      <c r="N71" s="129"/>
      <c r="O71" s="129"/>
      <c r="P71" s="129"/>
      <c r="Q71" s="129"/>
      <c r="R71" s="129"/>
      <c r="S71" s="129"/>
      <c r="T71" s="129"/>
      <c r="U71" s="129"/>
      <c r="V71" s="129"/>
      <c r="W71" s="129"/>
      <c r="X71" s="129"/>
    </row>
    <row r="72" spans="1:24" ht="15.75" x14ac:dyDescent="0.3">
      <c r="A72" s="53"/>
      <c r="B72" s="54"/>
      <c r="C72" s="66"/>
      <c r="F72" s="67" t="s">
        <v>76</v>
      </c>
      <c r="G72" s="68">
        <f>+G71-G70</f>
        <v>0.34350000000000014</v>
      </c>
      <c r="H72" s="65">
        <f>+G72*C49</f>
        <v>0</v>
      </c>
      <c r="J72" s="129"/>
      <c r="K72" s="129"/>
      <c r="L72" s="129"/>
      <c r="M72" s="129"/>
      <c r="N72" s="129"/>
      <c r="O72" s="129"/>
      <c r="P72" s="129"/>
      <c r="Q72" s="129"/>
      <c r="R72" s="129"/>
      <c r="S72" s="129"/>
      <c r="T72" s="129"/>
      <c r="U72" s="129"/>
      <c r="V72" s="129"/>
      <c r="W72" s="129"/>
      <c r="X72" s="129"/>
    </row>
    <row r="73" spans="1:24" ht="15.75" x14ac:dyDescent="0.3">
      <c r="A73" s="52" t="s">
        <v>58</v>
      </c>
      <c r="B73" s="57">
        <f>SUM(B66:B72)</f>
        <v>6422.0000000000009</v>
      </c>
      <c r="C73" s="68">
        <f>+B73/B49</f>
        <v>3.2110000000000003</v>
      </c>
      <c r="D73" s="5" t="s">
        <v>193</v>
      </c>
      <c r="J73" s="129"/>
      <c r="K73" s="129"/>
      <c r="L73" s="129"/>
      <c r="M73" s="129"/>
      <c r="N73" s="129"/>
      <c r="O73" s="129"/>
      <c r="P73" s="129"/>
      <c r="Q73" s="129"/>
      <c r="R73" s="129"/>
      <c r="S73" s="129"/>
      <c r="T73" s="129"/>
      <c r="U73" s="129"/>
      <c r="V73" s="129"/>
      <c r="W73" s="129"/>
      <c r="X73" s="129"/>
    </row>
    <row r="74" spans="1:24" ht="15.75" x14ac:dyDescent="0.3">
      <c r="J74" s="129"/>
      <c r="K74" s="129"/>
      <c r="L74" s="129"/>
      <c r="M74" s="129"/>
      <c r="N74" s="129"/>
      <c r="O74" s="129"/>
      <c r="P74" s="129"/>
      <c r="Q74" s="129"/>
      <c r="R74" s="129"/>
      <c r="S74" s="129"/>
      <c r="T74" s="129"/>
      <c r="U74" s="129"/>
      <c r="V74" s="129"/>
      <c r="W74" s="129"/>
      <c r="X74" s="129"/>
    </row>
    <row r="75" spans="1:24" ht="15.75" x14ac:dyDescent="0.3">
      <c r="J75" s="129"/>
      <c r="K75" s="129"/>
      <c r="L75" s="129"/>
      <c r="M75" s="129"/>
      <c r="N75" s="129"/>
      <c r="O75" s="129"/>
      <c r="P75" s="129"/>
      <c r="Q75" s="129"/>
      <c r="R75" s="129"/>
      <c r="S75" s="129"/>
      <c r="T75" s="129"/>
      <c r="U75" s="129"/>
      <c r="V75" s="129"/>
      <c r="W75" s="129"/>
      <c r="X75" s="129"/>
    </row>
    <row r="76" spans="1:24" ht="15.75" x14ac:dyDescent="0.3">
      <c r="A76" s="5"/>
      <c r="J76" s="129"/>
      <c r="K76" s="129"/>
      <c r="L76" s="129"/>
      <c r="M76" s="129"/>
      <c r="N76" s="129"/>
      <c r="O76" s="129"/>
      <c r="P76" s="129"/>
      <c r="Q76" s="129"/>
      <c r="R76" s="129"/>
      <c r="S76" s="129"/>
      <c r="T76" s="129"/>
      <c r="U76" s="129"/>
      <c r="V76" s="129"/>
      <c r="W76" s="129"/>
      <c r="X76" s="129"/>
    </row>
    <row r="77" spans="1:24" ht="15" thickBot="1" x14ac:dyDescent="0.35">
      <c r="A77" s="5" t="s">
        <v>9</v>
      </c>
    </row>
    <row r="78" spans="1:24" x14ac:dyDescent="0.3">
      <c r="A78" s="11" t="s">
        <v>102</v>
      </c>
      <c r="B78" s="12"/>
      <c r="C78" s="12"/>
      <c r="D78" s="12"/>
      <c r="E78" s="12"/>
      <c r="F78" s="12"/>
      <c r="G78" s="13"/>
    </row>
    <row r="79" spans="1:24" x14ac:dyDescent="0.3">
      <c r="A79" s="46">
        <f>+F16</f>
        <v>22.6</v>
      </c>
      <c r="B79" s="73">
        <f>+H16</f>
        <v>16.5</v>
      </c>
      <c r="C79" s="7" t="s">
        <v>101</v>
      </c>
      <c r="D79" s="73" t="s">
        <v>103</v>
      </c>
      <c r="E79" s="7" t="s">
        <v>104</v>
      </c>
      <c r="F79" s="92" t="s">
        <v>122</v>
      </c>
      <c r="G79" s="118">
        <v>550</v>
      </c>
    </row>
    <row r="80" spans="1:24" x14ac:dyDescent="0.3">
      <c r="A80" s="46">
        <f>0.463*0.503*C41</f>
        <v>465.77800000000002</v>
      </c>
      <c r="B80" s="78">
        <v>4</v>
      </c>
      <c r="C80" s="78">
        <f>+A80*B80</f>
        <v>1863.1120000000001</v>
      </c>
      <c r="D80" s="78">
        <v>0</v>
      </c>
      <c r="E80" s="119">
        <f>+C80+D80</f>
        <v>1863.1120000000001</v>
      </c>
      <c r="F80" s="75" t="s">
        <v>167</v>
      </c>
      <c r="G80" s="8"/>
    </row>
    <row r="81" spans="1:18" x14ac:dyDescent="0.3">
      <c r="A81" s="6"/>
      <c r="B81" s="78"/>
      <c r="C81" s="78"/>
      <c r="D81" s="78"/>
      <c r="E81" s="78"/>
      <c r="F81" s="7"/>
      <c r="G81" s="8"/>
      <c r="J81" s="71"/>
    </row>
    <row r="82" spans="1:18" x14ac:dyDescent="0.3">
      <c r="A82" s="46">
        <f>+A79</f>
        <v>22.6</v>
      </c>
      <c r="B82" s="73">
        <f>+B79</f>
        <v>16.5</v>
      </c>
      <c r="C82" s="7" t="s">
        <v>101</v>
      </c>
      <c r="D82" s="73" t="s">
        <v>103</v>
      </c>
      <c r="E82" s="7" t="s">
        <v>104</v>
      </c>
      <c r="F82" s="92" t="s">
        <v>122</v>
      </c>
      <c r="G82" s="118">
        <v>550</v>
      </c>
    </row>
    <row r="83" spans="1:18" x14ac:dyDescent="0.3">
      <c r="A83" s="46">
        <f>0.155*0.15*C42</f>
        <v>48.825000000000003</v>
      </c>
      <c r="B83" s="78">
        <f>4.1*2</f>
        <v>8.1999999999999993</v>
      </c>
      <c r="C83" s="78">
        <f>+A83*B83</f>
        <v>400.36500000000001</v>
      </c>
      <c r="D83" s="78">
        <v>0</v>
      </c>
      <c r="E83" s="119">
        <f>+C83+D83</f>
        <v>400.36500000000001</v>
      </c>
      <c r="F83" s="75" t="s">
        <v>166</v>
      </c>
      <c r="G83" s="8"/>
    </row>
    <row r="84" spans="1:18" x14ac:dyDescent="0.3">
      <c r="A84" s="6"/>
      <c r="B84" s="7"/>
      <c r="C84" s="78"/>
      <c r="D84" s="78"/>
      <c r="E84" s="78"/>
      <c r="F84" s="78"/>
      <c r="G84" s="8"/>
    </row>
    <row r="85" spans="1:18" ht="15" thickBot="1" x14ac:dyDescent="0.35">
      <c r="A85" s="14"/>
      <c r="B85" s="15"/>
      <c r="C85" s="15"/>
      <c r="D85" s="15"/>
      <c r="E85" s="15"/>
      <c r="F85" s="15"/>
      <c r="G85" s="16"/>
    </row>
    <row r="87" spans="1:18" ht="16.5" x14ac:dyDescent="0.3">
      <c r="J87" s="55"/>
      <c r="K87" s="55"/>
      <c r="L87" s="55"/>
      <c r="M87" s="55"/>
      <c r="N87" s="55"/>
      <c r="O87" s="55"/>
      <c r="P87" s="55"/>
      <c r="Q87" s="55"/>
      <c r="R87" s="55"/>
    </row>
    <row r="88" spans="1:18" ht="16.5" x14ac:dyDescent="0.3">
      <c r="J88" s="55"/>
      <c r="K88" s="55"/>
      <c r="L88" s="55"/>
      <c r="M88" s="55"/>
      <c r="N88" s="55"/>
      <c r="O88" s="55"/>
      <c r="P88" s="55"/>
      <c r="Q88" s="55"/>
      <c r="R88" s="55"/>
    </row>
    <row r="89" spans="1:18" ht="16.5" x14ac:dyDescent="0.3">
      <c r="J89" s="55"/>
      <c r="K89" s="55"/>
      <c r="L89" s="55"/>
      <c r="M89" s="55"/>
      <c r="N89" s="55"/>
      <c r="O89" s="55"/>
      <c r="P89" s="55"/>
      <c r="Q89" s="55"/>
      <c r="R89" s="55"/>
    </row>
    <row r="90" spans="1:18" ht="16.5" x14ac:dyDescent="0.3">
      <c r="J90" s="55"/>
      <c r="K90" s="55"/>
      <c r="L90" s="55"/>
      <c r="M90" s="55"/>
      <c r="N90" s="55"/>
      <c r="O90" s="55"/>
      <c r="P90" s="55"/>
      <c r="Q90" s="55"/>
      <c r="R90" s="55"/>
    </row>
    <row r="91" spans="1:18" ht="16.5" x14ac:dyDescent="0.3">
      <c r="J91" s="55"/>
      <c r="K91" s="55"/>
      <c r="L91" s="55"/>
      <c r="M91" s="55"/>
      <c r="N91" s="55"/>
      <c r="O91" s="55"/>
      <c r="P91" s="55"/>
      <c r="Q91" s="55"/>
      <c r="R91" s="55"/>
    </row>
    <row r="92" spans="1:18" ht="16.5" x14ac:dyDescent="0.3">
      <c r="J92" s="55"/>
      <c r="K92" s="55"/>
      <c r="L92" s="55"/>
      <c r="M92" s="55"/>
      <c r="N92" s="55"/>
      <c r="O92" s="55"/>
      <c r="P92" s="55"/>
      <c r="Q92" s="55"/>
      <c r="R92" s="55"/>
    </row>
    <row r="93" spans="1:18" ht="16.5" x14ac:dyDescent="0.3">
      <c r="J93" s="55"/>
      <c r="K93" s="55"/>
      <c r="L93" s="55"/>
      <c r="M93" s="55"/>
      <c r="N93" s="55"/>
      <c r="O93" s="55"/>
      <c r="P93" s="55"/>
      <c r="Q93" s="55"/>
      <c r="R93" s="55"/>
    </row>
    <row r="94" spans="1:18" ht="16.5" x14ac:dyDescent="0.3">
      <c r="J94" s="55"/>
      <c r="K94" s="55"/>
      <c r="L94" s="55"/>
      <c r="M94" s="55"/>
      <c r="N94" s="55"/>
      <c r="O94" s="55"/>
      <c r="P94" s="55"/>
      <c r="Q94" s="55"/>
      <c r="R94" s="55"/>
    </row>
    <row r="95" spans="1:18" ht="16.5" x14ac:dyDescent="0.3">
      <c r="J95" s="55"/>
      <c r="K95" s="55"/>
      <c r="L95" s="55"/>
      <c r="M95" s="55"/>
      <c r="N95" s="55"/>
      <c r="O95" s="55"/>
      <c r="P95" s="55"/>
      <c r="Q95" s="55"/>
      <c r="R95" s="55"/>
    </row>
    <row r="96" spans="1:18" ht="16.5" x14ac:dyDescent="0.3">
      <c r="J96" s="55"/>
      <c r="K96" s="55"/>
      <c r="L96" s="55"/>
      <c r="M96" s="55"/>
      <c r="N96" s="55"/>
      <c r="O96" s="55"/>
      <c r="P96" s="55"/>
      <c r="Q96" s="55"/>
      <c r="R96" s="55"/>
    </row>
  </sheetData>
  <pageMargins left="0.70866141732283472" right="0.70866141732283472" top="0.74803149606299213" bottom="0.74803149606299213" header="0.31496062992125984" footer="0.31496062992125984"/>
  <pageSetup scale="53" orientation="portrait" r:id="rId1"/>
  <headerFooter>
    <oddFooter>&amp;A</oddFooter>
  </headerFooter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96"/>
  <sheetViews>
    <sheetView topLeftCell="A62" zoomScale="80" zoomScaleNormal="80" workbookViewId="0">
      <selection activeCell="E83" sqref="E83"/>
    </sheetView>
  </sheetViews>
  <sheetFormatPr baseColWidth="10" defaultRowHeight="14.25" x14ac:dyDescent="0.3"/>
  <cols>
    <col min="1" max="1" width="11.42578125" style="1"/>
    <col min="2" max="2" width="13.42578125" style="1" bestFit="1" customWidth="1"/>
    <col min="3" max="3" width="11.5703125" style="1" bestFit="1" customWidth="1"/>
    <col min="4" max="4" width="9.7109375" style="1" customWidth="1"/>
    <col min="5" max="5" width="14.28515625" style="1" customWidth="1"/>
    <col min="6" max="6" width="12.5703125" style="1" customWidth="1"/>
    <col min="7" max="7" width="13.42578125" style="1" customWidth="1"/>
    <col min="8" max="8" width="11.5703125" style="1" customWidth="1"/>
    <col min="9" max="9" width="12.42578125" style="1" customWidth="1"/>
    <col min="10" max="10" width="11.42578125" style="1"/>
    <col min="11" max="11" width="15.85546875" style="1" customWidth="1"/>
    <col min="12" max="12" width="11.42578125" style="1"/>
    <col min="13" max="13" width="14.140625" style="1" customWidth="1"/>
    <col min="14" max="16384" width="11.42578125" style="1"/>
  </cols>
  <sheetData>
    <row r="1" spans="1:21" ht="15.75" x14ac:dyDescent="0.3">
      <c r="J1"/>
      <c r="K1"/>
      <c r="L1"/>
      <c r="M1"/>
      <c r="N1"/>
      <c r="O1"/>
      <c r="P1"/>
      <c r="Q1"/>
      <c r="R1"/>
    </row>
    <row r="2" spans="1:21" ht="15.75" x14ac:dyDescent="0.3">
      <c r="J2"/>
      <c r="K2"/>
      <c r="L2"/>
      <c r="M2"/>
      <c r="N2"/>
      <c r="O2"/>
      <c r="P2"/>
      <c r="Q2"/>
      <c r="R2"/>
    </row>
    <row r="3" spans="1:21" ht="15.75" x14ac:dyDescent="0.3">
      <c r="J3"/>
      <c r="K3"/>
      <c r="L3"/>
      <c r="M3"/>
      <c r="N3"/>
      <c r="O3"/>
      <c r="P3"/>
      <c r="Q3"/>
      <c r="R3"/>
      <c r="S3" s="3"/>
      <c r="T3" s="3"/>
      <c r="U3" s="3"/>
    </row>
    <row r="4" spans="1:21" ht="15.75" x14ac:dyDescent="0.3">
      <c r="J4"/>
      <c r="K4"/>
      <c r="L4"/>
      <c r="M4"/>
      <c r="N4"/>
      <c r="O4"/>
      <c r="P4"/>
      <c r="Q4"/>
      <c r="R4"/>
    </row>
    <row r="5" spans="1:21" ht="15.75" x14ac:dyDescent="0.3">
      <c r="A5" s="5"/>
      <c r="J5"/>
      <c r="K5"/>
      <c r="L5"/>
      <c r="M5"/>
      <c r="N5"/>
      <c r="O5"/>
      <c r="P5"/>
      <c r="Q5"/>
      <c r="R5"/>
    </row>
    <row r="6" spans="1:21" ht="18.75" x14ac:dyDescent="0.3">
      <c r="A6" s="2" t="s">
        <v>2</v>
      </c>
      <c r="E6" s="5" t="s">
        <v>3</v>
      </c>
      <c r="F6" s="1" t="s">
        <v>4</v>
      </c>
      <c r="J6"/>
      <c r="K6"/>
      <c r="L6"/>
      <c r="M6"/>
      <c r="N6"/>
      <c r="O6"/>
      <c r="P6"/>
      <c r="Q6"/>
      <c r="R6"/>
    </row>
    <row r="7" spans="1:21" ht="15.75" x14ac:dyDescent="0.3">
      <c r="J7"/>
      <c r="K7"/>
      <c r="L7"/>
      <c r="M7"/>
      <c r="N7"/>
      <c r="O7"/>
      <c r="P7"/>
      <c r="Q7"/>
      <c r="R7"/>
    </row>
    <row r="8" spans="1:21" ht="15.75" x14ac:dyDescent="0.3">
      <c r="J8"/>
      <c r="K8"/>
      <c r="L8"/>
      <c r="M8"/>
      <c r="N8"/>
      <c r="O8"/>
      <c r="P8"/>
      <c r="Q8"/>
      <c r="R8"/>
    </row>
    <row r="9" spans="1:21" s="5" customFormat="1" ht="15.75" x14ac:dyDescent="0.3">
      <c r="A9" s="5" t="s">
        <v>6</v>
      </c>
      <c r="C9" s="5" t="str">
        <f>+'cartón caja'!C9</f>
        <v>21 de septiembre de 2017.</v>
      </c>
      <c r="H9" s="5" t="s">
        <v>7</v>
      </c>
      <c r="J9"/>
      <c r="K9"/>
      <c r="L9"/>
      <c r="M9"/>
      <c r="N9"/>
      <c r="O9"/>
      <c r="P9"/>
      <c r="Q9"/>
      <c r="R9"/>
      <c r="S9" s="1"/>
      <c r="T9" s="1"/>
      <c r="U9" s="1"/>
    </row>
    <row r="10" spans="1:21" ht="15.75" x14ac:dyDescent="0.3">
      <c r="J10"/>
      <c r="K10"/>
      <c r="L10"/>
      <c r="M10"/>
      <c r="N10"/>
      <c r="O10"/>
      <c r="P10"/>
      <c r="Q10"/>
      <c r="R10"/>
    </row>
    <row r="11" spans="1:21" ht="16.5" thickBot="1" x14ac:dyDescent="0.35">
      <c r="A11" s="5" t="s">
        <v>8</v>
      </c>
      <c r="C11" s="1" t="str">
        <f>+'cartón caja'!C11</f>
        <v>Nespresso</v>
      </c>
      <c r="F11" s="5" t="s">
        <v>0</v>
      </c>
      <c r="J11"/>
      <c r="K11"/>
      <c r="L11"/>
      <c r="M11"/>
      <c r="N11"/>
      <c r="O11"/>
      <c r="P11"/>
      <c r="Q11"/>
      <c r="R11"/>
    </row>
    <row r="12" spans="1:21" ht="15.75" x14ac:dyDescent="0.3">
      <c r="A12" s="5"/>
      <c r="F12" s="11"/>
      <c r="G12" s="12"/>
      <c r="H12" s="13"/>
      <c r="J12"/>
      <c r="K12"/>
      <c r="L12"/>
      <c r="M12"/>
      <c r="N12" s="122"/>
      <c r="O12"/>
      <c r="P12"/>
      <c r="Q12"/>
      <c r="R12"/>
    </row>
    <row r="13" spans="1:21" ht="15.75" x14ac:dyDescent="0.3">
      <c r="A13" s="5" t="s">
        <v>10</v>
      </c>
      <c r="C13" s="1" t="str">
        <f>+'espuma base 3cm '!C13</f>
        <v/>
      </c>
      <c r="F13" s="6"/>
      <c r="G13" s="7"/>
      <c r="H13" s="8"/>
      <c r="J13"/>
      <c r="K13"/>
      <c r="L13"/>
      <c r="M13"/>
      <c r="N13" s="123"/>
      <c r="O13"/>
      <c r="P13"/>
      <c r="Q13"/>
      <c r="R13"/>
    </row>
    <row r="14" spans="1:21" ht="15.75" x14ac:dyDescent="0.3">
      <c r="A14" s="5"/>
      <c r="F14" s="6"/>
      <c r="G14" s="7"/>
      <c r="H14" s="8"/>
      <c r="J14"/>
      <c r="K14"/>
      <c r="L14"/>
      <c r="M14"/>
      <c r="N14" s="123"/>
      <c r="O14"/>
      <c r="P14"/>
      <c r="Q14"/>
      <c r="R14"/>
    </row>
    <row r="15" spans="1:21" ht="15.75" x14ac:dyDescent="0.3">
      <c r="A15" s="5" t="s">
        <v>11</v>
      </c>
      <c r="C15" s="19" t="s">
        <v>185</v>
      </c>
      <c r="D15" s="18"/>
      <c r="E15" s="18"/>
      <c r="F15" s="72" t="s">
        <v>5</v>
      </c>
      <c r="G15" s="7"/>
      <c r="H15" s="8"/>
      <c r="J15"/>
      <c r="K15"/>
      <c r="L15"/>
      <c r="M15"/>
      <c r="N15" s="123"/>
      <c r="O15"/>
      <c r="P15"/>
      <c r="Q15"/>
      <c r="R15"/>
    </row>
    <row r="16" spans="1:21" ht="15.75" x14ac:dyDescent="0.3">
      <c r="C16" s="17" t="s">
        <v>94</v>
      </c>
      <c r="D16" s="18"/>
      <c r="E16" s="18"/>
      <c r="F16" s="46">
        <f>+Desarrollo!C35*1</f>
        <v>41.1</v>
      </c>
      <c r="G16" s="73" t="s">
        <v>82</v>
      </c>
      <c r="H16" s="74">
        <f>+Desarrollo!E35</f>
        <v>35</v>
      </c>
      <c r="J16"/>
      <c r="K16"/>
      <c r="L16"/>
      <c r="M16"/>
      <c r="N16" s="123"/>
      <c r="O16"/>
      <c r="P16"/>
      <c r="Q16"/>
      <c r="R16"/>
    </row>
    <row r="17" spans="1:19" ht="15.75" x14ac:dyDescent="0.3">
      <c r="C17" s="17" t="s">
        <v>186</v>
      </c>
      <c r="D17" s="18"/>
      <c r="E17" s="18"/>
      <c r="F17" s="72">
        <v>1</v>
      </c>
      <c r="G17" s="75" t="s">
        <v>83</v>
      </c>
      <c r="H17" s="8"/>
      <c r="J17"/>
      <c r="K17"/>
      <c r="L17"/>
      <c r="M17"/>
      <c r="N17" s="123"/>
      <c r="O17"/>
      <c r="P17"/>
      <c r="Q17"/>
      <c r="R17"/>
    </row>
    <row r="18" spans="1:19" ht="15.75" x14ac:dyDescent="0.3">
      <c r="C18" s="17" t="s">
        <v>175</v>
      </c>
      <c r="D18" s="18"/>
      <c r="E18" s="18"/>
      <c r="F18" s="6"/>
      <c r="G18" s="7"/>
      <c r="H18" s="8"/>
      <c r="J18"/>
      <c r="K18"/>
      <c r="L18"/>
      <c r="M18"/>
      <c r="N18" s="123"/>
      <c r="O18"/>
      <c r="P18"/>
      <c r="Q18"/>
      <c r="R18"/>
    </row>
    <row r="19" spans="1:19" ht="15.75" x14ac:dyDescent="0.3">
      <c r="C19" s="17" t="s">
        <v>187</v>
      </c>
      <c r="D19" s="18"/>
      <c r="E19" s="18"/>
      <c r="F19" s="6"/>
      <c r="G19" s="7"/>
      <c r="H19" s="8"/>
      <c r="J19"/>
      <c r="K19"/>
      <c r="L19"/>
      <c r="M19"/>
      <c r="N19" s="123"/>
      <c r="O19"/>
      <c r="P19"/>
      <c r="Q19"/>
      <c r="R19"/>
    </row>
    <row r="20" spans="1:19" ht="15.75" x14ac:dyDescent="0.3">
      <c r="C20" s="18" t="s">
        <v>188</v>
      </c>
      <c r="D20" s="18"/>
      <c r="E20" s="18"/>
      <c r="F20" s="46">
        <f>+Desarrollo!C32</f>
        <v>39.1</v>
      </c>
      <c r="G20" s="73" t="s">
        <v>82</v>
      </c>
      <c r="H20" s="74">
        <f>+Desarrollo!E32</f>
        <v>33</v>
      </c>
      <c r="J20"/>
      <c r="K20"/>
      <c r="L20"/>
      <c r="M20"/>
      <c r="N20" s="124"/>
      <c r="O20"/>
      <c r="P20"/>
      <c r="Q20"/>
      <c r="R20"/>
    </row>
    <row r="21" spans="1:19" ht="15.75" x14ac:dyDescent="0.3">
      <c r="C21" s="18" t="s">
        <v>173</v>
      </c>
      <c r="D21" s="18"/>
      <c r="E21" s="18"/>
      <c r="F21" s="6"/>
      <c r="G21" s="7"/>
      <c r="H21" s="8"/>
      <c r="J21"/>
      <c r="K21"/>
      <c r="L21"/>
      <c r="M21"/>
      <c r="N21"/>
      <c r="O21"/>
      <c r="P21"/>
      <c r="Q21"/>
      <c r="R21"/>
    </row>
    <row r="22" spans="1:19" ht="16.5" thickBot="1" x14ac:dyDescent="0.35">
      <c r="C22" s="18" t="s">
        <v>190</v>
      </c>
      <c r="D22" s="18"/>
      <c r="E22" s="18"/>
      <c r="F22" s="14"/>
      <c r="G22" s="15"/>
      <c r="H22" s="16"/>
      <c r="J22"/>
      <c r="K22"/>
      <c r="L22"/>
      <c r="M22"/>
      <c r="N22"/>
      <c r="O22"/>
      <c r="P22"/>
      <c r="Q22"/>
      <c r="R22"/>
    </row>
    <row r="23" spans="1:19" ht="15.75" x14ac:dyDescent="0.3">
      <c r="A23" s="4" t="s">
        <v>13</v>
      </c>
      <c r="C23" s="80" t="str">
        <f>+Desarrollo!A34</f>
        <v>Rainbow Villatoro</v>
      </c>
      <c r="D23" s="5" t="s">
        <v>14</v>
      </c>
      <c r="E23" s="22" t="str">
        <f>+Desarrollo!B34</f>
        <v>Negro</v>
      </c>
      <c r="J23"/>
      <c r="K23"/>
      <c r="L23"/>
      <c r="M23"/>
      <c r="N23"/>
      <c r="O23"/>
      <c r="P23"/>
      <c r="Q23"/>
      <c r="R23"/>
    </row>
    <row r="24" spans="1:19" ht="15.75" x14ac:dyDescent="0.3">
      <c r="J24"/>
      <c r="K24"/>
      <c r="L24"/>
      <c r="M24"/>
      <c r="N24"/>
      <c r="O24"/>
      <c r="P24"/>
      <c r="Q24"/>
      <c r="R24"/>
    </row>
    <row r="25" spans="1:19" ht="15.75" x14ac:dyDescent="0.3">
      <c r="A25" s="4" t="s">
        <v>15</v>
      </c>
      <c r="C25" s="23">
        <f>+Desarrollo!C34</f>
        <v>100</v>
      </c>
      <c r="D25" s="22" t="s">
        <v>16</v>
      </c>
      <c r="E25" s="24">
        <f>+Desarrollo!E34</f>
        <v>130</v>
      </c>
      <c r="F25" s="25">
        <f>+C25</f>
        <v>100</v>
      </c>
      <c r="G25" s="26" t="s">
        <v>16</v>
      </c>
      <c r="H25" s="26">
        <f>+E25</f>
        <v>130</v>
      </c>
      <c r="J25"/>
      <c r="K25"/>
      <c r="L25"/>
      <c r="M25"/>
      <c r="N25"/>
      <c r="O25"/>
      <c r="P25"/>
      <c r="Q25"/>
      <c r="R25"/>
    </row>
    <row r="26" spans="1:19" ht="15.75" x14ac:dyDescent="0.3">
      <c r="A26" s="4" t="s">
        <v>17</v>
      </c>
      <c r="B26" s="3"/>
      <c r="C26" s="27">
        <f>+F16</f>
        <v>41.1</v>
      </c>
      <c r="D26" s="28" t="s">
        <v>16</v>
      </c>
      <c r="E26" s="27">
        <f>+H16</f>
        <v>35</v>
      </c>
      <c r="F26" s="29">
        <f>+E26</f>
        <v>35</v>
      </c>
      <c r="G26" s="29" t="s">
        <v>16</v>
      </c>
      <c r="H26" s="29">
        <f>+C26</f>
        <v>41.1</v>
      </c>
      <c r="I26" s="30"/>
      <c r="J26"/>
      <c r="K26"/>
      <c r="L26"/>
      <c r="M26"/>
      <c r="N26"/>
      <c r="O26"/>
      <c r="P26"/>
      <c r="Q26"/>
      <c r="R26"/>
    </row>
    <row r="27" spans="1:19" ht="16.5" thickBot="1" x14ac:dyDescent="0.35">
      <c r="A27" s="3" t="s">
        <v>18</v>
      </c>
      <c r="B27" s="31"/>
      <c r="C27" s="32">
        <f>+C25/C26</f>
        <v>2.4330900243309004</v>
      </c>
      <c r="D27" s="33"/>
      <c r="E27" s="32">
        <f>+E25/E26</f>
        <v>3.7142857142857144</v>
      </c>
      <c r="F27" s="32">
        <f>+F25/F26</f>
        <v>2.8571428571428572</v>
      </c>
      <c r="G27" s="33"/>
      <c r="H27" s="32">
        <f>+H25/H26</f>
        <v>3.16301703163017</v>
      </c>
      <c r="I27" s="30"/>
      <c r="J27"/>
      <c r="K27"/>
      <c r="L27"/>
      <c r="M27"/>
      <c r="N27"/>
      <c r="O27"/>
      <c r="P27"/>
      <c r="Q27"/>
      <c r="R27"/>
    </row>
    <row r="28" spans="1:19" ht="16.5" thickBot="1" x14ac:dyDescent="0.35">
      <c r="A28" s="3" t="s">
        <v>19</v>
      </c>
      <c r="B28" s="34"/>
      <c r="C28" s="35"/>
      <c r="D28" s="36">
        <v>6</v>
      </c>
      <c r="E28" s="37"/>
      <c r="F28" s="38"/>
      <c r="G28" s="39">
        <v>6</v>
      </c>
      <c r="H28" s="40" t="s">
        <v>20</v>
      </c>
      <c r="J28"/>
      <c r="K28"/>
      <c r="L28"/>
      <c r="M28"/>
      <c r="N28"/>
      <c r="O28"/>
      <c r="P28"/>
      <c r="Q28"/>
      <c r="R28"/>
    </row>
    <row r="29" spans="1:19" ht="15.75" x14ac:dyDescent="0.3">
      <c r="A29" s="3"/>
      <c r="B29" s="21"/>
      <c r="C29" s="30"/>
      <c r="G29" s="41"/>
      <c r="H29" s="30"/>
      <c r="J29"/>
      <c r="K29"/>
      <c r="L29"/>
      <c r="M29"/>
      <c r="N29"/>
      <c r="O29"/>
      <c r="P29"/>
      <c r="Q29"/>
      <c r="R29"/>
    </row>
    <row r="30" spans="1:19" ht="15.75" x14ac:dyDescent="0.3">
      <c r="A30" s="25" t="s">
        <v>21</v>
      </c>
      <c r="B30" s="25" t="s">
        <v>189</v>
      </c>
      <c r="D30" s="41" t="s">
        <v>22</v>
      </c>
      <c r="E30" s="42">
        <f>+Desarrollo!F34</f>
        <v>28</v>
      </c>
      <c r="F30" s="120"/>
      <c r="G30" s="1" t="s">
        <v>23</v>
      </c>
      <c r="H30" s="43">
        <v>0</v>
      </c>
      <c r="J30"/>
      <c r="K30"/>
      <c r="L30"/>
      <c r="M30"/>
      <c r="N30"/>
      <c r="O30"/>
      <c r="P30"/>
      <c r="Q30"/>
      <c r="R30"/>
      <c r="S30"/>
    </row>
    <row r="31" spans="1:19" ht="15.75" x14ac:dyDescent="0.3">
      <c r="A31" s="3"/>
      <c r="B31" s="3"/>
      <c r="C31" s="3"/>
      <c r="D31" s="44" t="s">
        <v>24</v>
      </c>
      <c r="E31" s="42">
        <f>+H30*E30</f>
        <v>0</v>
      </c>
      <c r="H31" s="43"/>
      <c r="I31" s="30"/>
      <c r="J31"/>
      <c r="K31"/>
      <c r="L31"/>
      <c r="M31"/>
      <c r="N31"/>
      <c r="O31"/>
      <c r="P31"/>
      <c r="Q31"/>
      <c r="R31"/>
      <c r="S31"/>
    </row>
    <row r="32" spans="1:19" ht="15.75" x14ac:dyDescent="0.3">
      <c r="D32" s="44" t="s">
        <v>25</v>
      </c>
      <c r="E32" s="45">
        <f>+E30-E31</f>
        <v>28</v>
      </c>
      <c r="I32" s="30"/>
      <c r="J32"/>
      <c r="K32"/>
      <c r="L32"/>
      <c r="M32"/>
      <c r="N32"/>
      <c r="O32"/>
      <c r="P32"/>
      <c r="Q32"/>
      <c r="R32"/>
      <c r="S32"/>
    </row>
    <row r="33" spans="1:19" ht="15.75" x14ac:dyDescent="0.3">
      <c r="E33" s="21" t="s">
        <v>27</v>
      </c>
      <c r="F33" s="21" t="s">
        <v>28</v>
      </c>
      <c r="G33" s="21" t="s">
        <v>28</v>
      </c>
      <c r="H33" s="21" t="s">
        <v>28</v>
      </c>
      <c r="I33" s="30"/>
      <c r="J33"/>
      <c r="K33"/>
      <c r="L33"/>
      <c r="M33"/>
      <c r="N33"/>
      <c r="O33"/>
      <c r="P33"/>
      <c r="Q33"/>
      <c r="R33"/>
      <c r="S33"/>
    </row>
    <row r="34" spans="1:19" ht="15.75" x14ac:dyDescent="0.3">
      <c r="D34" s="41" t="s">
        <v>29</v>
      </c>
      <c r="E34" s="47">
        <f>+E32</f>
        <v>28</v>
      </c>
      <c r="F34" s="47">
        <v>0</v>
      </c>
      <c r="G34" s="47">
        <v>0</v>
      </c>
      <c r="H34" s="47">
        <v>0</v>
      </c>
      <c r="J34"/>
      <c r="K34"/>
      <c r="L34"/>
      <c r="M34"/>
      <c r="N34"/>
      <c r="O34"/>
      <c r="P34"/>
      <c r="Q34"/>
      <c r="R34"/>
      <c r="S34"/>
    </row>
    <row r="35" spans="1:19" ht="15.75" x14ac:dyDescent="0.3">
      <c r="D35" s="41" t="s">
        <v>30</v>
      </c>
      <c r="E35" s="47">
        <f>+E34*1.1</f>
        <v>30.800000000000004</v>
      </c>
      <c r="F35" s="47">
        <v>0</v>
      </c>
      <c r="G35" s="47">
        <v>0</v>
      </c>
      <c r="H35" s="47">
        <v>0</v>
      </c>
      <c r="J35"/>
      <c r="K35"/>
      <c r="L35"/>
      <c r="M35"/>
      <c r="N35"/>
      <c r="O35"/>
      <c r="P35"/>
      <c r="Q35"/>
      <c r="R35"/>
      <c r="S35"/>
    </row>
    <row r="36" spans="1:19" ht="16.5" thickBot="1" x14ac:dyDescent="0.35">
      <c r="A36" s="3"/>
      <c r="G36" s="41"/>
      <c r="J36"/>
      <c r="K36"/>
      <c r="L36"/>
      <c r="M36"/>
      <c r="N36"/>
      <c r="O36"/>
      <c r="P36"/>
      <c r="Q36"/>
      <c r="R36"/>
      <c r="S36"/>
    </row>
    <row r="37" spans="1:19" ht="15.75" x14ac:dyDescent="0.3">
      <c r="A37" s="3"/>
      <c r="B37" s="21"/>
      <c r="C37" s="30"/>
      <c r="E37" s="11" t="s">
        <v>32</v>
      </c>
      <c r="F37" s="12" t="s">
        <v>33</v>
      </c>
      <c r="G37" s="12"/>
      <c r="H37" s="13"/>
      <c r="J37"/>
      <c r="K37"/>
      <c r="L37"/>
      <c r="M37"/>
      <c r="N37"/>
      <c r="O37"/>
      <c r="P37"/>
      <c r="Q37"/>
      <c r="R37"/>
      <c r="S37"/>
    </row>
    <row r="38" spans="1:19" ht="16.5" thickBot="1" x14ac:dyDescent="0.35">
      <c r="A38" s="4" t="s">
        <v>34</v>
      </c>
      <c r="C38" s="48">
        <v>6</v>
      </c>
      <c r="D38" s="49" t="s">
        <v>35</v>
      </c>
      <c r="E38" s="14"/>
      <c r="F38" s="15" t="s">
        <v>36</v>
      </c>
      <c r="G38" s="15"/>
      <c r="H38" s="16"/>
      <c r="J38"/>
      <c r="K38"/>
      <c r="L38"/>
      <c r="M38"/>
      <c r="N38"/>
      <c r="O38"/>
      <c r="P38"/>
      <c r="Q38"/>
      <c r="R38"/>
      <c r="S38"/>
    </row>
    <row r="39" spans="1:19" ht="15.75" x14ac:dyDescent="0.3">
      <c r="A39" s="4"/>
      <c r="C39" s="21"/>
      <c r="D39" s="1" t="s">
        <v>37</v>
      </c>
      <c r="E39" s="3"/>
      <c r="F39" s="3"/>
      <c r="J39"/>
      <c r="K39"/>
      <c r="L39"/>
      <c r="M39"/>
      <c r="N39"/>
      <c r="O39"/>
      <c r="P39"/>
      <c r="Q39"/>
      <c r="R39"/>
      <c r="S39"/>
    </row>
    <row r="40" spans="1:19" ht="15.75" x14ac:dyDescent="0.3">
      <c r="A40" s="4" t="s">
        <v>38</v>
      </c>
      <c r="B40" s="5"/>
      <c r="C40" s="50">
        <f>+B48/F17</f>
        <v>2000</v>
      </c>
      <c r="D40" s="24">
        <f>+Desarrollo!D7</f>
        <v>100</v>
      </c>
      <c r="F40" s="44" t="s">
        <v>39</v>
      </c>
      <c r="G40" s="23">
        <v>1</v>
      </c>
      <c r="H40" s="3"/>
      <c r="J40"/>
      <c r="K40"/>
      <c r="L40"/>
      <c r="M40"/>
      <c r="N40"/>
      <c r="O40"/>
      <c r="P40"/>
      <c r="Q40"/>
      <c r="R40"/>
      <c r="S40"/>
    </row>
    <row r="41" spans="1:19" ht="15.75" x14ac:dyDescent="0.3">
      <c r="A41" s="4" t="s">
        <v>40</v>
      </c>
      <c r="C41" s="34">
        <f>+C40+D40</f>
        <v>2100</v>
      </c>
      <c r="F41" s="44" t="s">
        <v>41</v>
      </c>
      <c r="G41" s="23">
        <v>2</v>
      </c>
      <c r="H41" s="3"/>
      <c r="J41"/>
      <c r="K41"/>
      <c r="L41"/>
      <c r="M41"/>
      <c r="N41"/>
      <c r="O41"/>
      <c r="P41"/>
      <c r="Q41"/>
      <c r="R41"/>
      <c r="S41"/>
    </row>
    <row r="42" spans="1:19" ht="15.75" x14ac:dyDescent="0.3">
      <c r="A42" s="4" t="s">
        <v>42</v>
      </c>
      <c r="C42" s="34">
        <f>+C41/C38</f>
        <v>350</v>
      </c>
      <c r="F42" s="44" t="s">
        <v>43</v>
      </c>
      <c r="G42" s="23"/>
      <c r="H42" s="3"/>
      <c r="J42"/>
      <c r="K42"/>
      <c r="L42"/>
      <c r="M42"/>
      <c r="N42"/>
      <c r="O42"/>
      <c r="P42"/>
      <c r="Q42"/>
      <c r="R42"/>
      <c r="S42"/>
    </row>
    <row r="43" spans="1:19" ht="15.75" x14ac:dyDescent="0.3">
      <c r="A43" s="4" t="s">
        <v>92</v>
      </c>
      <c r="C43" s="21">
        <f>+(C42*C38)*F17</f>
        <v>2100</v>
      </c>
      <c r="F43" s="41" t="s">
        <v>44</v>
      </c>
      <c r="G43" s="23">
        <f>+C40/1000</f>
        <v>2</v>
      </c>
      <c r="H43" s="3"/>
      <c r="J43"/>
      <c r="K43"/>
      <c r="L43"/>
      <c r="M43"/>
      <c r="N43"/>
      <c r="O43"/>
      <c r="P43"/>
      <c r="Q43"/>
      <c r="R43"/>
      <c r="S43"/>
    </row>
    <row r="44" spans="1:19" ht="15.75" x14ac:dyDescent="0.3">
      <c r="A44" s="4"/>
      <c r="C44" s="51"/>
      <c r="F44" s="44" t="s">
        <v>45</v>
      </c>
      <c r="G44" s="48">
        <f>+C41</f>
        <v>2100</v>
      </c>
      <c r="H44" s="3"/>
      <c r="J44"/>
      <c r="K44"/>
      <c r="L44"/>
      <c r="M44"/>
      <c r="N44"/>
      <c r="O44"/>
      <c r="P44"/>
      <c r="Q44"/>
      <c r="R44"/>
      <c r="S44"/>
    </row>
    <row r="45" spans="1:19" ht="15.75" x14ac:dyDescent="0.3">
      <c r="A45" s="4"/>
      <c r="C45" s="21"/>
      <c r="E45" s="44"/>
      <c r="F45" s="44"/>
      <c r="G45" s="30"/>
      <c r="I45" s="3"/>
      <c r="J45"/>
      <c r="K45"/>
      <c r="L45"/>
      <c r="M45"/>
      <c r="N45"/>
      <c r="O45"/>
      <c r="P45"/>
      <c r="Q45"/>
      <c r="R45"/>
      <c r="S45"/>
    </row>
    <row r="46" spans="1:19" ht="15.75" x14ac:dyDescent="0.3">
      <c r="A46" s="4" t="s">
        <v>46</v>
      </c>
      <c r="C46" s="25">
        <f>+C42*C38</f>
        <v>2100</v>
      </c>
      <c r="F46" s="44"/>
      <c r="G46" s="30"/>
      <c r="H46" s="3"/>
      <c r="J46"/>
      <c r="K46"/>
      <c r="L46"/>
      <c r="M46"/>
      <c r="N46"/>
      <c r="O46"/>
      <c r="P46"/>
      <c r="Q46"/>
      <c r="R46"/>
      <c r="S46"/>
    </row>
    <row r="47" spans="1:19" ht="15.75" x14ac:dyDescent="0.3">
      <c r="A47" s="3"/>
      <c r="B47" s="3"/>
      <c r="C47" s="3"/>
      <c r="D47" s="3"/>
      <c r="E47" s="3"/>
      <c r="H47" s="3"/>
      <c r="J47"/>
      <c r="K47"/>
      <c r="L47"/>
      <c r="M47"/>
      <c r="N47"/>
      <c r="O47"/>
      <c r="P47"/>
      <c r="Q47"/>
      <c r="R47"/>
    </row>
    <row r="48" spans="1:19" ht="15.75" x14ac:dyDescent="0.3">
      <c r="A48" s="4" t="s">
        <v>77</v>
      </c>
      <c r="B48" s="21">
        <f>+'cartón caja'!B48</f>
        <v>2000</v>
      </c>
      <c r="C48" s="21"/>
      <c r="D48" s="25" t="s">
        <v>47</v>
      </c>
      <c r="E48" s="25" t="s">
        <v>48</v>
      </c>
      <c r="F48" s="25" t="s">
        <v>49</v>
      </c>
      <c r="G48" s="25" t="s">
        <v>50</v>
      </c>
      <c r="H48" s="25" t="s">
        <v>51</v>
      </c>
      <c r="J48"/>
      <c r="K48"/>
      <c r="L48"/>
      <c r="M48"/>
      <c r="N48"/>
      <c r="O48"/>
      <c r="P48"/>
      <c r="Q48"/>
      <c r="R48"/>
      <c r="S48"/>
    </row>
    <row r="49" spans="1:23" ht="15.75" x14ac:dyDescent="0.3">
      <c r="A49" s="52" t="s">
        <v>52</v>
      </c>
      <c r="B49" s="53"/>
      <c r="C49" s="3"/>
      <c r="D49" s="21">
        <v>0</v>
      </c>
      <c r="E49" s="21">
        <v>0</v>
      </c>
      <c r="F49" s="21" t="s">
        <v>53</v>
      </c>
      <c r="G49" s="30">
        <f>185+145</f>
        <v>330</v>
      </c>
      <c r="H49" s="30">
        <f>+(D49*E49)*G49</f>
        <v>0</v>
      </c>
      <c r="J49"/>
      <c r="K49"/>
      <c r="L49"/>
      <c r="M49"/>
      <c r="N49"/>
      <c r="O49"/>
      <c r="P49"/>
      <c r="Q49"/>
      <c r="R49"/>
      <c r="S49"/>
    </row>
    <row r="50" spans="1:23" ht="15.75" x14ac:dyDescent="0.3">
      <c r="A50" s="53" t="s">
        <v>54</v>
      </c>
      <c r="B50" s="54">
        <f>+E34*C42</f>
        <v>9800</v>
      </c>
      <c r="C50" s="3"/>
      <c r="D50" s="21">
        <v>0</v>
      </c>
      <c r="E50" s="21">
        <v>0</v>
      </c>
      <c r="F50" s="21" t="s">
        <v>78</v>
      </c>
      <c r="G50" s="30">
        <v>145</v>
      </c>
      <c r="H50" s="30">
        <f>+(D50*E50)*G50</f>
        <v>0</v>
      </c>
      <c r="J50"/>
      <c r="K50"/>
      <c r="L50"/>
      <c r="M50"/>
      <c r="N50"/>
      <c r="O50"/>
      <c r="P50"/>
      <c r="Q50"/>
      <c r="R50"/>
      <c r="S50"/>
    </row>
    <row r="51" spans="1:23" ht="15.75" x14ac:dyDescent="0.3">
      <c r="A51" s="53" t="s">
        <v>12</v>
      </c>
      <c r="B51" s="54">
        <f>+H61</f>
        <v>1898.34</v>
      </c>
      <c r="C51" s="3"/>
      <c r="D51" s="21">
        <v>0</v>
      </c>
      <c r="E51" s="21">
        <v>0</v>
      </c>
      <c r="F51" s="21" t="s">
        <v>84</v>
      </c>
      <c r="G51" s="30">
        <v>500</v>
      </c>
      <c r="H51" s="30">
        <f>+G51*E51*D51</f>
        <v>0</v>
      </c>
      <c r="J51"/>
      <c r="K51"/>
      <c r="L51"/>
      <c r="M51"/>
      <c r="N51"/>
      <c r="O51"/>
      <c r="P51"/>
      <c r="Q51"/>
      <c r="R51"/>
      <c r="S51"/>
    </row>
    <row r="52" spans="1:23" ht="15.75" x14ac:dyDescent="0.3">
      <c r="A52" s="53"/>
      <c r="B52" s="54"/>
      <c r="C52" s="3"/>
      <c r="D52" s="21">
        <v>1</v>
      </c>
      <c r="E52" s="21">
        <v>1</v>
      </c>
      <c r="F52" s="21" t="s">
        <v>99</v>
      </c>
      <c r="G52" s="30">
        <v>400</v>
      </c>
      <c r="H52" s="30">
        <f t="shared" ref="H52:H59" si="0">+G52*E52</f>
        <v>400</v>
      </c>
      <c r="I52" s="63">
        <f>+(B73/100)*2</f>
        <v>275.56016000000005</v>
      </c>
      <c r="Q52"/>
      <c r="R52"/>
      <c r="S52"/>
    </row>
    <row r="53" spans="1:23" ht="16.5" x14ac:dyDescent="0.3">
      <c r="A53" s="53" t="s">
        <v>26</v>
      </c>
      <c r="B53" s="54">
        <v>600</v>
      </c>
      <c r="C53" s="3"/>
      <c r="D53" s="21">
        <v>1</v>
      </c>
      <c r="E53" s="21">
        <v>1</v>
      </c>
      <c r="F53" s="21" t="s">
        <v>79</v>
      </c>
      <c r="G53" s="30">
        <v>145</v>
      </c>
      <c r="H53" s="30">
        <f t="shared" si="0"/>
        <v>145</v>
      </c>
      <c r="I53" s="55"/>
      <c r="Q53"/>
      <c r="R53"/>
      <c r="S53"/>
    </row>
    <row r="54" spans="1:23" ht="15.75" x14ac:dyDescent="0.3">
      <c r="A54" s="56" t="s">
        <v>121</v>
      </c>
      <c r="B54" s="54">
        <v>0</v>
      </c>
      <c r="C54" s="3"/>
      <c r="D54" s="21">
        <v>1</v>
      </c>
      <c r="E54" s="21">
        <v>1</v>
      </c>
      <c r="F54" s="21" t="s">
        <v>80</v>
      </c>
      <c r="G54" s="30">
        <v>145</v>
      </c>
      <c r="H54" s="30">
        <f t="shared" si="0"/>
        <v>145</v>
      </c>
      <c r="Q54"/>
      <c r="R54"/>
      <c r="S54"/>
    </row>
    <row r="55" spans="1:23" ht="15.75" x14ac:dyDescent="0.3">
      <c r="A55" s="56" t="s">
        <v>98</v>
      </c>
      <c r="B55" s="54">
        <v>0</v>
      </c>
      <c r="D55" s="21">
        <v>0</v>
      </c>
      <c r="E55" s="21">
        <v>0</v>
      </c>
      <c r="F55" s="21" t="s">
        <v>96</v>
      </c>
      <c r="G55" s="30">
        <v>120</v>
      </c>
      <c r="H55" s="30">
        <f>+G55*E55</f>
        <v>0</v>
      </c>
      <c r="Q55"/>
      <c r="R55"/>
      <c r="S55"/>
    </row>
    <row r="56" spans="1:23" x14ac:dyDescent="0.3">
      <c r="A56" s="56" t="s">
        <v>97</v>
      </c>
      <c r="B56" s="54">
        <v>0</v>
      </c>
      <c r="D56" s="21">
        <v>0</v>
      </c>
      <c r="E56" s="21">
        <v>0</v>
      </c>
      <c r="F56" s="21" t="s">
        <v>31</v>
      </c>
      <c r="G56" s="30">
        <v>1.5</v>
      </c>
      <c r="H56" s="30">
        <f>+G56*E56</f>
        <v>0</v>
      </c>
    </row>
    <row r="57" spans="1:23" ht="15.75" x14ac:dyDescent="0.3">
      <c r="A57" s="56"/>
      <c r="B57" s="56"/>
      <c r="D57" s="21">
        <v>1</v>
      </c>
      <c r="E57" s="21">
        <v>1</v>
      </c>
      <c r="F57" s="21" t="s">
        <v>106</v>
      </c>
      <c r="G57" s="30">
        <f>+E83</f>
        <v>1208.3399999999999</v>
      </c>
      <c r="H57" s="30">
        <f t="shared" ref="H57" si="1">+G57*E57</f>
        <v>1208.3399999999999</v>
      </c>
      <c r="Q57"/>
      <c r="R57"/>
      <c r="S57"/>
      <c r="T57"/>
      <c r="U57"/>
      <c r="V57"/>
      <c r="W57"/>
    </row>
    <row r="58" spans="1:23" ht="15.75" x14ac:dyDescent="0.3">
      <c r="A58" s="52" t="s">
        <v>58</v>
      </c>
      <c r="B58" s="57">
        <f>SUM(B50:B57)</f>
        <v>12298.34</v>
      </c>
      <c r="C58" s="3"/>
      <c r="D58" s="21">
        <v>0</v>
      </c>
      <c r="E58" s="21">
        <v>0</v>
      </c>
      <c r="F58" s="3" t="s">
        <v>59</v>
      </c>
      <c r="G58" s="30">
        <f>+E80</f>
        <v>1220.0832</v>
      </c>
      <c r="H58" s="30">
        <f t="shared" si="0"/>
        <v>0</v>
      </c>
      <c r="Q58"/>
      <c r="R58"/>
      <c r="S58"/>
      <c r="T58"/>
      <c r="U58"/>
      <c r="V58"/>
      <c r="W58"/>
    </row>
    <row r="59" spans="1:23" ht="15.75" x14ac:dyDescent="0.3">
      <c r="A59" s="9"/>
      <c r="B59" s="58"/>
      <c r="C59" s="3"/>
      <c r="D59" s="21"/>
      <c r="E59" s="21"/>
      <c r="F59" s="3"/>
      <c r="G59" s="3"/>
      <c r="H59" s="30">
        <f t="shared" si="0"/>
        <v>0</v>
      </c>
      <c r="J59"/>
      <c r="K59"/>
      <c r="L59"/>
      <c r="M59"/>
      <c r="N59"/>
      <c r="O59"/>
      <c r="P59"/>
      <c r="Q59"/>
      <c r="R59"/>
      <c r="S59"/>
      <c r="T59"/>
      <c r="U59"/>
      <c r="V59"/>
      <c r="W59"/>
    </row>
    <row r="60" spans="1:23" ht="15.75" x14ac:dyDescent="0.3">
      <c r="A60" s="9"/>
      <c r="B60" s="32">
        <f>+B58/B48</f>
        <v>6.1491699999999998</v>
      </c>
      <c r="C60" s="4" t="s">
        <v>61</v>
      </c>
      <c r="D60" s="3"/>
      <c r="E60" s="3"/>
      <c r="F60" s="3"/>
      <c r="G60" s="3"/>
      <c r="J60"/>
      <c r="K60"/>
      <c r="L60"/>
      <c r="M60"/>
      <c r="N60"/>
      <c r="O60"/>
      <c r="P60"/>
      <c r="Q60"/>
      <c r="R60"/>
      <c r="S60"/>
      <c r="T60"/>
      <c r="U60"/>
      <c r="V60"/>
      <c r="W60"/>
    </row>
    <row r="61" spans="1:23" ht="15.75" x14ac:dyDescent="0.3">
      <c r="A61" s="3"/>
      <c r="B61" s="3"/>
      <c r="D61" s="3"/>
      <c r="E61" s="3"/>
      <c r="F61" s="3"/>
      <c r="G61" s="61" t="s">
        <v>62</v>
      </c>
      <c r="H61" s="30">
        <f>SUM(H49:H60)</f>
        <v>1898.34</v>
      </c>
      <c r="J61"/>
      <c r="K61"/>
      <c r="L61"/>
      <c r="M61"/>
      <c r="N61"/>
      <c r="O61"/>
      <c r="P61"/>
      <c r="Q61"/>
      <c r="R61"/>
      <c r="S61"/>
      <c r="T61"/>
      <c r="U61"/>
      <c r="V61"/>
      <c r="W61"/>
    </row>
    <row r="62" spans="1:23" ht="15.75" x14ac:dyDescent="0.3">
      <c r="D62" s="3"/>
      <c r="E62" s="3"/>
      <c r="G62" s="5" t="s">
        <v>63</v>
      </c>
      <c r="H62" s="76">
        <f>+'cartón caja'!H62</f>
        <v>1.2</v>
      </c>
      <c r="J62"/>
      <c r="K62"/>
      <c r="L62"/>
      <c r="M62"/>
      <c r="N62"/>
      <c r="O62"/>
      <c r="P62"/>
      <c r="Q62"/>
      <c r="R62"/>
      <c r="S62"/>
      <c r="T62"/>
      <c r="U62"/>
      <c r="V62"/>
      <c r="W62"/>
    </row>
    <row r="63" spans="1:23" ht="15.75" x14ac:dyDescent="0.3">
      <c r="A63" s="4" t="s">
        <v>65</v>
      </c>
      <c r="B63" s="3"/>
      <c r="C63" s="3"/>
      <c r="E63" s="32">
        <f>+B73/C40</f>
        <v>6.8890040000000008</v>
      </c>
      <c r="G63" s="1" t="s">
        <v>66</v>
      </c>
      <c r="H63" s="62">
        <v>1.75</v>
      </c>
      <c r="J63"/>
      <c r="K63"/>
      <c r="L63"/>
      <c r="M63"/>
      <c r="N63"/>
      <c r="O63"/>
      <c r="P63"/>
      <c r="Q63"/>
      <c r="R63"/>
      <c r="S63"/>
      <c r="T63"/>
      <c r="U63"/>
      <c r="V63"/>
      <c r="W63"/>
    </row>
    <row r="64" spans="1:23" ht="15.75" x14ac:dyDescent="0.3">
      <c r="A64" s="3"/>
      <c r="B64" s="4" t="s">
        <v>68</v>
      </c>
      <c r="C64" s="25" t="s">
        <v>69</v>
      </c>
      <c r="D64" s="3"/>
      <c r="E64" s="3"/>
      <c r="F64" s="3"/>
      <c r="G64" s="1" t="s">
        <v>66</v>
      </c>
      <c r="H64" s="62">
        <v>2</v>
      </c>
      <c r="J64"/>
      <c r="K64"/>
      <c r="L64"/>
      <c r="M64"/>
      <c r="N64"/>
      <c r="O64"/>
      <c r="P64"/>
      <c r="Q64"/>
      <c r="R64"/>
      <c r="S64"/>
      <c r="T64"/>
      <c r="U64"/>
      <c r="V64"/>
      <c r="W64"/>
    </row>
    <row r="65" spans="1:23" ht="15.75" x14ac:dyDescent="0.3">
      <c r="A65" s="52" t="s">
        <v>71</v>
      </c>
      <c r="B65" s="53"/>
      <c r="C65" s="3"/>
      <c r="D65" s="3">
        <f>+B73*C69</f>
        <v>0</v>
      </c>
      <c r="E65" s="3"/>
      <c r="F65" s="3"/>
      <c r="G65" s="5" t="s">
        <v>81</v>
      </c>
      <c r="H65" s="62">
        <v>2.5</v>
      </c>
      <c r="J65"/>
      <c r="K65"/>
      <c r="L65"/>
      <c r="M65"/>
      <c r="N65"/>
      <c r="O65"/>
      <c r="P65"/>
      <c r="Q65"/>
      <c r="R65"/>
      <c r="S65"/>
      <c r="T65"/>
      <c r="U65"/>
      <c r="V65"/>
      <c r="W65"/>
    </row>
    <row r="66" spans="1:23" ht="15.75" x14ac:dyDescent="0.3">
      <c r="A66" s="53" t="s">
        <v>54</v>
      </c>
      <c r="B66" s="54">
        <f>+E35*C42</f>
        <v>10780.000000000002</v>
      </c>
      <c r="C66" s="63"/>
      <c r="J66"/>
      <c r="K66"/>
      <c r="L66"/>
      <c r="M66"/>
      <c r="N66"/>
      <c r="O66"/>
      <c r="P66"/>
      <c r="Q66"/>
      <c r="R66"/>
      <c r="S66"/>
      <c r="T66"/>
      <c r="U66"/>
      <c r="V66"/>
      <c r="W66"/>
    </row>
    <row r="67" spans="1:23" ht="15.75" x14ac:dyDescent="0.3">
      <c r="A67" s="53" t="s">
        <v>12</v>
      </c>
      <c r="B67" s="54">
        <f>+H61*H62</f>
        <v>2278.0079999999998</v>
      </c>
      <c r="C67" s="63"/>
      <c r="J67"/>
      <c r="K67"/>
      <c r="L67"/>
      <c r="M67"/>
      <c r="N67"/>
      <c r="O67"/>
      <c r="P67"/>
      <c r="Q67"/>
      <c r="R67"/>
      <c r="S67"/>
      <c r="T67"/>
      <c r="U67"/>
      <c r="V67"/>
      <c r="W67"/>
    </row>
    <row r="68" spans="1:23" ht="15.75" x14ac:dyDescent="0.3">
      <c r="A68" s="53" t="str">
        <f>+A53</f>
        <v>Tabla de suaje</v>
      </c>
      <c r="B68" s="54">
        <f>+B53*H62</f>
        <v>720</v>
      </c>
      <c r="C68" s="63"/>
      <c r="J68"/>
      <c r="K68"/>
      <c r="L68"/>
      <c r="M68"/>
      <c r="N68"/>
      <c r="O68"/>
      <c r="P68"/>
      <c r="Q68"/>
      <c r="R68"/>
      <c r="S68"/>
      <c r="T68"/>
      <c r="U68"/>
      <c r="V68"/>
      <c r="W68"/>
    </row>
    <row r="69" spans="1:23" ht="15.75" x14ac:dyDescent="0.3">
      <c r="A69" s="53" t="str">
        <f>+A54</f>
        <v>Pruebas de color</v>
      </c>
      <c r="B69" s="54">
        <f>+B54*H62</f>
        <v>0</v>
      </c>
      <c r="C69" s="63"/>
      <c r="J69"/>
      <c r="K69"/>
      <c r="L69"/>
      <c r="M69"/>
      <c r="N69"/>
      <c r="O69"/>
      <c r="P69"/>
      <c r="Q69"/>
      <c r="R69"/>
      <c r="S69"/>
      <c r="T69"/>
      <c r="U69"/>
      <c r="V69"/>
      <c r="W69"/>
    </row>
    <row r="70" spans="1:23" ht="15.75" x14ac:dyDescent="0.3">
      <c r="A70" s="53" t="str">
        <f>+A55</f>
        <v>Imán</v>
      </c>
      <c r="B70" s="54">
        <f>+B55*H62</f>
        <v>0</v>
      </c>
      <c r="C70" s="63"/>
      <c r="F70" s="64" t="s">
        <v>73</v>
      </c>
      <c r="G70" s="32">
        <f>+B60</f>
        <v>6.1491699999999998</v>
      </c>
      <c r="H70" s="65">
        <f>+G70*B48</f>
        <v>12298.34</v>
      </c>
      <c r="J70"/>
      <c r="K70"/>
      <c r="L70"/>
      <c r="M70"/>
      <c r="N70"/>
      <c r="O70"/>
      <c r="P70"/>
      <c r="Q70"/>
      <c r="R70"/>
      <c r="S70"/>
      <c r="T70"/>
      <c r="U70"/>
      <c r="V70"/>
      <c r="W70"/>
    </row>
    <row r="71" spans="1:23" ht="15.75" x14ac:dyDescent="0.3">
      <c r="A71" s="53" t="str">
        <f>+A56</f>
        <v>Encuadernación</v>
      </c>
      <c r="B71" s="54">
        <f>+B56*1.2</f>
        <v>0</v>
      </c>
      <c r="C71" s="66"/>
      <c r="F71" s="64" t="s">
        <v>75</v>
      </c>
      <c r="G71" s="32">
        <f>+C73</f>
        <v>6.8890040000000008</v>
      </c>
      <c r="H71" s="65">
        <f>+G71*B48</f>
        <v>13778.008000000002</v>
      </c>
      <c r="J71"/>
      <c r="K71"/>
      <c r="L71"/>
      <c r="M71"/>
      <c r="N71"/>
      <c r="O71"/>
      <c r="P71"/>
      <c r="Q71"/>
      <c r="R71"/>
      <c r="S71"/>
      <c r="T71"/>
      <c r="U71"/>
      <c r="V71"/>
      <c r="W71"/>
    </row>
    <row r="72" spans="1:23" ht="15.75" x14ac:dyDescent="0.3">
      <c r="A72" s="53"/>
      <c r="B72" s="54"/>
      <c r="C72" s="66"/>
      <c r="F72" s="67" t="s">
        <v>76</v>
      </c>
      <c r="G72" s="68">
        <f>+G71-G70</f>
        <v>0.73983400000000099</v>
      </c>
      <c r="H72" s="82">
        <f>+G72*B48</f>
        <v>1479.6680000000019</v>
      </c>
      <c r="J72"/>
      <c r="K72"/>
      <c r="L72"/>
      <c r="M72"/>
      <c r="N72"/>
      <c r="O72"/>
      <c r="P72"/>
      <c r="Q72"/>
      <c r="R72"/>
      <c r="S72"/>
      <c r="T72"/>
      <c r="U72"/>
      <c r="V72"/>
      <c r="W72"/>
    </row>
    <row r="73" spans="1:23" x14ac:dyDescent="0.3">
      <c r="A73" s="52" t="s">
        <v>58</v>
      </c>
      <c r="B73" s="57">
        <f>SUM(B65:B72)</f>
        <v>13778.008000000002</v>
      </c>
      <c r="C73" s="68">
        <f>+B73/B48</f>
        <v>6.8890040000000008</v>
      </c>
      <c r="D73" s="5" t="s">
        <v>168</v>
      </c>
    </row>
    <row r="74" spans="1:23" x14ac:dyDescent="0.3">
      <c r="C74" s="77"/>
      <c r="D74" s="5"/>
    </row>
    <row r="75" spans="1:23" x14ac:dyDescent="0.3">
      <c r="C75" s="77"/>
      <c r="D75" s="5"/>
    </row>
    <row r="76" spans="1:23" x14ac:dyDescent="0.3">
      <c r="A76" s="5"/>
      <c r="C76" s="65"/>
      <c r="D76" s="5"/>
    </row>
    <row r="77" spans="1:23" ht="15" thickBot="1" x14ac:dyDescent="0.35">
      <c r="A77" s="5" t="s">
        <v>170</v>
      </c>
    </row>
    <row r="78" spans="1:23" x14ac:dyDescent="0.3">
      <c r="A78" s="11" t="s">
        <v>102</v>
      </c>
      <c r="B78" s="12"/>
      <c r="C78" s="12"/>
      <c r="D78" s="12"/>
      <c r="E78" s="12"/>
      <c r="F78" s="12"/>
      <c r="G78" s="13"/>
    </row>
    <row r="79" spans="1:23" x14ac:dyDescent="0.3">
      <c r="A79" s="46">
        <f>+F16</f>
        <v>41.1</v>
      </c>
      <c r="B79" s="73">
        <f>+H16</f>
        <v>35</v>
      </c>
      <c r="C79" s="7" t="s">
        <v>101</v>
      </c>
      <c r="D79" s="73" t="s">
        <v>103</v>
      </c>
      <c r="E79" s="7" t="s">
        <v>104</v>
      </c>
      <c r="F79" s="75" t="s">
        <v>167</v>
      </c>
      <c r="G79" s="8"/>
    </row>
    <row r="80" spans="1:23" x14ac:dyDescent="0.3">
      <c r="A80" s="46">
        <f>0.544*0.267*C41</f>
        <v>305.02080000000001</v>
      </c>
      <c r="B80" s="78">
        <v>4</v>
      </c>
      <c r="C80" s="78">
        <f>+A80*B80</f>
        <v>1220.0832</v>
      </c>
      <c r="D80" s="78">
        <v>0</v>
      </c>
      <c r="E80" s="119">
        <f>+C80+D80</f>
        <v>1220.0832</v>
      </c>
      <c r="F80" s="92" t="s">
        <v>122</v>
      </c>
      <c r="G80" s="125">
        <v>550</v>
      </c>
    </row>
    <row r="81" spans="1:18" x14ac:dyDescent="0.3">
      <c r="A81" s="6"/>
      <c r="B81" s="78"/>
      <c r="C81" s="78"/>
      <c r="D81" s="78"/>
      <c r="E81" s="78"/>
      <c r="F81" s="7"/>
      <c r="G81" s="8"/>
      <c r="J81" s="71"/>
    </row>
    <row r="82" spans="1:18" x14ac:dyDescent="0.3">
      <c r="A82" s="46">
        <f>+A79</f>
        <v>41.1</v>
      </c>
      <c r="B82" s="73">
        <f>+B79</f>
        <v>35</v>
      </c>
      <c r="C82" s="7" t="s">
        <v>101</v>
      </c>
      <c r="D82" s="73" t="s">
        <v>103</v>
      </c>
      <c r="E82" s="7" t="s">
        <v>104</v>
      </c>
      <c r="F82" s="75" t="s">
        <v>166</v>
      </c>
      <c r="G82" s="8"/>
    </row>
    <row r="83" spans="1:18" x14ac:dyDescent="0.3">
      <c r="A83" s="46">
        <f>0.411*0.35*C41</f>
        <v>302.08499999999998</v>
      </c>
      <c r="B83" s="78">
        <f>4</f>
        <v>4</v>
      </c>
      <c r="C83" s="78">
        <f>+A83*B83</f>
        <v>1208.3399999999999</v>
      </c>
      <c r="D83" s="78">
        <v>0</v>
      </c>
      <c r="E83" s="119">
        <f>+C83+D83</f>
        <v>1208.3399999999999</v>
      </c>
      <c r="F83" s="92" t="s">
        <v>122</v>
      </c>
      <c r="G83" s="118">
        <v>400</v>
      </c>
    </row>
    <row r="84" spans="1:18" x14ac:dyDescent="0.3">
      <c r="A84" s="6"/>
      <c r="B84" s="7"/>
      <c r="C84" s="78"/>
      <c r="D84" s="78"/>
      <c r="E84" s="78"/>
      <c r="F84" s="7"/>
      <c r="G84" s="8"/>
    </row>
    <row r="85" spans="1:18" ht="15" thickBot="1" x14ac:dyDescent="0.35">
      <c r="A85" s="14"/>
      <c r="B85" s="15"/>
      <c r="C85" s="15"/>
      <c r="D85" s="15"/>
      <c r="E85" s="15"/>
      <c r="F85" s="15"/>
      <c r="G85" s="16"/>
    </row>
    <row r="87" spans="1:18" ht="16.5" x14ac:dyDescent="0.3">
      <c r="J87" s="55"/>
      <c r="K87" s="55"/>
      <c r="L87" s="55"/>
      <c r="M87" s="55"/>
      <c r="N87" s="55"/>
      <c r="O87" s="55"/>
      <c r="P87" s="55"/>
      <c r="Q87" s="55"/>
      <c r="R87" s="55"/>
    </row>
    <row r="88" spans="1:18" ht="16.5" x14ac:dyDescent="0.3">
      <c r="J88" s="55"/>
      <c r="K88" s="55"/>
      <c r="L88" s="55"/>
      <c r="M88" s="55"/>
      <c r="N88" s="55"/>
      <c r="O88" s="55"/>
      <c r="P88" s="55"/>
      <c r="Q88" s="55"/>
      <c r="R88" s="55"/>
    </row>
    <row r="89" spans="1:18" ht="16.5" x14ac:dyDescent="0.3">
      <c r="J89" s="55"/>
      <c r="K89" s="55"/>
      <c r="L89" s="55"/>
      <c r="M89" s="55"/>
      <c r="N89" s="55"/>
      <c r="O89" s="55"/>
      <c r="P89" s="55"/>
      <c r="Q89" s="55"/>
      <c r="R89" s="55"/>
    </row>
    <row r="90" spans="1:18" ht="16.5" x14ac:dyDescent="0.3">
      <c r="J90" s="55"/>
      <c r="K90" s="55"/>
      <c r="L90" s="55"/>
      <c r="M90" s="55"/>
      <c r="N90" s="55"/>
      <c r="O90" s="55"/>
      <c r="P90" s="55"/>
      <c r="Q90" s="55"/>
      <c r="R90" s="55"/>
    </row>
    <row r="91" spans="1:18" ht="16.5" x14ac:dyDescent="0.3">
      <c r="J91" s="55"/>
      <c r="K91" s="55"/>
      <c r="L91" s="55"/>
      <c r="M91" s="55"/>
      <c r="N91" s="55"/>
      <c r="O91" s="55"/>
      <c r="P91" s="55"/>
      <c r="Q91" s="55"/>
      <c r="R91" s="55"/>
    </row>
    <row r="92" spans="1:18" ht="16.5" x14ac:dyDescent="0.3">
      <c r="J92" s="55"/>
      <c r="K92" s="55"/>
      <c r="L92" s="55"/>
      <c r="M92" s="55"/>
      <c r="N92" s="55"/>
      <c r="O92" s="55"/>
      <c r="P92" s="55"/>
      <c r="Q92" s="55"/>
      <c r="R92" s="55"/>
    </row>
    <row r="93" spans="1:18" ht="16.5" x14ac:dyDescent="0.3">
      <c r="J93" s="55"/>
      <c r="K93" s="55"/>
      <c r="L93" s="55"/>
      <c r="M93" s="55"/>
      <c r="N93" s="55"/>
      <c r="O93" s="55"/>
      <c r="P93" s="55"/>
      <c r="Q93" s="55"/>
      <c r="R93" s="55"/>
    </row>
    <row r="94" spans="1:18" ht="16.5" x14ac:dyDescent="0.3">
      <c r="J94" s="55"/>
      <c r="K94" s="55"/>
      <c r="L94" s="55"/>
      <c r="M94" s="55"/>
      <c r="N94" s="55"/>
      <c r="O94" s="55"/>
      <c r="P94" s="55"/>
      <c r="Q94" s="55"/>
      <c r="R94" s="55"/>
    </row>
    <row r="95" spans="1:18" ht="16.5" x14ac:dyDescent="0.3">
      <c r="J95" s="55"/>
      <c r="K95" s="55"/>
      <c r="L95" s="55"/>
      <c r="M95" s="55"/>
      <c r="N95" s="55"/>
      <c r="O95" s="55"/>
      <c r="P95" s="55"/>
      <c r="Q95" s="55"/>
      <c r="R95" s="55"/>
    </row>
    <row r="96" spans="1:18" ht="16.5" x14ac:dyDescent="0.3">
      <c r="J96" s="55"/>
      <c r="K96" s="55"/>
      <c r="L96" s="55"/>
      <c r="M96" s="55"/>
      <c r="N96" s="55"/>
      <c r="O96" s="55"/>
      <c r="P96" s="55"/>
      <c r="Q96" s="55"/>
      <c r="R96" s="55"/>
    </row>
  </sheetData>
  <pageMargins left="0.70866141732283472" right="0.70866141732283472" top="0.74803149606299213" bottom="0.74803149606299213" header="0.31496062992125984" footer="0.31496062992125984"/>
  <pageSetup scale="53" orientation="portrait" r:id="rId1"/>
  <headerFooter>
    <oddFooter>&amp;A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96"/>
  <sheetViews>
    <sheetView topLeftCell="A49" zoomScale="80" zoomScaleNormal="80" workbookViewId="0">
      <selection activeCell="B56" sqref="B56"/>
    </sheetView>
  </sheetViews>
  <sheetFormatPr baseColWidth="10" defaultRowHeight="14.25" x14ac:dyDescent="0.3"/>
  <cols>
    <col min="1" max="1" width="11.42578125" style="1"/>
    <col min="2" max="2" width="13.42578125" style="1" bestFit="1" customWidth="1"/>
    <col min="3" max="3" width="11.5703125" style="1" bestFit="1" customWidth="1"/>
    <col min="4" max="4" width="9.7109375" style="1" customWidth="1"/>
    <col min="5" max="5" width="14.28515625" style="1" customWidth="1"/>
    <col min="6" max="6" width="12.5703125" style="1" customWidth="1"/>
    <col min="7" max="7" width="13.42578125" style="1" customWidth="1"/>
    <col min="8" max="9" width="12.42578125" style="1" customWidth="1"/>
    <col min="10" max="10" width="11.42578125" style="1"/>
    <col min="11" max="11" width="15.85546875" style="1" customWidth="1"/>
    <col min="12" max="12" width="11.42578125" style="1"/>
    <col min="13" max="13" width="14.140625" style="1" customWidth="1"/>
    <col min="14" max="16384" width="11.42578125" style="1"/>
  </cols>
  <sheetData>
    <row r="1" spans="1:22" ht="15.75" x14ac:dyDescent="0.3">
      <c r="J1"/>
      <c r="K1"/>
      <c r="L1"/>
      <c r="M1"/>
      <c r="N1"/>
      <c r="O1"/>
      <c r="P1"/>
      <c r="Q1"/>
      <c r="R1"/>
      <c r="S1"/>
      <c r="T1"/>
      <c r="U1"/>
      <c r="V1"/>
    </row>
    <row r="2" spans="1:22" ht="15.75" x14ac:dyDescent="0.3">
      <c r="J2"/>
      <c r="K2"/>
      <c r="L2"/>
      <c r="M2"/>
      <c r="N2"/>
      <c r="O2"/>
      <c r="P2"/>
      <c r="Q2"/>
      <c r="R2"/>
      <c r="S2"/>
      <c r="T2"/>
      <c r="U2"/>
      <c r="V2"/>
    </row>
    <row r="3" spans="1:22" ht="15.75" x14ac:dyDescent="0.3">
      <c r="J3"/>
      <c r="K3"/>
      <c r="L3"/>
      <c r="M3"/>
      <c r="N3"/>
      <c r="O3"/>
      <c r="P3"/>
      <c r="Q3"/>
      <c r="R3"/>
      <c r="S3"/>
      <c r="T3"/>
      <c r="U3"/>
      <c r="V3"/>
    </row>
    <row r="4" spans="1:22" ht="15.75" x14ac:dyDescent="0.3">
      <c r="J4"/>
      <c r="K4"/>
      <c r="L4"/>
      <c r="M4"/>
      <c r="N4"/>
      <c r="O4"/>
      <c r="P4"/>
      <c r="Q4"/>
      <c r="R4"/>
      <c r="S4"/>
      <c r="T4"/>
      <c r="U4"/>
      <c r="V4"/>
    </row>
    <row r="5" spans="1:22" ht="15.75" x14ac:dyDescent="0.3">
      <c r="A5" s="5"/>
      <c r="J5"/>
      <c r="K5"/>
      <c r="L5"/>
      <c r="M5"/>
      <c r="N5"/>
      <c r="O5"/>
      <c r="P5"/>
      <c r="Q5"/>
      <c r="R5"/>
      <c r="S5"/>
      <c r="T5"/>
      <c r="U5"/>
      <c r="V5"/>
    </row>
    <row r="6" spans="1:22" ht="18.75" x14ac:dyDescent="0.3">
      <c r="A6" s="2" t="s">
        <v>2</v>
      </c>
      <c r="E6" s="5" t="s">
        <v>3</v>
      </c>
      <c r="F6" s="1" t="s">
        <v>4</v>
      </c>
      <c r="J6"/>
      <c r="K6"/>
      <c r="L6"/>
      <c r="M6"/>
      <c r="N6"/>
      <c r="O6"/>
      <c r="P6"/>
      <c r="Q6"/>
      <c r="R6"/>
      <c r="S6"/>
      <c r="T6"/>
      <c r="U6"/>
      <c r="V6"/>
    </row>
    <row r="7" spans="1:22" ht="15.75" x14ac:dyDescent="0.3">
      <c r="J7"/>
      <c r="K7"/>
      <c r="L7"/>
      <c r="M7"/>
      <c r="N7"/>
      <c r="O7"/>
      <c r="P7"/>
      <c r="Q7"/>
      <c r="R7"/>
      <c r="S7"/>
      <c r="T7"/>
      <c r="U7"/>
      <c r="V7"/>
    </row>
    <row r="8" spans="1:22" ht="15.75" x14ac:dyDescent="0.3">
      <c r="J8"/>
      <c r="K8"/>
      <c r="L8"/>
      <c r="M8"/>
      <c r="N8"/>
      <c r="O8"/>
      <c r="P8"/>
      <c r="Q8"/>
      <c r="R8"/>
      <c r="S8"/>
      <c r="T8"/>
      <c r="U8"/>
      <c r="V8"/>
    </row>
    <row r="9" spans="1:22" s="5" customFormat="1" ht="15" x14ac:dyDescent="0.25">
      <c r="A9" s="5" t="s">
        <v>6</v>
      </c>
      <c r="C9" s="5" t="str">
        <f>+'cartón caja'!C9</f>
        <v>21 de septiembre de 2017.</v>
      </c>
      <c r="H9" s="5" t="s">
        <v>7</v>
      </c>
      <c r="J9"/>
      <c r="K9"/>
      <c r="L9"/>
      <c r="M9"/>
      <c r="N9"/>
      <c r="O9"/>
      <c r="P9"/>
      <c r="Q9"/>
      <c r="R9"/>
      <c r="S9"/>
      <c r="T9"/>
      <c r="U9"/>
      <c r="V9"/>
    </row>
    <row r="10" spans="1:22" ht="15.75" x14ac:dyDescent="0.3">
      <c r="J10"/>
      <c r="K10"/>
      <c r="L10"/>
      <c r="M10"/>
      <c r="N10"/>
      <c r="O10"/>
      <c r="P10"/>
      <c r="Q10"/>
      <c r="R10"/>
      <c r="S10"/>
      <c r="T10"/>
      <c r="U10"/>
      <c r="V10"/>
    </row>
    <row r="11" spans="1:22" ht="16.5" thickBot="1" x14ac:dyDescent="0.35">
      <c r="A11" s="5" t="s">
        <v>8</v>
      </c>
      <c r="C11" s="1" t="str">
        <f>+'cartón caja'!C11</f>
        <v>Nespresso</v>
      </c>
      <c r="F11" s="5" t="s">
        <v>0</v>
      </c>
      <c r="J11"/>
      <c r="K11"/>
      <c r="L11"/>
      <c r="M11"/>
      <c r="N11"/>
      <c r="O11"/>
      <c r="P11"/>
      <c r="Q11"/>
      <c r="R11"/>
      <c r="S11"/>
      <c r="T11"/>
      <c r="U11"/>
      <c r="V11"/>
    </row>
    <row r="12" spans="1:22" ht="15.75" x14ac:dyDescent="0.3">
      <c r="A12" s="5"/>
      <c r="F12" s="11"/>
      <c r="G12" s="12"/>
      <c r="H12" s="13"/>
      <c r="J12"/>
      <c r="K12"/>
      <c r="L12"/>
      <c r="M12"/>
      <c r="N12"/>
      <c r="O12"/>
      <c r="P12"/>
      <c r="Q12"/>
      <c r="R12"/>
      <c r="S12"/>
      <c r="T12"/>
      <c r="U12"/>
      <c r="V12"/>
    </row>
    <row r="13" spans="1:22" ht="15.75" x14ac:dyDescent="0.3">
      <c r="A13" s="5" t="s">
        <v>10</v>
      </c>
      <c r="C13" s="1" t="str">
        <f>+'espuma base 3cm '!C13</f>
        <v/>
      </c>
      <c r="F13" s="6"/>
      <c r="G13" s="7"/>
      <c r="H13" s="8"/>
      <c r="J13"/>
      <c r="K13"/>
      <c r="L13"/>
      <c r="M13"/>
      <c r="N13"/>
      <c r="O13"/>
      <c r="P13"/>
      <c r="Q13"/>
      <c r="R13"/>
      <c r="S13"/>
      <c r="T13"/>
      <c r="U13"/>
      <c r="V13"/>
    </row>
    <row r="14" spans="1:22" ht="15.75" x14ac:dyDescent="0.3">
      <c r="A14" s="5"/>
      <c r="F14" s="6"/>
      <c r="G14" s="7"/>
      <c r="H14" s="8"/>
      <c r="J14"/>
      <c r="K14"/>
      <c r="L14"/>
      <c r="M14"/>
      <c r="N14"/>
      <c r="O14"/>
      <c r="P14"/>
      <c r="Q14"/>
      <c r="R14"/>
      <c r="S14"/>
      <c r="T14"/>
      <c r="U14"/>
      <c r="V14"/>
    </row>
    <row r="15" spans="1:22" ht="15.75" x14ac:dyDescent="0.3">
      <c r="A15" s="5" t="s">
        <v>11</v>
      </c>
      <c r="C15" s="19" t="s">
        <v>185</v>
      </c>
      <c r="D15" s="18"/>
      <c r="E15" s="18"/>
      <c r="F15" s="72" t="s">
        <v>5</v>
      </c>
      <c r="G15" s="7"/>
      <c r="H15" s="8"/>
      <c r="J15"/>
      <c r="K15"/>
      <c r="L15"/>
      <c r="M15"/>
      <c r="N15"/>
      <c r="O15"/>
      <c r="P15"/>
      <c r="Q15"/>
      <c r="R15"/>
      <c r="S15"/>
      <c r="T15"/>
      <c r="U15"/>
      <c r="V15"/>
    </row>
    <row r="16" spans="1:22" ht="15.75" x14ac:dyDescent="0.3">
      <c r="C16" s="17" t="s">
        <v>94</v>
      </c>
      <c r="D16" s="18"/>
      <c r="E16" s="18"/>
      <c r="F16" s="46">
        <f>+Desarrollo!C42*1</f>
        <v>46.6</v>
      </c>
      <c r="G16" s="73" t="s">
        <v>82</v>
      </c>
      <c r="H16" s="74">
        <f>+Desarrollo!E42</f>
        <v>40.5</v>
      </c>
      <c r="J16"/>
      <c r="K16"/>
      <c r="L16"/>
      <c r="M16"/>
      <c r="N16"/>
      <c r="O16"/>
      <c r="P16"/>
      <c r="Q16"/>
      <c r="R16"/>
      <c r="S16"/>
      <c r="T16"/>
      <c r="U16"/>
      <c r="V16"/>
    </row>
    <row r="17" spans="1:22" ht="15.75" x14ac:dyDescent="0.3">
      <c r="C17" s="17" t="s">
        <v>186</v>
      </c>
      <c r="D17" s="18"/>
      <c r="E17" s="18"/>
      <c r="F17" s="72">
        <v>1</v>
      </c>
      <c r="G17" s="75" t="s">
        <v>83</v>
      </c>
      <c r="H17" s="8"/>
      <c r="J17"/>
      <c r="K17"/>
      <c r="L17"/>
      <c r="M17"/>
      <c r="N17"/>
      <c r="O17"/>
      <c r="P17"/>
      <c r="Q17"/>
      <c r="R17"/>
      <c r="S17"/>
      <c r="T17"/>
      <c r="U17"/>
      <c r="V17"/>
    </row>
    <row r="18" spans="1:22" ht="15.75" x14ac:dyDescent="0.3">
      <c r="C18" s="17" t="s">
        <v>175</v>
      </c>
      <c r="D18" s="18"/>
      <c r="E18" s="18"/>
      <c r="F18" s="6"/>
      <c r="G18" s="7"/>
      <c r="H18" s="8"/>
      <c r="J18"/>
      <c r="K18"/>
      <c r="L18"/>
      <c r="M18"/>
      <c r="N18"/>
      <c r="O18"/>
      <c r="P18"/>
      <c r="Q18"/>
      <c r="R18"/>
      <c r="S18"/>
      <c r="T18"/>
      <c r="U18"/>
      <c r="V18"/>
    </row>
    <row r="19" spans="1:22" ht="15.75" x14ac:dyDescent="0.3">
      <c r="C19" s="17" t="s">
        <v>187</v>
      </c>
      <c r="D19" s="18"/>
      <c r="E19" s="18"/>
      <c r="F19" s="6"/>
      <c r="G19" s="7"/>
      <c r="H19" s="8"/>
      <c r="J19"/>
      <c r="K19"/>
      <c r="L19"/>
      <c r="M19"/>
      <c r="N19"/>
      <c r="O19"/>
      <c r="P19"/>
      <c r="Q19"/>
      <c r="R19"/>
      <c r="S19"/>
      <c r="T19"/>
      <c r="U19"/>
      <c r="V19"/>
    </row>
    <row r="20" spans="1:22" ht="15.75" x14ac:dyDescent="0.3">
      <c r="C20" s="18" t="s">
        <v>188</v>
      </c>
      <c r="D20" s="18"/>
      <c r="E20" s="18"/>
      <c r="F20" s="46">
        <f>+Desarrollo!C39</f>
        <v>42.6</v>
      </c>
      <c r="G20" s="73" t="s">
        <v>82</v>
      </c>
      <c r="H20" s="74">
        <f>+Desarrollo!E39</f>
        <v>36.5</v>
      </c>
      <c r="J20"/>
      <c r="K20"/>
      <c r="L20"/>
      <c r="M20"/>
      <c r="N20"/>
      <c r="O20"/>
      <c r="P20"/>
      <c r="Q20"/>
      <c r="R20"/>
      <c r="S20"/>
      <c r="T20"/>
      <c r="U20"/>
      <c r="V20"/>
    </row>
    <row r="21" spans="1:22" ht="15.75" x14ac:dyDescent="0.3">
      <c r="C21" s="18" t="s">
        <v>173</v>
      </c>
      <c r="D21" s="18"/>
      <c r="E21" s="18"/>
      <c r="F21" s="6"/>
      <c r="G21" s="7"/>
      <c r="H21" s="8"/>
      <c r="J21"/>
      <c r="K21"/>
      <c r="L21"/>
      <c r="M21"/>
      <c r="N21"/>
      <c r="O21"/>
      <c r="P21"/>
      <c r="Q21"/>
      <c r="R21"/>
      <c r="S21"/>
      <c r="T21"/>
      <c r="U21"/>
      <c r="V21"/>
    </row>
    <row r="22" spans="1:22" ht="16.5" thickBot="1" x14ac:dyDescent="0.35">
      <c r="C22" s="18" t="s">
        <v>190</v>
      </c>
      <c r="D22" s="18"/>
      <c r="E22" s="18"/>
      <c r="F22" s="14"/>
      <c r="G22" s="15"/>
      <c r="H22" s="16"/>
      <c r="J22"/>
      <c r="K22"/>
      <c r="L22"/>
      <c r="M22"/>
      <c r="N22"/>
      <c r="O22"/>
      <c r="P22"/>
      <c r="Q22"/>
      <c r="R22"/>
      <c r="S22"/>
      <c r="T22"/>
      <c r="U22"/>
      <c r="V22"/>
    </row>
    <row r="23" spans="1:22" ht="15.75" x14ac:dyDescent="0.3">
      <c r="A23" s="4" t="s">
        <v>13</v>
      </c>
      <c r="C23" s="80" t="str">
        <f>+Desarrollo!A41</f>
        <v>Rainbow Villatoro</v>
      </c>
      <c r="D23" s="5" t="s">
        <v>14</v>
      </c>
      <c r="E23" s="22" t="str">
        <f>+Desarrollo!B41</f>
        <v>Negro</v>
      </c>
      <c r="J23"/>
      <c r="K23"/>
      <c r="L23"/>
      <c r="M23"/>
      <c r="N23"/>
      <c r="O23"/>
      <c r="P23"/>
      <c r="Q23"/>
      <c r="R23"/>
      <c r="S23"/>
      <c r="T23"/>
      <c r="U23"/>
      <c r="V23"/>
    </row>
    <row r="24" spans="1:22" ht="15.75" x14ac:dyDescent="0.3">
      <c r="J24"/>
      <c r="K24"/>
      <c r="L24"/>
      <c r="M24"/>
      <c r="N24"/>
      <c r="O24"/>
      <c r="P24"/>
      <c r="Q24"/>
      <c r="R24"/>
      <c r="S24"/>
      <c r="T24"/>
      <c r="U24"/>
      <c r="V24"/>
    </row>
    <row r="25" spans="1:22" ht="15.75" x14ac:dyDescent="0.3">
      <c r="A25" s="4" t="s">
        <v>15</v>
      </c>
      <c r="C25" s="23">
        <f>+Desarrollo!C41</f>
        <v>100</v>
      </c>
      <c r="D25" s="22" t="s">
        <v>16</v>
      </c>
      <c r="E25" s="24">
        <f>+Desarrollo!E41</f>
        <v>130</v>
      </c>
      <c r="F25" s="25">
        <f>+C25</f>
        <v>100</v>
      </c>
      <c r="G25" s="26" t="s">
        <v>16</v>
      </c>
      <c r="H25" s="26">
        <f>+E25</f>
        <v>130</v>
      </c>
      <c r="J25"/>
      <c r="K25"/>
      <c r="L25"/>
      <c r="M25"/>
      <c r="N25"/>
      <c r="O25"/>
      <c r="P25"/>
      <c r="Q25"/>
      <c r="R25"/>
      <c r="S25"/>
      <c r="T25"/>
      <c r="U25"/>
      <c r="V25"/>
    </row>
    <row r="26" spans="1:22" ht="15.75" x14ac:dyDescent="0.3">
      <c r="A26" s="4" t="s">
        <v>17</v>
      </c>
      <c r="B26" s="3"/>
      <c r="C26" s="27">
        <f>+F16</f>
        <v>46.6</v>
      </c>
      <c r="D26" s="28" t="s">
        <v>16</v>
      </c>
      <c r="E26" s="27">
        <f>+H16</f>
        <v>40.5</v>
      </c>
      <c r="F26" s="29">
        <f>+E26</f>
        <v>40.5</v>
      </c>
      <c r="G26" s="29" t="s">
        <v>16</v>
      </c>
      <c r="H26" s="29">
        <f>+C26</f>
        <v>46.6</v>
      </c>
      <c r="I26" s="30"/>
      <c r="J26"/>
      <c r="K26"/>
      <c r="L26"/>
      <c r="M26"/>
      <c r="N26"/>
      <c r="O26"/>
      <c r="P26"/>
      <c r="Q26"/>
      <c r="R26"/>
      <c r="S26"/>
      <c r="T26"/>
      <c r="U26"/>
      <c r="V26"/>
    </row>
    <row r="27" spans="1:22" ht="16.5" thickBot="1" x14ac:dyDescent="0.35">
      <c r="A27" s="3" t="s">
        <v>18</v>
      </c>
      <c r="B27" s="31"/>
      <c r="C27" s="32">
        <f>+C25/C26</f>
        <v>2.1459227467811157</v>
      </c>
      <c r="D27" s="33"/>
      <c r="E27" s="32">
        <f>+E25/E26</f>
        <v>3.2098765432098766</v>
      </c>
      <c r="F27" s="32">
        <f>+F25/F26</f>
        <v>2.4691358024691357</v>
      </c>
      <c r="G27" s="33"/>
      <c r="H27" s="32">
        <f>+H25/H26</f>
        <v>2.7896995708154506</v>
      </c>
      <c r="I27" s="30"/>
      <c r="J27"/>
      <c r="K27"/>
      <c r="L27"/>
      <c r="M27"/>
      <c r="N27"/>
      <c r="O27"/>
      <c r="P27"/>
      <c r="Q27"/>
      <c r="R27"/>
      <c r="S27"/>
      <c r="T27"/>
      <c r="U27"/>
      <c r="V27"/>
    </row>
    <row r="28" spans="1:22" ht="16.5" thickBot="1" x14ac:dyDescent="0.35">
      <c r="A28" s="3" t="s">
        <v>19</v>
      </c>
      <c r="B28" s="34"/>
      <c r="C28" s="35"/>
      <c r="D28" s="36">
        <v>6</v>
      </c>
      <c r="E28" s="37"/>
      <c r="F28" s="38"/>
      <c r="G28" s="39">
        <v>4</v>
      </c>
      <c r="H28" s="40" t="s">
        <v>20</v>
      </c>
      <c r="J28"/>
      <c r="K28"/>
      <c r="L28"/>
      <c r="M28"/>
      <c r="N28"/>
      <c r="O28"/>
      <c r="P28"/>
      <c r="Q28"/>
      <c r="R28"/>
      <c r="S28"/>
      <c r="T28"/>
      <c r="U28"/>
      <c r="V28"/>
    </row>
    <row r="29" spans="1:22" ht="15.75" x14ac:dyDescent="0.3">
      <c r="A29" s="3"/>
      <c r="B29" s="21"/>
      <c r="C29" s="30"/>
      <c r="G29" s="41"/>
      <c r="H29" s="30"/>
      <c r="J29"/>
      <c r="K29"/>
      <c r="L29"/>
      <c r="M29"/>
      <c r="N29"/>
      <c r="O29"/>
      <c r="P29"/>
      <c r="Q29"/>
      <c r="R29"/>
      <c r="S29"/>
      <c r="T29"/>
      <c r="U29"/>
      <c r="V29"/>
    </row>
    <row r="30" spans="1:22" ht="15.75" x14ac:dyDescent="0.3">
      <c r="A30" s="25" t="s">
        <v>21</v>
      </c>
      <c r="B30" s="25" t="str">
        <f>+'empalme caja INT'!B30</f>
        <v>Villatoro</v>
      </c>
      <c r="D30" s="41" t="s">
        <v>22</v>
      </c>
      <c r="E30" s="42">
        <f>+Desarrollo!F41</f>
        <v>28</v>
      </c>
      <c r="F30" s="116"/>
      <c r="G30" s="1" t="s">
        <v>23</v>
      </c>
      <c r="H30" s="43">
        <v>0</v>
      </c>
      <c r="J30"/>
      <c r="K30"/>
      <c r="L30"/>
      <c r="M30"/>
      <c r="N30"/>
      <c r="O30"/>
      <c r="P30"/>
      <c r="Q30"/>
      <c r="R30"/>
      <c r="S30"/>
      <c r="T30"/>
      <c r="U30"/>
      <c r="V30"/>
    </row>
    <row r="31" spans="1:22" ht="15.75" x14ac:dyDescent="0.3">
      <c r="A31" s="3"/>
      <c r="B31" s="3"/>
      <c r="C31" s="3"/>
      <c r="D31" s="44" t="s">
        <v>24</v>
      </c>
      <c r="E31" s="42">
        <f>+H30*E30</f>
        <v>0</v>
      </c>
      <c r="H31" s="43"/>
      <c r="I31" s="30"/>
      <c r="J31"/>
      <c r="K31"/>
      <c r="L31"/>
      <c r="M31"/>
      <c r="N31"/>
      <c r="O31"/>
      <c r="P31"/>
      <c r="Q31"/>
      <c r="R31"/>
      <c r="S31"/>
      <c r="T31"/>
      <c r="U31"/>
      <c r="V31"/>
    </row>
    <row r="32" spans="1:22" ht="15.75" x14ac:dyDescent="0.3">
      <c r="D32" s="44" t="s">
        <v>25</v>
      </c>
      <c r="E32" s="45">
        <f>+E30-E31</f>
        <v>28</v>
      </c>
      <c r="I32" s="30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2" ht="15.75" x14ac:dyDescent="0.3">
      <c r="E33" s="21" t="s">
        <v>27</v>
      </c>
      <c r="F33" s="21" t="s">
        <v>28</v>
      </c>
      <c r="G33" s="21" t="s">
        <v>28</v>
      </c>
      <c r="H33" s="21" t="s">
        <v>28</v>
      </c>
      <c r="I33" s="30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2" ht="15.75" x14ac:dyDescent="0.3">
      <c r="D34" s="41" t="s">
        <v>29</v>
      </c>
      <c r="E34" s="47">
        <f>+E32</f>
        <v>28</v>
      </c>
      <c r="F34" s="47">
        <v>0</v>
      </c>
      <c r="G34" s="47">
        <v>0</v>
      </c>
      <c r="H34" s="47">
        <v>0</v>
      </c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2" ht="15.75" x14ac:dyDescent="0.3">
      <c r="D35" s="41" t="s">
        <v>30</v>
      </c>
      <c r="E35" s="47">
        <f>+E34*1.1</f>
        <v>30.800000000000004</v>
      </c>
      <c r="F35" s="47">
        <v>0</v>
      </c>
      <c r="G35" s="47">
        <v>0</v>
      </c>
      <c r="H35" s="47">
        <v>0</v>
      </c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2" ht="16.5" thickBot="1" x14ac:dyDescent="0.35">
      <c r="A36" s="3"/>
      <c r="G36" s="41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2" ht="15.75" x14ac:dyDescent="0.3">
      <c r="A37" s="3"/>
      <c r="B37" s="21"/>
      <c r="C37" s="30"/>
      <c r="E37" s="11" t="s">
        <v>32</v>
      </c>
      <c r="F37" s="12" t="s">
        <v>33</v>
      </c>
      <c r="G37" s="12"/>
      <c r="H37" s="13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2" ht="16.5" thickBot="1" x14ac:dyDescent="0.35">
      <c r="A38" s="4" t="s">
        <v>34</v>
      </c>
      <c r="C38" s="48">
        <v>6</v>
      </c>
      <c r="D38" s="49" t="s">
        <v>35</v>
      </c>
      <c r="E38" s="14"/>
      <c r="F38" s="15" t="s">
        <v>36</v>
      </c>
      <c r="G38" s="15"/>
      <c r="H38" s="16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2" ht="15.75" x14ac:dyDescent="0.3">
      <c r="A39" s="4"/>
      <c r="C39" s="21"/>
      <c r="D39" s="1" t="s">
        <v>37</v>
      </c>
      <c r="E39" s="3"/>
      <c r="F39" s="3"/>
      <c r="J39"/>
      <c r="K39"/>
      <c r="L39"/>
      <c r="M39"/>
      <c r="N39"/>
      <c r="O39"/>
      <c r="P39"/>
      <c r="Q39"/>
      <c r="R39"/>
      <c r="S39"/>
      <c r="T39"/>
      <c r="U39"/>
      <c r="V39"/>
    </row>
    <row r="40" spans="1:22" ht="15.75" x14ac:dyDescent="0.3">
      <c r="A40" s="4" t="s">
        <v>38</v>
      </c>
      <c r="B40" s="5"/>
      <c r="C40" s="50">
        <f>+B48/F17</f>
        <v>2000</v>
      </c>
      <c r="D40" s="24">
        <f>+Desarrollo!D7</f>
        <v>100</v>
      </c>
      <c r="F40" s="44" t="s">
        <v>39</v>
      </c>
      <c r="G40" s="23">
        <v>1</v>
      </c>
      <c r="H40" s="3"/>
      <c r="J40"/>
      <c r="K40"/>
      <c r="L40"/>
      <c r="M40"/>
      <c r="N40"/>
      <c r="O40"/>
      <c r="P40"/>
      <c r="Q40"/>
      <c r="R40"/>
      <c r="S40"/>
      <c r="T40"/>
      <c r="U40"/>
      <c r="V40"/>
    </row>
    <row r="41" spans="1:22" ht="15.75" x14ac:dyDescent="0.3">
      <c r="A41" s="4" t="s">
        <v>40</v>
      </c>
      <c r="C41" s="34">
        <f>+C40+D40</f>
        <v>2100</v>
      </c>
      <c r="F41" s="44" t="s">
        <v>41</v>
      </c>
      <c r="G41" s="23">
        <v>2</v>
      </c>
      <c r="H41" s="3"/>
      <c r="J41"/>
      <c r="K41"/>
      <c r="L41"/>
      <c r="M41"/>
      <c r="N41"/>
      <c r="O41"/>
      <c r="P41"/>
      <c r="Q41"/>
      <c r="R41"/>
      <c r="S41"/>
      <c r="T41"/>
      <c r="U41"/>
      <c r="V41"/>
    </row>
    <row r="42" spans="1:22" ht="15.75" x14ac:dyDescent="0.3">
      <c r="A42" s="4" t="s">
        <v>42</v>
      </c>
      <c r="C42" s="34">
        <f>+C41/C38</f>
        <v>350</v>
      </c>
      <c r="F42" s="44" t="s">
        <v>43</v>
      </c>
      <c r="G42" s="23"/>
      <c r="H42" s="3"/>
      <c r="J42"/>
      <c r="K42"/>
      <c r="L42"/>
      <c r="M42"/>
      <c r="N42"/>
      <c r="O42"/>
      <c r="P42"/>
      <c r="Q42"/>
      <c r="R42"/>
      <c r="S42"/>
      <c r="T42"/>
      <c r="U42"/>
      <c r="V42"/>
    </row>
    <row r="43" spans="1:22" ht="15.75" x14ac:dyDescent="0.3">
      <c r="A43" s="4" t="s">
        <v>92</v>
      </c>
      <c r="C43" s="21">
        <f>+(C42*C38)*F17</f>
        <v>2100</v>
      </c>
      <c r="F43" s="41" t="s">
        <v>44</v>
      </c>
      <c r="G43" s="23">
        <f>+C40/1000</f>
        <v>2</v>
      </c>
      <c r="H43" s="3"/>
      <c r="J43"/>
      <c r="K43"/>
      <c r="L43"/>
      <c r="M43"/>
      <c r="N43"/>
      <c r="O43"/>
      <c r="P43"/>
      <c r="Q43"/>
      <c r="R43"/>
      <c r="S43"/>
      <c r="T43"/>
      <c r="U43"/>
      <c r="V43"/>
    </row>
    <row r="44" spans="1:22" ht="15.75" x14ac:dyDescent="0.3">
      <c r="A44" s="4"/>
      <c r="C44" s="51"/>
      <c r="F44" s="44" t="s">
        <v>45</v>
      </c>
      <c r="G44" s="48">
        <f>+C41</f>
        <v>2100</v>
      </c>
      <c r="H44" s="3"/>
      <c r="J44"/>
      <c r="K44"/>
      <c r="L44"/>
      <c r="M44"/>
      <c r="N44"/>
      <c r="O44"/>
      <c r="P44"/>
      <c r="Q44"/>
      <c r="R44"/>
      <c r="S44"/>
      <c r="T44"/>
      <c r="U44"/>
      <c r="V44"/>
    </row>
    <row r="45" spans="1:22" ht="15.75" x14ac:dyDescent="0.3">
      <c r="A45" s="4"/>
      <c r="C45" s="21"/>
      <c r="E45" s="44"/>
      <c r="F45" s="44"/>
      <c r="G45" s="30"/>
      <c r="I45" s="3"/>
      <c r="J45"/>
      <c r="K45"/>
      <c r="L45"/>
      <c r="M45"/>
      <c r="N45"/>
      <c r="O45"/>
      <c r="P45"/>
      <c r="Q45"/>
      <c r="R45"/>
      <c r="S45"/>
      <c r="T45"/>
      <c r="U45"/>
      <c r="V45"/>
    </row>
    <row r="46" spans="1:22" ht="15.75" x14ac:dyDescent="0.3">
      <c r="A46" s="4" t="s">
        <v>46</v>
      </c>
      <c r="C46" s="25">
        <f>+C42*C38</f>
        <v>2100</v>
      </c>
      <c r="F46" s="44"/>
      <c r="G46" s="30"/>
      <c r="H46" s="3"/>
      <c r="J46"/>
      <c r="K46"/>
      <c r="L46"/>
      <c r="M46"/>
      <c r="N46"/>
      <c r="O46"/>
      <c r="P46"/>
      <c r="Q46"/>
      <c r="R46"/>
      <c r="S46"/>
      <c r="T46"/>
      <c r="U46"/>
      <c r="V46"/>
    </row>
    <row r="47" spans="1:22" ht="15.75" x14ac:dyDescent="0.3">
      <c r="A47" s="3"/>
      <c r="B47" s="3"/>
      <c r="C47" s="3"/>
      <c r="D47" s="3"/>
      <c r="E47" s="3"/>
      <c r="H47" s="3"/>
      <c r="J47"/>
      <c r="K47"/>
      <c r="L47"/>
      <c r="M47"/>
      <c r="N47"/>
      <c r="O47"/>
      <c r="P47"/>
      <c r="Q47"/>
      <c r="R47"/>
      <c r="S47"/>
      <c r="T47"/>
      <c r="U47"/>
      <c r="V47"/>
    </row>
    <row r="48" spans="1:22" ht="15.75" x14ac:dyDescent="0.3">
      <c r="A48" s="4" t="s">
        <v>77</v>
      </c>
      <c r="B48" s="21">
        <f>+'cartón caja'!B48</f>
        <v>2000</v>
      </c>
      <c r="C48" s="21"/>
      <c r="D48" s="25" t="s">
        <v>47</v>
      </c>
      <c r="E48" s="25" t="s">
        <v>48</v>
      </c>
      <c r="F48" s="25" t="s">
        <v>49</v>
      </c>
      <c r="G48" s="25" t="s">
        <v>50</v>
      </c>
      <c r="H48" s="25" t="s">
        <v>51</v>
      </c>
      <c r="J48"/>
      <c r="K48"/>
      <c r="L48"/>
      <c r="M48"/>
      <c r="N48"/>
      <c r="O48"/>
      <c r="P48"/>
      <c r="Q48"/>
      <c r="R48"/>
      <c r="S48"/>
      <c r="T48"/>
      <c r="U48"/>
      <c r="V48"/>
    </row>
    <row r="49" spans="1:22" ht="15.75" x14ac:dyDescent="0.3">
      <c r="A49" s="52" t="s">
        <v>52</v>
      </c>
      <c r="B49" s="53"/>
      <c r="C49" s="3"/>
      <c r="D49" s="21">
        <v>0</v>
      </c>
      <c r="E49" s="21">
        <v>0</v>
      </c>
      <c r="F49" s="21" t="s">
        <v>53</v>
      </c>
      <c r="G49" s="30">
        <f>185+145</f>
        <v>330</v>
      </c>
      <c r="H49" s="30">
        <f>+(D49*E49)*G49</f>
        <v>0</v>
      </c>
      <c r="J49"/>
      <c r="K49"/>
      <c r="L49"/>
      <c r="M49"/>
      <c r="N49"/>
      <c r="O49"/>
      <c r="P49"/>
      <c r="Q49"/>
      <c r="R49"/>
      <c r="S49"/>
      <c r="T49"/>
      <c r="U49"/>
      <c r="V49"/>
    </row>
    <row r="50" spans="1:22" ht="15.75" x14ac:dyDescent="0.3">
      <c r="A50" s="53" t="s">
        <v>54</v>
      </c>
      <c r="B50" s="54">
        <f>+E34*C42</f>
        <v>9800</v>
      </c>
      <c r="C50" s="3"/>
      <c r="D50" s="21">
        <v>0</v>
      </c>
      <c r="E50" s="21">
        <v>0</v>
      </c>
      <c r="F50" s="21" t="s">
        <v>78</v>
      </c>
      <c r="G50" s="30">
        <v>145</v>
      </c>
      <c r="H50" s="30">
        <f>+(D50*E50)*G50</f>
        <v>0</v>
      </c>
      <c r="J50"/>
      <c r="K50"/>
      <c r="L50"/>
      <c r="M50"/>
      <c r="N50"/>
      <c r="O50"/>
      <c r="P50"/>
      <c r="Q50"/>
      <c r="R50"/>
      <c r="S50"/>
      <c r="T50"/>
      <c r="U50"/>
      <c r="V50"/>
    </row>
    <row r="51" spans="1:22" ht="15.75" x14ac:dyDescent="0.3">
      <c r="A51" s="53" t="s">
        <v>12</v>
      </c>
      <c r="B51" s="54">
        <f>+H61</f>
        <v>1135</v>
      </c>
      <c r="C51" s="3"/>
      <c r="D51" s="21">
        <v>0</v>
      </c>
      <c r="E51" s="21">
        <v>0</v>
      </c>
      <c r="F51" s="21" t="s">
        <v>84</v>
      </c>
      <c r="G51" s="30">
        <v>500</v>
      </c>
      <c r="H51" s="30">
        <f>+G51*E51*D51</f>
        <v>0</v>
      </c>
      <c r="J51"/>
      <c r="K51"/>
      <c r="L51"/>
      <c r="M51"/>
      <c r="N51"/>
      <c r="O51"/>
      <c r="P51"/>
      <c r="Q51"/>
      <c r="R51"/>
      <c r="S51"/>
      <c r="T51"/>
      <c r="U51"/>
      <c r="V51"/>
    </row>
    <row r="52" spans="1:22" ht="15.75" x14ac:dyDescent="0.3">
      <c r="A52" s="53"/>
      <c r="B52" s="54"/>
      <c r="C52" s="3"/>
      <c r="D52" s="21">
        <v>1</v>
      </c>
      <c r="E52" s="21">
        <v>1</v>
      </c>
      <c r="F52" s="21" t="s">
        <v>99</v>
      </c>
      <c r="G52" s="30">
        <v>700</v>
      </c>
      <c r="H52" s="30">
        <f t="shared" ref="H52:H58" si="0">+G52*E52</f>
        <v>700</v>
      </c>
      <c r="I52" s="63">
        <f>+(B73/100)*2</f>
        <v>521.24</v>
      </c>
      <c r="J52"/>
      <c r="K52"/>
      <c r="L52"/>
      <c r="M52"/>
      <c r="N52"/>
      <c r="O52"/>
      <c r="P52"/>
      <c r="Q52"/>
      <c r="R52"/>
      <c r="S52"/>
      <c r="T52"/>
      <c r="U52"/>
      <c r="V52"/>
    </row>
    <row r="53" spans="1:22" ht="16.5" x14ac:dyDescent="0.3">
      <c r="A53" s="53" t="s">
        <v>26</v>
      </c>
      <c r="B53" s="54">
        <v>600</v>
      </c>
      <c r="C53" s="3"/>
      <c r="D53" s="21">
        <v>1</v>
      </c>
      <c r="E53" s="21">
        <v>1</v>
      </c>
      <c r="F53" s="21" t="s">
        <v>79</v>
      </c>
      <c r="G53" s="30">
        <v>145</v>
      </c>
      <c r="H53" s="30">
        <f t="shared" si="0"/>
        <v>145</v>
      </c>
      <c r="I53" s="55"/>
      <c r="J53"/>
      <c r="K53"/>
      <c r="L53"/>
      <c r="M53"/>
      <c r="N53"/>
      <c r="O53"/>
      <c r="P53"/>
      <c r="Q53"/>
      <c r="R53"/>
      <c r="S53"/>
      <c r="T53"/>
      <c r="U53"/>
      <c r="V53"/>
    </row>
    <row r="54" spans="1:22" ht="15.75" x14ac:dyDescent="0.3">
      <c r="A54" s="56" t="s">
        <v>121</v>
      </c>
      <c r="B54" s="54">
        <v>0</v>
      </c>
      <c r="C54" s="3"/>
      <c r="D54" s="21">
        <v>1</v>
      </c>
      <c r="E54" s="21">
        <v>2</v>
      </c>
      <c r="F54" s="21" t="s">
        <v>80</v>
      </c>
      <c r="G54" s="30">
        <v>145</v>
      </c>
      <c r="H54" s="30">
        <f t="shared" si="0"/>
        <v>290</v>
      </c>
      <c r="J54"/>
      <c r="K54"/>
      <c r="L54"/>
      <c r="M54"/>
      <c r="N54"/>
      <c r="O54"/>
      <c r="P54"/>
      <c r="Q54"/>
      <c r="R54"/>
      <c r="S54"/>
      <c r="T54"/>
      <c r="U54"/>
      <c r="V54"/>
    </row>
    <row r="55" spans="1:22" ht="15.75" x14ac:dyDescent="0.3">
      <c r="A55" s="56" t="s">
        <v>98</v>
      </c>
      <c r="B55" s="54">
        <v>0</v>
      </c>
      <c r="D55" s="21">
        <v>0</v>
      </c>
      <c r="E55" s="21">
        <v>0</v>
      </c>
      <c r="F55" s="21" t="s">
        <v>96</v>
      </c>
      <c r="G55" s="30">
        <v>120</v>
      </c>
      <c r="H55" s="30">
        <f>+G55*E55</f>
        <v>0</v>
      </c>
      <c r="J55"/>
      <c r="K55"/>
      <c r="L55"/>
      <c r="M55"/>
      <c r="N55"/>
      <c r="O55"/>
      <c r="P55"/>
      <c r="Q55"/>
      <c r="R55"/>
      <c r="S55"/>
      <c r="T55"/>
      <c r="U55"/>
      <c r="V55"/>
    </row>
    <row r="56" spans="1:22" ht="15.75" x14ac:dyDescent="0.3">
      <c r="A56" s="56" t="s">
        <v>97</v>
      </c>
      <c r="B56" s="54">
        <f>+((5*B48)*1.1)</f>
        <v>11000</v>
      </c>
      <c r="D56" s="21">
        <v>0</v>
      </c>
      <c r="E56" s="21">
        <v>0</v>
      </c>
      <c r="F56" s="21" t="s">
        <v>31</v>
      </c>
      <c r="G56" s="30">
        <v>1.5</v>
      </c>
      <c r="H56" s="30">
        <f>+G56*E56</f>
        <v>0</v>
      </c>
      <c r="J56"/>
      <c r="K56"/>
      <c r="L56"/>
      <c r="M56"/>
      <c r="N56"/>
      <c r="O56"/>
      <c r="P56"/>
      <c r="Q56"/>
      <c r="R56"/>
      <c r="S56"/>
      <c r="T56"/>
      <c r="U56"/>
      <c r="V56"/>
    </row>
    <row r="57" spans="1:22" ht="15.75" x14ac:dyDescent="0.3">
      <c r="A57" s="56"/>
      <c r="B57" s="56"/>
      <c r="D57" s="21">
        <v>0</v>
      </c>
      <c r="E57" s="21">
        <v>0</v>
      </c>
      <c r="F57" s="21" t="s">
        <v>106</v>
      </c>
      <c r="G57" s="30">
        <f>+E83</f>
        <v>2719.7440200000001</v>
      </c>
      <c r="H57" s="30">
        <f t="shared" ref="H57" si="1">+G57*E57</f>
        <v>0</v>
      </c>
      <c r="J57"/>
      <c r="K57"/>
      <c r="L57"/>
      <c r="M57"/>
      <c r="N57"/>
      <c r="O57"/>
      <c r="P57"/>
      <c r="Q57"/>
      <c r="R57"/>
      <c r="S57"/>
      <c r="T57"/>
      <c r="U57"/>
      <c r="V57"/>
    </row>
    <row r="58" spans="1:22" ht="15.75" x14ac:dyDescent="0.3">
      <c r="A58" s="52" t="s">
        <v>58</v>
      </c>
      <c r="B58" s="57">
        <f>SUM(B50:B57)</f>
        <v>22535</v>
      </c>
      <c r="C58" s="3"/>
      <c r="D58" s="21">
        <v>0</v>
      </c>
      <c r="E58" s="21">
        <v>0</v>
      </c>
      <c r="F58" s="3" t="s">
        <v>59</v>
      </c>
      <c r="G58" s="30">
        <f>+E80</f>
        <v>1768.9392000000003</v>
      </c>
      <c r="H58" s="30">
        <f t="shared" si="0"/>
        <v>0</v>
      </c>
      <c r="J58"/>
      <c r="K58"/>
      <c r="L58"/>
      <c r="M58"/>
      <c r="N58"/>
      <c r="O58"/>
      <c r="P58"/>
      <c r="Q58"/>
      <c r="R58"/>
      <c r="S58"/>
      <c r="T58"/>
      <c r="U58"/>
      <c r="V58"/>
    </row>
    <row r="59" spans="1:22" ht="15.75" x14ac:dyDescent="0.3">
      <c r="A59" s="9"/>
      <c r="B59" s="58"/>
      <c r="C59" s="3"/>
      <c r="D59" s="21"/>
      <c r="E59" s="21"/>
      <c r="F59" s="3"/>
      <c r="G59" s="3"/>
      <c r="H59" s="30">
        <f t="shared" ref="H59" si="2">+G59*E59</f>
        <v>0</v>
      </c>
      <c r="J59"/>
      <c r="K59"/>
      <c r="L59"/>
      <c r="M59"/>
      <c r="N59"/>
      <c r="O59"/>
      <c r="P59"/>
      <c r="Q59"/>
      <c r="R59"/>
      <c r="S59"/>
      <c r="T59"/>
      <c r="U59"/>
      <c r="V59"/>
    </row>
    <row r="60" spans="1:22" ht="15.75" x14ac:dyDescent="0.3">
      <c r="A60" s="9"/>
      <c r="B60" s="32">
        <f>+B58/B48</f>
        <v>11.2675</v>
      </c>
      <c r="C60" s="4" t="s">
        <v>61</v>
      </c>
      <c r="D60" s="3"/>
      <c r="E60" s="3"/>
      <c r="F60" s="3"/>
      <c r="G60" s="3"/>
      <c r="J60"/>
      <c r="K60"/>
      <c r="L60"/>
      <c r="M60"/>
      <c r="N60"/>
      <c r="O60"/>
      <c r="P60"/>
      <c r="Q60"/>
      <c r="R60"/>
      <c r="S60"/>
      <c r="T60"/>
      <c r="U60"/>
      <c r="V60"/>
    </row>
    <row r="61" spans="1:22" ht="15.75" x14ac:dyDescent="0.3">
      <c r="A61" s="3"/>
      <c r="B61" s="3"/>
      <c r="D61" s="3"/>
      <c r="E61" s="3"/>
      <c r="F61" s="3"/>
      <c r="G61" s="61" t="s">
        <v>62</v>
      </c>
      <c r="H61" s="30">
        <f>SUM(H49:H60)</f>
        <v>1135</v>
      </c>
      <c r="J61"/>
      <c r="K61"/>
      <c r="L61"/>
      <c r="M61"/>
      <c r="N61"/>
      <c r="O61"/>
      <c r="P61"/>
      <c r="Q61"/>
      <c r="R61"/>
      <c r="S61"/>
      <c r="T61"/>
      <c r="U61"/>
      <c r="V61"/>
    </row>
    <row r="62" spans="1:22" ht="15.75" x14ac:dyDescent="0.3">
      <c r="D62" s="3"/>
      <c r="E62" s="3"/>
      <c r="G62" s="5" t="s">
        <v>63</v>
      </c>
      <c r="H62" s="76">
        <f>+'cartón caja'!H62</f>
        <v>1.2</v>
      </c>
      <c r="J62"/>
      <c r="K62"/>
      <c r="L62"/>
      <c r="M62"/>
      <c r="N62"/>
      <c r="O62"/>
      <c r="P62"/>
      <c r="Q62"/>
      <c r="R62"/>
      <c r="S62"/>
      <c r="T62"/>
      <c r="U62"/>
      <c r="V62"/>
    </row>
    <row r="63" spans="1:22" ht="15.75" x14ac:dyDescent="0.3">
      <c r="A63" s="4" t="s">
        <v>65</v>
      </c>
      <c r="B63" s="3"/>
      <c r="C63" s="3"/>
      <c r="E63" s="32">
        <f>+B73/C40</f>
        <v>13.031000000000001</v>
      </c>
      <c r="G63" s="1" t="s">
        <v>66</v>
      </c>
      <c r="H63" s="62">
        <v>1.75</v>
      </c>
      <c r="J63"/>
      <c r="K63"/>
      <c r="L63"/>
      <c r="M63"/>
      <c r="N63"/>
      <c r="O63"/>
      <c r="P63"/>
      <c r="Q63"/>
      <c r="R63"/>
      <c r="S63"/>
      <c r="T63"/>
      <c r="U63"/>
      <c r="V63"/>
    </row>
    <row r="64" spans="1:22" ht="15.75" x14ac:dyDescent="0.3">
      <c r="A64" s="3"/>
      <c r="B64" s="4" t="s">
        <v>68</v>
      </c>
      <c r="C64" s="25" t="s">
        <v>69</v>
      </c>
      <c r="D64" s="3"/>
      <c r="E64" s="3"/>
      <c r="F64" s="3"/>
      <c r="G64" s="1" t="s">
        <v>66</v>
      </c>
      <c r="H64" s="62">
        <v>2</v>
      </c>
      <c r="J64"/>
      <c r="K64"/>
      <c r="L64"/>
      <c r="M64"/>
      <c r="N64"/>
      <c r="O64"/>
      <c r="P64"/>
      <c r="Q64"/>
      <c r="R64"/>
      <c r="S64"/>
      <c r="T64"/>
      <c r="U64"/>
      <c r="V64"/>
    </row>
    <row r="65" spans="1:22" ht="15.75" x14ac:dyDescent="0.3">
      <c r="A65" s="52" t="s">
        <v>71</v>
      </c>
      <c r="B65" s="53"/>
      <c r="C65" s="3"/>
      <c r="D65" s="3">
        <f>+B73*C69</f>
        <v>0</v>
      </c>
      <c r="E65" s="3"/>
      <c r="F65" s="3"/>
      <c r="G65" s="5" t="s">
        <v>81</v>
      </c>
      <c r="H65" s="62">
        <v>2.5</v>
      </c>
      <c r="J65"/>
      <c r="K65"/>
      <c r="L65"/>
      <c r="M65"/>
      <c r="N65"/>
      <c r="O65"/>
      <c r="P65"/>
      <c r="Q65"/>
      <c r="R65"/>
      <c r="S65"/>
      <c r="T65"/>
      <c r="U65"/>
      <c r="V65"/>
    </row>
    <row r="66" spans="1:22" ht="15.75" x14ac:dyDescent="0.3">
      <c r="A66" s="53" t="s">
        <v>54</v>
      </c>
      <c r="B66" s="54">
        <f>+E35*C42</f>
        <v>10780.000000000002</v>
      </c>
      <c r="C66" s="63"/>
      <c r="J66"/>
      <c r="K66"/>
      <c r="L66"/>
      <c r="M66"/>
      <c r="N66"/>
      <c r="O66"/>
      <c r="P66"/>
      <c r="Q66"/>
      <c r="R66"/>
      <c r="S66"/>
      <c r="T66"/>
      <c r="U66"/>
      <c r="V66"/>
    </row>
    <row r="67" spans="1:22" ht="15.75" x14ac:dyDescent="0.3">
      <c r="A67" s="53" t="s">
        <v>12</v>
      </c>
      <c r="B67" s="54">
        <f>+H61*H62</f>
        <v>1362</v>
      </c>
      <c r="C67" s="63"/>
      <c r="J67"/>
      <c r="K67"/>
      <c r="L67"/>
      <c r="M67"/>
      <c r="N67"/>
      <c r="O67"/>
      <c r="P67"/>
      <c r="Q67"/>
      <c r="R67"/>
      <c r="S67"/>
      <c r="T67"/>
      <c r="U67"/>
      <c r="V67"/>
    </row>
    <row r="68" spans="1:22" ht="15.75" x14ac:dyDescent="0.3">
      <c r="A68" s="53" t="str">
        <f>+A53</f>
        <v>Tabla de suaje</v>
      </c>
      <c r="B68" s="54">
        <f>+B53*H62</f>
        <v>720</v>
      </c>
      <c r="C68" s="63"/>
      <c r="J68"/>
      <c r="K68"/>
      <c r="L68"/>
      <c r="M68"/>
      <c r="N68"/>
      <c r="O68"/>
      <c r="P68"/>
      <c r="Q68"/>
      <c r="R68"/>
      <c r="S68"/>
      <c r="T68"/>
      <c r="U68"/>
      <c r="V68"/>
    </row>
    <row r="69" spans="1:22" ht="15.75" x14ac:dyDescent="0.3">
      <c r="A69" s="53" t="str">
        <f>+A54</f>
        <v>Pruebas de color</v>
      </c>
      <c r="B69" s="54">
        <f>+B54*H62</f>
        <v>0</v>
      </c>
      <c r="C69" s="63"/>
      <c r="J69"/>
      <c r="K69"/>
      <c r="L69"/>
      <c r="M69"/>
      <c r="N69"/>
      <c r="O69"/>
      <c r="P69"/>
      <c r="Q69"/>
      <c r="R69"/>
      <c r="S69"/>
      <c r="T69"/>
      <c r="U69"/>
      <c r="V69"/>
    </row>
    <row r="70" spans="1:22" ht="15.75" x14ac:dyDescent="0.3">
      <c r="A70" s="53" t="str">
        <f>+A55</f>
        <v>Imán</v>
      </c>
      <c r="B70" s="54">
        <f>+B55*H62</f>
        <v>0</v>
      </c>
      <c r="C70" s="63"/>
      <c r="F70" s="64" t="s">
        <v>73</v>
      </c>
      <c r="G70" s="32">
        <f>+B60</f>
        <v>11.2675</v>
      </c>
      <c r="H70" s="65">
        <f>+G70*B48</f>
        <v>22535</v>
      </c>
      <c r="J70"/>
      <c r="K70"/>
      <c r="L70"/>
      <c r="M70"/>
      <c r="N70"/>
      <c r="O70"/>
      <c r="P70"/>
      <c r="Q70"/>
      <c r="R70"/>
      <c r="S70"/>
      <c r="T70"/>
      <c r="U70"/>
      <c r="V70"/>
    </row>
    <row r="71" spans="1:22" ht="15.75" x14ac:dyDescent="0.3">
      <c r="A71" s="53" t="str">
        <f>+A56</f>
        <v>Encuadernación</v>
      </c>
      <c r="B71" s="54">
        <f>+B56*H62</f>
        <v>13200</v>
      </c>
      <c r="C71" s="66"/>
      <c r="F71" s="64" t="s">
        <v>75</v>
      </c>
      <c r="G71" s="32">
        <f>+C73</f>
        <v>13.031000000000001</v>
      </c>
      <c r="H71" s="65">
        <f>+G71*B48</f>
        <v>26062</v>
      </c>
      <c r="J71"/>
      <c r="K71"/>
      <c r="L71"/>
      <c r="M71"/>
      <c r="N71"/>
      <c r="O71"/>
      <c r="P71"/>
      <c r="Q71"/>
      <c r="R71"/>
      <c r="S71"/>
      <c r="T71"/>
      <c r="U71"/>
      <c r="V71"/>
    </row>
    <row r="72" spans="1:22" ht="15.75" x14ac:dyDescent="0.3">
      <c r="A72" s="53"/>
      <c r="B72" s="54"/>
      <c r="C72" s="66"/>
      <c r="F72" s="67" t="s">
        <v>76</v>
      </c>
      <c r="G72" s="68">
        <f>+G71-G70</f>
        <v>1.7635000000000005</v>
      </c>
      <c r="H72" s="82">
        <f>+G72*B48</f>
        <v>3527.0000000000009</v>
      </c>
      <c r="J72"/>
      <c r="K72"/>
      <c r="L72"/>
      <c r="M72"/>
      <c r="N72"/>
      <c r="O72"/>
      <c r="P72"/>
      <c r="Q72"/>
      <c r="R72"/>
      <c r="S72"/>
      <c r="T72"/>
      <c r="U72"/>
      <c r="V72"/>
    </row>
    <row r="73" spans="1:22" ht="15.75" x14ac:dyDescent="0.3">
      <c r="A73" s="52" t="s">
        <v>58</v>
      </c>
      <c r="B73" s="57">
        <f>SUM(B65:B72)</f>
        <v>26062</v>
      </c>
      <c r="C73" s="68">
        <f>+B73/B48</f>
        <v>13.031000000000001</v>
      </c>
      <c r="D73" s="5" t="s">
        <v>125</v>
      </c>
      <c r="J73"/>
      <c r="K73"/>
      <c r="L73"/>
      <c r="M73"/>
      <c r="N73"/>
      <c r="O73"/>
      <c r="P73"/>
      <c r="Q73"/>
      <c r="R73"/>
      <c r="S73"/>
      <c r="T73"/>
      <c r="U73"/>
      <c r="V73"/>
    </row>
    <row r="74" spans="1:22" x14ac:dyDescent="0.3">
      <c r="C74" s="77"/>
      <c r="D74" s="5"/>
    </row>
    <row r="75" spans="1:22" x14ac:dyDescent="0.3">
      <c r="C75" s="77"/>
      <c r="D75" s="5"/>
    </row>
    <row r="76" spans="1:22" x14ac:dyDescent="0.3">
      <c r="A76" s="5"/>
      <c r="C76" s="65"/>
      <c r="D76" s="5"/>
    </row>
    <row r="77" spans="1:22" ht="15" thickBot="1" x14ac:dyDescent="0.35">
      <c r="A77" s="5" t="s">
        <v>170</v>
      </c>
    </row>
    <row r="78" spans="1:22" x14ac:dyDescent="0.3">
      <c r="A78" s="11" t="s">
        <v>102</v>
      </c>
      <c r="B78" s="12"/>
      <c r="C78" s="12"/>
      <c r="D78" s="12"/>
      <c r="E78" s="12"/>
      <c r="F78" s="12"/>
      <c r="G78" s="13"/>
    </row>
    <row r="79" spans="1:22" x14ac:dyDescent="0.3">
      <c r="A79" s="46">
        <f>+F16</f>
        <v>46.6</v>
      </c>
      <c r="B79" s="73">
        <f>+H16</f>
        <v>40.5</v>
      </c>
      <c r="C79" s="7" t="s">
        <v>101</v>
      </c>
      <c r="D79" s="73" t="s">
        <v>103</v>
      </c>
      <c r="E79" s="7" t="s">
        <v>104</v>
      </c>
      <c r="F79" s="75" t="s">
        <v>167</v>
      </c>
    </row>
    <row r="80" spans="1:22" x14ac:dyDescent="0.3">
      <c r="A80" s="46">
        <f>0.654*0.322*C41</f>
        <v>442.23480000000006</v>
      </c>
      <c r="B80" s="78">
        <v>4</v>
      </c>
      <c r="C80" s="78">
        <f>+A80*B80</f>
        <v>1768.9392000000003</v>
      </c>
      <c r="D80" s="78">
        <v>0</v>
      </c>
      <c r="E80" s="119">
        <f>+C80+D80</f>
        <v>1768.9392000000003</v>
      </c>
      <c r="F80" s="92" t="s">
        <v>122</v>
      </c>
      <c r="G80" s="118">
        <v>550</v>
      </c>
    </row>
    <row r="81" spans="1:18" x14ac:dyDescent="0.3">
      <c r="A81" s="6"/>
      <c r="B81" s="78"/>
      <c r="C81" s="78"/>
      <c r="D81" s="78"/>
      <c r="E81" s="78"/>
      <c r="G81" s="8"/>
      <c r="J81" s="71"/>
    </row>
    <row r="82" spans="1:18" x14ac:dyDescent="0.3">
      <c r="A82" s="46">
        <f>+A79</f>
        <v>46.6</v>
      </c>
      <c r="B82" s="73">
        <f>+B79</f>
        <v>40.5</v>
      </c>
      <c r="C82" s="7" t="s">
        <v>101</v>
      </c>
      <c r="D82" s="73" t="s">
        <v>103</v>
      </c>
      <c r="E82" s="7" t="s">
        <v>104</v>
      </c>
      <c r="F82" s="75" t="s">
        <v>166</v>
      </c>
    </row>
    <row r="83" spans="1:18" x14ac:dyDescent="0.3">
      <c r="A83" s="46">
        <f>0.654*0.322*C41</f>
        <v>442.23480000000006</v>
      </c>
      <c r="B83" s="78">
        <f>4.1*1.5</f>
        <v>6.1499999999999995</v>
      </c>
      <c r="C83" s="78">
        <f>+A83*B83</f>
        <v>2719.7440200000001</v>
      </c>
      <c r="D83" s="78">
        <v>0</v>
      </c>
      <c r="E83" s="119">
        <f>+C83+D83</f>
        <v>2719.7440200000001</v>
      </c>
      <c r="F83" s="92" t="s">
        <v>122</v>
      </c>
      <c r="G83" s="118">
        <v>550</v>
      </c>
    </row>
    <row r="84" spans="1:18" x14ac:dyDescent="0.3">
      <c r="A84" s="6"/>
      <c r="B84" s="7"/>
      <c r="C84" s="78"/>
      <c r="D84" s="78"/>
      <c r="E84" s="78"/>
      <c r="G84" s="8"/>
    </row>
    <row r="85" spans="1:18" ht="15" thickBot="1" x14ac:dyDescent="0.35">
      <c r="A85" s="14"/>
      <c r="B85" s="15"/>
      <c r="C85" s="15"/>
      <c r="D85" s="15"/>
      <c r="E85" s="15"/>
      <c r="F85" s="15"/>
      <c r="G85" s="16"/>
    </row>
    <row r="87" spans="1:18" ht="16.5" x14ac:dyDescent="0.3">
      <c r="J87" s="55"/>
      <c r="K87" s="55"/>
      <c r="L87" s="55"/>
      <c r="M87" s="55"/>
      <c r="N87" s="55"/>
      <c r="O87" s="55"/>
      <c r="P87" s="55"/>
      <c r="Q87" s="55"/>
      <c r="R87" s="55"/>
    </row>
    <row r="88" spans="1:18" ht="16.5" x14ac:dyDescent="0.3">
      <c r="J88" s="55"/>
      <c r="K88" s="55"/>
      <c r="L88" s="55"/>
      <c r="M88" s="55"/>
      <c r="N88" s="55"/>
      <c r="O88" s="55"/>
      <c r="P88" s="55"/>
      <c r="Q88" s="55"/>
      <c r="R88" s="55"/>
    </row>
    <row r="89" spans="1:18" ht="16.5" x14ac:dyDescent="0.3">
      <c r="J89" s="55"/>
      <c r="K89" s="55"/>
      <c r="L89" s="55"/>
      <c r="M89" s="55"/>
      <c r="N89" s="55"/>
      <c r="O89" s="55"/>
      <c r="P89" s="55"/>
      <c r="Q89" s="55"/>
      <c r="R89" s="55"/>
    </row>
    <row r="90" spans="1:18" ht="16.5" x14ac:dyDescent="0.3">
      <c r="J90" s="55"/>
      <c r="K90" s="55"/>
      <c r="L90" s="55"/>
      <c r="M90" s="55"/>
      <c r="N90" s="55"/>
      <c r="O90" s="55"/>
      <c r="P90" s="55"/>
      <c r="Q90" s="55"/>
      <c r="R90" s="55"/>
    </row>
    <row r="91" spans="1:18" ht="16.5" x14ac:dyDescent="0.3">
      <c r="J91" s="55"/>
      <c r="K91" s="55"/>
      <c r="L91" s="55"/>
      <c r="M91" s="55"/>
      <c r="N91" s="55"/>
      <c r="O91" s="55"/>
      <c r="P91" s="55"/>
      <c r="Q91" s="55"/>
      <c r="R91" s="55"/>
    </row>
    <row r="92" spans="1:18" ht="16.5" x14ac:dyDescent="0.3">
      <c r="J92" s="55"/>
      <c r="K92" s="55"/>
      <c r="L92" s="55"/>
      <c r="M92" s="55"/>
      <c r="N92" s="55"/>
      <c r="O92" s="55"/>
      <c r="P92" s="55"/>
      <c r="Q92" s="55"/>
      <c r="R92" s="55"/>
    </row>
    <row r="93" spans="1:18" ht="16.5" x14ac:dyDescent="0.3">
      <c r="J93" s="55"/>
      <c r="K93" s="55"/>
      <c r="L93" s="55"/>
      <c r="M93" s="55"/>
      <c r="N93" s="55"/>
      <c r="O93" s="55"/>
      <c r="P93" s="55"/>
      <c r="Q93" s="55"/>
      <c r="R93" s="55"/>
    </row>
    <row r="94" spans="1:18" ht="16.5" x14ac:dyDescent="0.3">
      <c r="J94" s="55"/>
      <c r="K94" s="55"/>
      <c r="L94" s="55"/>
      <c r="M94" s="55"/>
      <c r="N94" s="55"/>
      <c r="O94" s="55"/>
      <c r="P94" s="55"/>
      <c r="Q94" s="55"/>
      <c r="R94" s="55"/>
    </row>
    <row r="95" spans="1:18" ht="16.5" x14ac:dyDescent="0.3">
      <c r="J95" s="55"/>
      <c r="K95" s="55"/>
      <c r="L95" s="55"/>
      <c r="M95" s="55"/>
      <c r="N95" s="55"/>
      <c r="O95" s="55"/>
      <c r="P95" s="55"/>
      <c r="Q95" s="55"/>
      <c r="R95" s="55"/>
    </row>
    <row r="96" spans="1:18" ht="16.5" x14ac:dyDescent="0.3">
      <c r="J96" s="55"/>
      <c r="K96" s="55"/>
      <c r="L96" s="55"/>
      <c r="M96" s="55"/>
      <c r="N96" s="55"/>
      <c r="O96" s="55"/>
      <c r="P96" s="55"/>
      <c r="Q96" s="55"/>
      <c r="R96" s="55"/>
    </row>
  </sheetData>
  <pageMargins left="0.70866141732283472" right="0.70866141732283472" top="0.74803149606299213" bottom="0.74803149606299213" header="0.31496062992125984" footer="0.31496062992125984"/>
  <pageSetup scale="53" orientation="portrait" r:id="rId1"/>
  <headerFooter>
    <oddFooter>&amp;A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96"/>
  <sheetViews>
    <sheetView zoomScale="80" zoomScaleNormal="80" workbookViewId="0">
      <selection activeCell="E22" sqref="E22"/>
    </sheetView>
  </sheetViews>
  <sheetFormatPr baseColWidth="10" defaultRowHeight="14.25" x14ac:dyDescent="0.3"/>
  <cols>
    <col min="1" max="1" width="11.42578125" style="1"/>
    <col min="2" max="2" width="13.42578125" style="1" bestFit="1" customWidth="1"/>
    <col min="3" max="3" width="11.5703125" style="1" bestFit="1" customWidth="1"/>
    <col min="4" max="4" width="9.7109375" style="1" customWidth="1"/>
    <col min="5" max="5" width="14.28515625" style="1" customWidth="1"/>
    <col min="6" max="6" width="12.5703125" style="1" customWidth="1"/>
    <col min="7" max="7" width="13.42578125" style="1" customWidth="1"/>
    <col min="8" max="8" width="12.5703125" style="1" customWidth="1"/>
    <col min="9" max="9" width="9.7109375" style="1" customWidth="1"/>
    <col min="10" max="10" width="11.42578125" style="1"/>
    <col min="11" max="11" width="15.85546875" style="1" customWidth="1"/>
    <col min="12" max="12" width="11.42578125" style="1"/>
    <col min="13" max="13" width="14.140625" style="1" customWidth="1"/>
    <col min="14" max="16384" width="11.42578125" style="1"/>
  </cols>
  <sheetData>
    <row r="1" spans="1:22" ht="15.75" x14ac:dyDescent="0.3">
      <c r="J1"/>
      <c r="K1"/>
      <c r="L1"/>
      <c r="M1"/>
      <c r="N1"/>
      <c r="O1"/>
      <c r="P1"/>
      <c r="Q1"/>
      <c r="R1"/>
      <c r="S1"/>
      <c r="T1"/>
      <c r="U1"/>
      <c r="V1"/>
    </row>
    <row r="2" spans="1:22" ht="15.75" x14ac:dyDescent="0.3">
      <c r="J2"/>
      <c r="K2"/>
      <c r="L2"/>
      <c r="M2"/>
      <c r="N2"/>
      <c r="O2"/>
      <c r="P2"/>
      <c r="Q2"/>
      <c r="R2"/>
      <c r="S2"/>
      <c r="T2"/>
      <c r="U2"/>
      <c r="V2"/>
    </row>
    <row r="3" spans="1:22" ht="15.75" x14ac:dyDescent="0.3">
      <c r="J3"/>
      <c r="K3"/>
      <c r="L3"/>
      <c r="M3"/>
      <c r="N3"/>
      <c r="O3"/>
      <c r="P3"/>
      <c r="Q3"/>
      <c r="R3"/>
      <c r="S3"/>
      <c r="T3"/>
      <c r="U3"/>
      <c r="V3"/>
    </row>
    <row r="4" spans="1:22" ht="15.75" x14ac:dyDescent="0.3">
      <c r="J4"/>
      <c r="K4"/>
      <c r="L4"/>
      <c r="M4"/>
      <c r="N4"/>
      <c r="O4"/>
      <c r="P4"/>
      <c r="Q4"/>
      <c r="R4"/>
      <c r="S4"/>
      <c r="T4"/>
      <c r="U4"/>
      <c r="V4"/>
    </row>
    <row r="5" spans="1:22" ht="15.75" x14ac:dyDescent="0.3">
      <c r="A5" s="5"/>
      <c r="J5"/>
      <c r="K5"/>
      <c r="L5"/>
      <c r="M5"/>
      <c r="N5"/>
      <c r="O5"/>
      <c r="P5"/>
      <c r="Q5"/>
      <c r="R5"/>
      <c r="S5"/>
      <c r="T5"/>
      <c r="U5"/>
      <c r="V5"/>
    </row>
    <row r="6" spans="1:22" ht="18.75" x14ac:dyDescent="0.3">
      <c r="A6" s="2" t="s">
        <v>2</v>
      </c>
      <c r="E6" s="5" t="s">
        <v>3</v>
      </c>
      <c r="F6" s="1" t="s">
        <v>4</v>
      </c>
      <c r="J6"/>
      <c r="K6"/>
      <c r="L6"/>
      <c r="M6"/>
      <c r="N6"/>
      <c r="O6"/>
      <c r="P6"/>
      <c r="Q6"/>
      <c r="R6"/>
      <c r="S6"/>
      <c r="T6"/>
      <c r="U6"/>
      <c r="V6"/>
    </row>
    <row r="7" spans="1:22" ht="15.75" x14ac:dyDescent="0.3">
      <c r="J7"/>
      <c r="K7"/>
      <c r="L7"/>
      <c r="M7"/>
      <c r="N7"/>
      <c r="O7"/>
      <c r="P7"/>
      <c r="Q7"/>
      <c r="R7"/>
      <c r="S7"/>
      <c r="T7"/>
      <c r="U7"/>
      <c r="V7"/>
    </row>
    <row r="8" spans="1:22" ht="15.75" x14ac:dyDescent="0.3">
      <c r="J8"/>
      <c r="K8"/>
      <c r="L8"/>
      <c r="M8"/>
      <c r="N8"/>
      <c r="O8"/>
      <c r="P8"/>
      <c r="Q8"/>
      <c r="R8"/>
      <c r="S8"/>
      <c r="T8"/>
      <c r="U8"/>
      <c r="V8"/>
    </row>
    <row r="9" spans="1:22" s="5" customFormat="1" ht="15" x14ac:dyDescent="0.25">
      <c r="A9" s="5" t="s">
        <v>6</v>
      </c>
      <c r="C9" s="5" t="str">
        <f>+'cartón caja'!C9</f>
        <v>21 de septiembre de 2017.</v>
      </c>
      <c r="H9" s="5" t="s">
        <v>7</v>
      </c>
      <c r="J9"/>
      <c r="K9"/>
      <c r="L9"/>
      <c r="M9"/>
      <c r="N9"/>
      <c r="O9"/>
      <c r="P9"/>
      <c r="Q9"/>
      <c r="R9"/>
      <c r="S9"/>
      <c r="T9"/>
      <c r="U9"/>
      <c r="V9"/>
    </row>
    <row r="10" spans="1:22" ht="15.75" x14ac:dyDescent="0.3">
      <c r="J10"/>
      <c r="K10"/>
      <c r="L10"/>
      <c r="M10"/>
      <c r="N10"/>
      <c r="O10"/>
      <c r="P10"/>
      <c r="Q10"/>
      <c r="R10"/>
      <c r="S10"/>
      <c r="T10"/>
      <c r="U10"/>
      <c r="V10"/>
    </row>
    <row r="11" spans="1:22" ht="16.5" thickBot="1" x14ac:dyDescent="0.35">
      <c r="A11" s="5" t="s">
        <v>8</v>
      </c>
      <c r="C11" s="1" t="str">
        <f>+'cartón caja'!C11</f>
        <v>Nespresso</v>
      </c>
      <c r="F11" s="5" t="s">
        <v>0</v>
      </c>
      <c r="J11"/>
      <c r="K11"/>
      <c r="L11"/>
      <c r="M11"/>
      <c r="N11"/>
      <c r="O11"/>
      <c r="P11"/>
      <c r="Q11"/>
      <c r="R11"/>
      <c r="S11"/>
      <c r="T11"/>
      <c r="U11"/>
      <c r="V11"/>
    </row>
    <row r="12" spans="1:22" ht="15.75" x14ac:dyDescent="0.3">
      <c r="A12" s="5"/>
      <c r="F12" s="11"/>
      <c r="G12" s="12"/>
      <c r="H12" s="13"/>
      <c r="J12"/>
      <c r="K12"/>
      <c r="L12"/>
      <c r="M12"/>
      <c r="N12"/>
      <c r="O12"/>
      <c r="P12"/>
      <c r="Q12"/>
      <c r="R12"/>
      <c r="S12"/>
      <c r="T12"/>
      <c r="U12"/>
      <c r="V12"/>
    </row>
    <row r="13" spans="1:22" ht="15.75" x14ac:dyDescent="0.3">
      <c r="A13" s="5" t="s">
        <v>10</v>
      </c>
      <c r="C13" s="1" t="str">
        <f>+'espuma base 3cm '!C13</f>
        <v/>
      </c>
      <c r="F13" s="6"/>
      <c r="G13" s="7"/>
      <c r="H13" s="8"/>
      <c r="J13"/>
      <c r="K13"/>
      <c r="L13"/>
      <c r="M13"/>
      <c r="N13"/>
      <c r="O13"/>
      <c r="P13"/>
      <c r="Q13"/>
      <c r="R13"/>
      <c r="S13"/>
      <c r="T13"/>
      <c r="U13"/>
      <c r="V13"/>
    </row>
    <row r="14" spans="1:22" ht="15.75" x14ac:dyDescent="0.3">
      <c r="A14" s="5"/>
      <c r="F14" s="6"/>
      <c r="G14" s="7"/>
      <c r="H14" s="8"/>
      <c r="J14"/>
      <c r="K14"/>
      <c r="L14"/>
      <c r="M14"/>
      <c r="N14"/>
      <c r="O14"/>
      <c r="P14"/>
      <c r="Q14"/>
      <c r="R14"/>
      <c r="S14"/>
      <c r="T14"/>
      <c r="U14"/>
      <c r="V14"/>
    </row>
    <row r="15" spans="1:22" ht="15.75" x14ac:dyDescent="0.3">
      <c r="A15" s="5" t="s">
        <v>11</v>
      </c>
      <c r="C15" s="19" t="s">
        <v>185</v>
      </c>
      <c r="D15" s="18"/>
      <c r="E15" s="18"/>
      <c r="F15" s="72" t="s">
        <v>5</v>
      </c>
      <c r="G15" s="7"/>
      <c r="H15" s="8"/>
      <c r="J15"/>
      <c r="K15"/>
      <c r="L15"/>
      <c r="M15"/>
      <c r="N15"/>
      <c r="O15"/>
      <c r="P15"/>
      <c r="Q15"/>
      <c r="R15"/>
      <c r="S15"/>
      <c r="T15"/>
      <c r="U15"/>
      <c r="V15"/>
    </row>
    <row r="16" spans="1:22" ht="15.75" x14ac:dyDescent="0.3">
      <c r="C16" s="17" t="s">
        <v>94</v>
      </c>
      <c r="D16" s="18"/>
      <c r="E16" s="18"/>
      <c r="F16" s="46">
        <f>+Desarrollo!C90*1</f>
        <v>36.5</v>
      </c>
      <c r="G16" s="73" t="s">
        <v>82</v>
      </c>
      <c r="H16" s="74">
        <f>+(Desarrollo!E90)*1</f>
        <v>25.1</v>
      </c>
      <c r="J16"/>
      <c r="K16"/>
      <c r="L16"/>
      <c r="M16"/>
      <c r="N16"/>
      <c r="O16"/>
      <c r="P16"/>
      <c r="Q16"/>
      <c r="R16"/>
      <c r="S16"/>
      <c r="T16"/>
      <c r="U16"/>
      <c r="V16"/>
    </row>
    <row r="17" spans="1:22" ht="15.75" x14ac:dyDescent="0.3">
      <c r="C17" s="17" t="s">
        <v>186</v>
      </c>
      <c r="D17" s="18"/>
      <c r="E17" s="18"/>
      <c r="F17" s="72">
        <v>1</v>
      </c>
      <c r="G17" s="75" t="s">
        <v>83</v>
      </c>
      <c r="H17" s="8"/>
      <c r="J17"/>
      <c r="K17"/>
      <c r="L17"/>
      <c r="M17"/>
      <c r="N17"/>
      <c r="O17"/>
      <c r="P17"/>
      <c r="Q17"/>
      <c r="R17"/>
      <c r="S17"/>
      <c r="T17"/>
      <c r="U17"/>
      <c r="V17"/>
    </row>
    <row r="18" spans="1:22" ht="15.75" x14ac:dyDescent="0.3">
      <c r="C18" s="17" t="s">
        <v>175</v>
      </c>
      <c r="D18" s="18"/>
      <c r="E18" s="18"/>
      <c r="F18" s="6"/>
      <c r="G18" s="7"/>
      <c r="H18" s="8"/>
      <c r="J18"/>
      <c r="K18"/>
      <c r="L18"/>
      <c r="M18"/>
      <c r="N18"/>
      <c r="O18"/>
      <c r="P18"/>
      <c r="Q18"/>
      <c r="R18"/>
      <c r="S18"/>
      <c r="T18"/>
      <c r="U18"/>
      <c r="V18"/>
    </row>
    <row r="19" spans="1:22" ht="15.75" x14ac:dyDescent="0.3">
      <c r="C19" s="17" t="s">
        <v>187</v>
      </c>
      <c r="D19" s="18"/>
      <c r="E19" s="18"/>
      <c r="F19" s="6"/>
      <c r="G19" s="7"/>
      <c r="H19" s="8"/>
      <c r="J19"/>
      <c r="K19"/>
      <c r="L19"/>
      <c r="M19"/>
      <c r="N19"/>
      <c r="O19"/>
      <c r="P19"/>
      <c r="Q19"/>
      <c r="R19"/>
      <c r="S19"/>
      <c r="T19"/>
      <c r="U19"/>
      <c r="V19"/>
    </row>
    <row r="20" spans="1:22" ht="15.75" x14ac:dyDescent="0.3">
      <c r="C20" s="18" t="s">
        <v>188</v>
      </c>
      <c r="D20" s="18"/>
      <c r="E20" s="18"/>
      <c r="F20" s="46">
        <f>+Desarrollo!C87</f>
        <v>34.5</v>
      </c>
      <c r="G20" s="73" t="s">
        <v>82</v>
      </c>
      <c r="H20" s="74">
        <f>+Desarrollo!E87</f>
        <v>23.1</v>
      </c>
      <c r="J20"/>
      <c r="K20"/>
      <c r="L20"/>
      <c r="M20"/>
      <c r="N20"/>
      <c r="O20"/>
      <c r="P20"/>
      <c r="Q20"/>
      <c r="R20"/>
      <c r="S20"/>
      <c r="T20"/>
      <c r="U20"/>
      <c r="V20"/>
    </row>
    <row r="21" spans="1:22" ht="15.75" x14ac:dyDescent="0.3">
      <c r="C21" s="18" t="s">
        <v>173</v>
      </c>
      <c r="D21" s="18"/>
      <c r="E21" s="18"/>
      <c r="F21" s="72">
        <v>1</v>
      </c>
      <c r="G21" s="75" t="s">
        <v>83</v>
      </c>
      <c r="H21" s="8"/>
      <c r="J21"/>
      <c r="K21"/>
      <c r="L21"/>
      <c r="M21"/>
      <c r="N21"/>
      <c r="O21"/>
      <c r="P21"/>
      <c r="Q21"/>
      <c r="R21"/>
      <c r="S21"/>
      <c r="T21"/>
      <c r="U21"/>
      <c r="V21"/>
    </row>
    <row r="22" spans="1:22" ht="16.5" thickBot="1" x14ac:dyDescent="0.35">
      <c r="C22" s="18" t="s">
        <v>190</v>
      </c>
      <c r="D22" s="18"/>
      <c r="E22" s="18"/>
      <c r="F22" s="14"/>
      <c r="G22" s="15"/>
      <c r="H22" s="16"/>
      <c r="J22"/>
      <c r="K22"/>
      <c r="L22"/>
      <c r="M22"/>
      <c r="N22"/>
      <c r="O22"/>
      <c r="P22"/>
      <c r="Q22"/>
      <c r="R22"/>
      <c r="S22"/>
      <c r="T22"/>
      <c r="U22"/>
      <c r="V22"/>
    </row>
    <row r="23" spans="1:22" ht="15.75" x14ac:dyDescent="0.3">
      <c r="A23" s="4" t="s">
        <v>13</v>
      </c>
      <c r="C23" s="80" t="str">
        <f>+Desarrollo!A89</f>
        <v>Rainbow Villatoro</v>
      </c>
      <c r="D23" s="5" t="s">
        <v>14</v>
      </c>
      <c r="E23" s="22" t="str">
        <f>+Desarrollo!B89</f>
        <v>Negro</v>
      </c>
      <c r="J23"/>
      <c r="K23"/>
      <c r="L23"/>
      <c r="M23"/>
      <c r="N23"/>
      <c r="O23"/>
      <c r="P23"/>
      <c r="Q23"/>
      <c r="R23"/>
      <c r="S23"/>
      <c r="T23"/>
      <c r="U23"/>
      <c r="V23"/>
    </row>
    <row r="24" spans="1:22" ht="15.75" x14ac:dyDescent="0.3">
      <c r="J24"/>
      <c r="K24"/>
      <c r="L24"/>
      <c r="M24"/>
      <c r="N24"/>
      <c r="O24"/>
      <c r="P24"/>
      <c r="Q24"/>
      <c r="R24"/>
      <c r="S24"/>
      <c r="T24"/>
      <c r="U24"/>
      <c r="V24"/>
    </row>
    <row r="25" spans="1:22" ht="15.75" x14ac:dyDescent="0.3">
      <c r="A25" s="4" t="s">
        <v>15</v>
      </c>
      <c r="C25" s="23">
        <f>+Desarrollo!C89</f>
        <v>100</v>
      </c>
      <c r="D25" s="22" t="s">
        <v>16</v>
      </c>
      <c r="E25" s="24">
        <f>+Desarrollo!E89</f>
        <v>130</v>
      </c>
      <c r="F25" s="25">
        <f>+C25</f>
        <v>100</v>
      </c>
      <c r="G25" s="26" t="s">
        <v>16</v>
      </c>
      <c r="H25" s="26">
        <f>+E25</f>
        <v>130</v>
      </c>
      <c r="J25"/>
      <c r="K25"/>
      <c r="L25"/>
      <c r="M25"/>
      <c r="N25"/>
      <c r="O25"/>
      <c r="P25"/>
      <c r="Q25"/>
      <c r="R25"/>
      <c r="S25"/>
      <c r="T25"/>
      <c r="U25"/>
      <c r="V25"/>
    </row>
    <row r="26" spans="1:22" ht="15.75" x14ac:dyDescent="0.3">
      <c r="A26" s="4" t="s">
        <v>17</v>
      </c>
      <c r="B26" s="3"/>
      <c r="C26" s="27">
        <f>+F16</f>
        <v>36.5</v>
      </c>
      <c r="D26" s="28" t="s">
        <v>16</v>
      </c>
      <c r="E26" s="27">
        <f>+H16</f>
        <v>25.1</v>
      </c>
      <c r="F26" s="29">
        <f>+E26</f>
        <v>25.1</v>
      </c>
      <c r="G26" s="29" t="s">
        <v>16</v>
      </c>
      <c r="H26" s="29">
        <f>+C26</f>
        <v>36.5</v>
      </c>
      <c r="I26" s="30"/>
      <c r="J26"/>
      <c r="K26"/>
      <c r="L26"/>
      <c r="M26"/>
      <c r="N26"/>
      <c r="O26"/>
      <c r="P26"/>
      <c r="Q26"/>
      <c r="R26"/>
      <c r="S26"/>
      <c r="T26"/>
      <c r="U26"/>
      <c r="V26"/>
    </row>
    <row r="27" spans="1:22" ht="16.5" thickBot="1" x14ac:dyDescent="0.35">
      <c r="A27" s="3" t="s">
        <v>18</v>
      </c>
      <c r="B27" s="31"/>
      <c r="C27" s="32">
        <f>+C25/C26</f>
        <v>2.7397260273972601</v>
      </c>
      <c r="D27" s="33"/>
      <c r="E27" s="32">
        <f>+E25/E26</f>
        <v>5.1792828685258963</v>
      </c>
      <c r="F27" s="32">
        <f>+F25/F26</f>
        <v>3.9840637450199199</v>
      </c>
      <c r="G27" s="33"/>
      <c r="H27" s="32">
        <f>+H25/H26</f>
        <v>3.5616438356164384</v>
      </c>
      <c r="I27" s="30"/>
      <c r="J27"/>
      <c r="K27"/>
      <c r="L27"/>
      <c r="M27"/>
      <c r="N27"/>
      <c r="O27"/>
      <c r="P27"/>
      <c r="Q27"/>
      <c r="R27"/>
      <c r="S27"/>
      <c r="T27"/>
      <c r="U27"/>
      <c r="V27"/>
    </row>
    <row r="28" spans="1:22" ht="16.5" thickBot="1" x14ac:dyDescent="0.35">
      <c r="A28" s="3" t="s">
        <v>19</v>
      </c>
      <c r="B28" s="34"/>
      <c r="C28" s="35"/>
      <c r="D28" s="36">
        <v>10</v>
      </c>
      <c r="E28" s="37"/>
      <c r="F28" s="38"/>
      <c r="G28" s="39">
        <v>9</v>
      </c>
      <c r="H28" s="40" t="s">
        <v>20</v>
      </c>
      <c r="J28"/>
      <c r="K28"/>
      <c r="L28"/>
      <c r="M28"/>
      <c r="N28"/>
      <c r="O28"/>
      <c r="P28"/>
      <c r="Q28"/>
      <c r="R28"/>
      <c r="S28"/>
      <c r="T28"/>
      <c r="U28"/>
      <c r="V28"/>
    </row>
    <row r="29" spans="1:22" ht="15.75" x14ac:dyDescent="0.3">
      <c r="A29" s="3"/>
      <c r="B29" s="21"/>
      <c r="C29" s="30"/>
      <c r="G29" s="41"/>
      <c r="H29" s="30"/>
      <c r="J29"/>
      <c r="K29"/>
      <c r="L29"/>
      <c r="M29"/>
      <c r="N29"/>
      <c r="O29"/>
      <c r="P29"/>
      <c r="Q29"/>
      <c r="R29"/>
      <c r="S29"/>
      <c r="T29"/>
      <c r="U29"/>
      <c r="V29"/>
    </row>
    <row r="30" spans="1:22" ht="15.75" x14ac:dyDescent="0.3">
      <c r="A30" s="25" t="s">
        <v>21</v>
      </c>
      <c r="B30" s="25" t="str">
        <f>+'forro caja EXT'!B30</f>
        <v>Villatoro</v>
      </c>
      <c r="D30" s="41" t="s">
        <v>22</v>
      </c>
      <c r="E30" s="42">
        <f>+Desarrollo!F96</f>
        <v>28</v>
      </c>
      <c r="F30" s="116"/>
      <c r="G30" s="1" t="s">
        <v>23</v>
      </c>
      <c r="H30" s="43">
        <v>0</v>
      </c>
      <c r="J30"/>
      <c r="K30"/>
      <c r="L30"/>
      <c r="M30"/>
      <c r="N30"/>
      <c r="O30"/>
      <c r="P30"/>
      <c r="Q30"/>
      <c r="R30"/>
      <c r="S30"/>
      <c r="T30"/>
      <c r="U30"/>
      <c r="V30"/>
    </row>
    <row r="31" spans="1:22" ht="15.75" x14ac:dyDescent="0.3">
      <c r="A31" s="3"/>
      <c r="B31" s="3"/>
      <c r="C31" s="3"/>
      <c r="D31" s="44" t="s">
        <v>24</v>
      </c>
      <c r="E31" s="42">
        <f>+H30*E30</f>
        <v>0</v>
      </c>
      <c r="H31" s="43"/>
      <c r="I31" s="30"/>
      <c r="J31"/>
      <c r="K31"/>
      <c r="L31"/>
      <c r="M31"/>
      <c r="N31"/>
      <c r="O31"/>
      <c r="P31"/>
      <c r="Q31"/>
      <c r="R31"/>
      <c r="S31"/>
      <c r="T31"/>
      <c r="U31"/>
      <c r="V31"/>
    </row>
    <row r="32" spans="1:22" ht="15.75" x14ac:dyDescent="0.3">
      <c r="D32" s="44" t="s">
        <v>25</v>
      </c>
      <c r="E32" s="45">
        <f>+E30-E31</f>
        <v>28</v>
      </c>
      <c r="I32" s="30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2" ht="15.75" x14ac:dyDescent="0.3">
      <c r="E33" s="21" t="s">
        <v>27</v>
      </c>
      <c r="F33" s="21" t="s">
        <v>28</v>
      </c>
      <c r="G33" s="21" t="s">
        <v>28</v>
      </c>
      <c r="H33" s="21" t="s">
        <v>28</v>
      </c>
      <c r="I33" s="30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2" ht="15.75" x14ac:dyDescent="0.3">
      <c r="D34" s="41" t="s">
        <v>29</v>
      </c>
      <c r="E34" s="47">
        <f>+E32</f>
        <v>28</v>
      </c>
      <c r="F34" s="47">
        <v>0</v>
      </c>
      <c r="G34" s="47">
        <v>0</v>
      </c>
      <c r="H34" s="47">
        <v>0</v>
      </c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2" ht="15.75" x14ac:dyDescent="0.3">
      <c r="D35" s="41" t="s">
        <v>30</v>
      </c>
      <c r="E35" s="47">
        <f>+E34*1.1</f>
        <v>30.800000000000004</v>
      </c>
      <c r="F35" s="47">
        <v>0</v>
      </c>
      <c r="G35" s="47">
        <v>0</v>
      </c>
      <c r="H35" s="47">
        <v>0</v>
      </c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2" ht="16.5" thickBot="1" x14ac:dyDescent="0.35">
      <c r="A36" s="3"/>
      <c r="G36" s="41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2" ht="15.75" x14ac:dyDescent="0.3">
      <c r="A37" s="3"/>
      <c r="B37" s="21"/>
      <c r="C37" s="30"/>
      <c r="E37" s="11" t="s">
        <v>32</v>
      </c>
      <c r="F37" s="12" t="s">
        <v>33</v>
      </c>
      <c r="G37" s="12"/>
      <c r="H37" s="13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2" ht="16.5" thickBot="1" x14ac:dyDescent="0.35">
      <c r="A38" s="4" t="s">
        <v>34</v>
      </c>
      <c r="C38" s="48">
        <v>10</v>
      </c>
      <c r="D38" s="49" t="s">
        <v>35</v>
      </c>
      <c r="E38" s="14"/>
      <c r="F38" s="15" t="s">
        <v>36</v>
      </c>
      <c r="G38" s="15"/>
      <c r="H38" s="16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2" ht="15.75" x14ac:dyDescent="0.3">
      <c r="A39" s="4"/>
      <c r="C39" s="21"/>
      <c r="D39" s="1" t="s">
        <v>37</v>
      </c>
      <c r="E39" s="3"/>
      <c r="F39" s="3"/>
      <c r="J39"/>
      <c r="K39"/>
      <c r="L39"/>
      <c r="M39"/>
      <c r="N39"/>
      <c r="O39"/>
      <c r="P39"/>
      <c r="Q39"/>
      <c r="R39"/>
      <c r="S39"/>
      <c r="T39"/>
      <c r="U39"/>
      <c r="V39"/>
    </row>
    <row r="40" spans="1:22" ht="15.75" x14ac:dyDescent="0.3">
      <c r="A40" s="4" t="s">
        <v>38</v>
      </c>
      <c r="B40" s="5"/>
      <c r="C40" s="50">
        <f>+B48/F17</f>
        <v>2000</v>
      </c>
      <c r="D40" s="24">
        <f>+Desarrollo!D7</f>
        <v>100</v>
      </c>
      <c r="F40" s="44" t="s">
        <v>39</v>
      </c>
      <c r="G40" s="23">
        <v>1</v>
      </c>
      <c r="H40" s="3"/>
      <c r="J40"/>
      <c r="K40"/>
      <c r="L40"/>
      <c r="M40"/>
      <c r="N40"/>
      <c r="O40"/>
      <c r="P40"/>
      <c r="Q40"/>
      <c r="R40"/>
      <c r="S40"/>
      <c r="T40"/>
      <c r="U40"/>
      <c r="V40"/>
    </row>
    <row r="41" spans="1:22" ht="15.75" x14ac:dyDescent="0.3">
      <c r="A41" s="4" t="s">
        <v>40</v>
      </c>
      <c r="C41" s="34">
        <f>+C40+D40</f>
        <v>2100</v>
      </c>
      <c r="F41" s="44" t="s">
        <v>41</v>
      </c>
      <c r="G41" s="23">
        <v>2</v>
      </c>
      <c r="H41" s="3"/>
      <c r="J41"/>
      <c r="K41"/>
      <c r="L41"/>
      <c r="M41"/>
      <c r="N41"/>
      <c r="O41"/>
      <c r="P41"/>
      <c r="Q41"/>
      <c r="R41"/>
      <c r="S41"/>
      <c r="T41"/>
      <c r="U41"/>
      <c r="V41"/>
    </row>
    <row r="42" spans="1:22" ht="15.75" x14ac:dyDescent="0.3">
      <c r="A42" s="4" t="s">
        <v>42</v>
      </c>
      <c r="C42" s="34">
        <f>+C41/C38</f>
        <v>210</v>
      </c>
      <c r="F42" s="44" t="s">
        <v>43</v>
      </c>
      <c r="G42" s="23"/>
      <c r="H42" s="3"/>
      <c r="J42"/>
      <c r="K42"/>
      <c r="L42"/>
      <c r="M42"/>
      <c r="N42"/>
      <c r="O42"/>
      <c r="P42"/>
      <c r="Q42"/>
      <c r="R42"/>
      <c r="S42"/>
      <c r="T42"/>
      <c r="U42"/>
      <c r="V42"/>
    </row>
    <row r="43" spans="1:22" ht="15.75" x14ac:dyDescent="0.3">
      <c r="A43" s="4" t="s">
        <v>92</v>
      </c>
      <c r="C43" s="21">
        <f>+(C42*C38)*F17</f>
        <v>2100</v>
      </c>
      <c r="F43" s="41" t="s">
        <v>44</v>
      </c>
      <c r="G43" s="23">
        <f>+C40/1000</f>
        <v>2</v>
      </c>
      <c r="H43" s="3"/>
      <c r="J43"/>
      <c r="K43"/>
      <c r="L43"/>
      <c r="M43"/>
      <c r="N43"/>
      <c r="O43"/>
      <c r="P43"/>
      <c r="Q43"/>
      <c r="R43"/>
      <c r="S43"/>
      <c r="T43"/>
      <c r="U43"/>
      <c r="V43"/>
    </row>
    <row r="44" spans="1:22" ht="15.75" x14ac:dyDescent="0.3">
      <c r="A44" s="4"/>
      <c r="C44" s="51"/>
      <c r="F44" s="44" t="s">
        <v>45</v>
      </c>
      <c r="G44" s="48">
        <f>+C41</f>
        <v>2100</v>
      </c>
      <c r="H44" s="3"/>
      <c r="J44"/>
      <c r="K44"/>
      <c r="L44"/>
      <c r="M44"/>
      <c r="N44"/>
      <c r="O44"/>
      <c r="P44"/>
      <c r="Q44"/>
      <c r="R44"/>
      <c r="S44"/>
      <c r="T44"/>
      <c r="U44"/>
      <c r="V44"/>
    </row>
    <row r="45" spans="1:22" ht="15.75" x14ac:dyDescent="0.3">
      <c r="A45" s="4"/>
      <c r="C45" s="21"/>
      <c r="E45" s="44"/>
      <c r="F45" s="44"/>
      <c r="G45" s="30"/>
      <c r="I45" s="3"/>
      <c r="J45"/>
      <c r="K45"/>
      <c r="L45"/>
      <c r="M45"/>
      <c r="N45"/>
      <c r="O45"/>
      <c r="P45"/>
      <c r="Q45"/>
      <c r="R45"/>
      <c r="S45"/>
      <c r="T45"/>
      <c r="U45"/>
      <c r="V45"/>
    </row>
    <row r="46" spans="1:22" ht="15.75" x14ac:dyDescent="0.3">
      <c r="A46" s="4" t="s">
        <v>46</v>
      </c>
      <c r="C46" s="25">
        <f>+C42*C38</f>
        <v>2100</v>
      </c>
      <c r="F46" s="44"/>
      <c r="G46" s="30"/>
      <c r="H46" s="3"/>
      <c r="J46"/>
      <c r="K46"/>
      <c r="L46"/>
      <c r="M46"/>
      <c r="N46"/>
      <c r="O46"/>
      <c r="P46"/>
      <c r="Q46"/>
      <c r="R46"/>
      <c r="S46"/>
      <c r="T46"/>
      <c r="U46"/>
      <c r="V46"/>
    </row>
    <row r="47" spans="1:22" ht="15.75" x14ac:dyDescent="0.3">
      <c r="A47" s="3"/>
      <c r="B47" s="3"/>
      <c r="C47" s="3"/>
      <c r="D47" s="3"/>
      <c r="E47" s="3"/>
      <c r="H47" s="3"/>
      <c r="J47"/>
      <c r="K47"/>
      <c r="L47"/>
      <c r="M47"/>
      <c r="N47"/>
      <c r="O47"/>
      <c r="P47"/>
      <c r="Q47"/>
      <c r="R47"/>
      <c r="S47"/>
      <c r="T47"/>
      <c r="U47"/>
      <c r="V47"/>
    </row>
    <row r="48" spans="1:22" ht="15.75" x14ac:dyDescent="0.3">
      <c r="A48" s="4" t="s">
        <v>77</v>
      </c>
      <c r="B48" s="21">
        <f>+'cartón caja'!B48</f>
        <v>2000</v>
      </c>
      <c r="C48" s="21"/>
      <c r="D48" s="25" t="s">
        <v>47</v>
      </c>
      <c r="E48" s="25" t="s">
        <v>48</v>
      </c>
      <c r="F48" s="25" t="s">
        <v>49</v>
      </c>
      <c r="G48" s="25" t="s">
        <v>50</v>
      </c>
      <c r="H48" s="25" t="s">
        <v>51</v>
      </c>
      <c r="J48"/>
      <c r="K48"/>
      <c r="L48"/>
      <c r="M48"/>
      <c r="N48"/>
      <c r="O48"/>
      <c r="P48"/>
      <c r="Q48"/>
      <c r="R48"/>
      <c r="S48"/>
      <c r="T48"/>
      <c r="U48"/>
      <c r="V48"/>
    </row>
    <row r="49" spans="1:22" ht="15.75" x14ac:dyDescent="0.3">
      <c r="A49" s="52" t="s">
        <v>52</v>
      </c>
      <c r="B49" s="53"/>
      <c r="C49" s="3"/>
      <c r="D49" s="21">
        <v>2</v>
      </c>
      <c r="E49" s="21">
        <v>1</v>
      </c>
      <c r="F49" s="21" t="s">
        <v>53</v>
      </c>
      <c r="G49" s="30">
        <f>185+145</f>
        <v>330</v>
      </c>
      <c r="H49" s="30">
        <f>+(D49*E49)*G49</f>
        <v>660</v>
      </c>
      <c r="J49"/>
      <c r="K49"/>
      <c r="L49"/>
      <c r="M49"/>
      <c r="N49"/>
      <c r="O49"/>
      <c r="P49"/>
      <c r="Q49"/>
      <c r="R49"/>
      <c r="S49"/>
      <c r="T49"/>
      <c r="U49"/>
      <c r="V49"/>
    </row>
    <row r="50" spans="1:22" ht="15.75" x14ac:dyDescent="0.3">
      <c r="A50" s="53" t="s">
        <v>54</v>
      </c>
      <c r="B50" s="54">
        <f>+E34*C42</f>
        <v>5880</v>
      </c>
      <c r="C50" s="3"/>
      <c r="D50" s="21">
        <v>2</v>
      </c>
      <c r="E50" s="21">
        <v>20</v>
      </c>
      <c r="F50" s="21" t="s">
        <v>78</v>
      </c>
      <c r="G50" s="30">
        <v>120</v>
      </c>
      <c r="H50" s="30">
        <f>+(D50*E50)*G50</f>
        <v>4800</v>
      </c>
      <c r="J50"/>
      <c r="K50"/>
      <c r="L50"/>
      <c r="M50"/>
      <c r="N50"/>
      <c r="O50"/>
      <c r="P50"/>
      <c r="Q50"/>
      <c r="R50"/>
      <c r="S50"/>
      <c r="T50"/>
      <c r="U50"/>
      <c r="V50"/>
    </row>
    <row r="51" spans="1:22" ht="15.75" x14ac:dyDescent="0.3">
      <c r="A51" s="53" t="s">
        <v>12</v>
      </c>
      <c r="B51" s="54">
        <f>+H61</f>
        <v>5760</v>
      </c>
      <c r="C51" s="3"/>
      <c r="D51" s="21">
        <v>0</v>
      </c>
      <c r="E51" s="21">
        <v>0</v>
      </c>
      <c r="F51" s="21" t="s">
        <v>84</v>
      </c>
      <c r="G51" s="30">
        <v>500</v>
      </c>
      <c r="H51" s="30">
        <f>+G51*E51*D51</f>
        <v>0</v>
      </c>
      <c r="J51"/>
      <c r="K51"/>
      <c r="L51"/>
      <c r="M51"/>
      <c r="N51"/>
      <c r="O51"/>
      <c r="P51"/>
      <c r="Q51"/>
      <c r="R51"/>
      <c r="S51"/>
      <c r="T51"/>
      <c r="U51"/>
      <c r="V51"/>
    </row>
    <row r="52" spans="1:22" ht="15.75" x14ac:dyDescent="0.3">
      <c r="A52" s="53"/>
      <c r="B52" s="54"/>
      <c r="C52" s="3"/>
      <c r="D52" s="21">
        <v>1</v>
      </c>
      <c r="E52" s="21">
        <v>1</v>
      </c>
      <c r="F52" s="21" t="s">
        <v>99</v>
      </c>
      <c r="G52" s="30">
        <v>300</v>
      </c>
      <c r="H52" s="30">
        <f t="shared" ref="H52:H59" si="0">+G52*E52</f>
        <v>300</v>
      </c>
      <c r="I52" s="63">
        <f>+(B73/100)*2</f>
        <v>267.60000000000002</v>
      </c>
      <c r="J52"/>
      <c r="K52"/>
      <c r="L52"/>
      <c r="M52"/>
      <c r="N52"/>
      <c r="O52"/>
      <c r="P52"/>
      <c r="Q52"/>
      <c r="R52"/>
      <c r="S52"/>
      <c r="T52"/>
      <c r="U52"/>
      <c r="V52"/>
    </row>
    <row r="53" spans="1:22" ht="16.5" x14ac:dyDescent="0.3">
      <c r="A53" s="53" t="s">
        <v>26</v>
      </c>
      <c r="B53" s="54">
        <v>0</v>
      </c>
      <c r="C53" s="3"/>
      <c r="D53" s="21">
        <v>0</v>
      </c>
      <c r="E53" s="21">
        <v>0</v>
      </c>
      <c r="F53" s="21" t="s">
        <v>79</v>
      </c>
      <c r="G53" s="30">
        <v>145</v>
      </c>
      <c r="H53" s="30">
        <f t="shared" si="0"/>
        <v>0</v>
      </c>
      <c r="I53" s="55"/>
      <c r="J53"/>
      <c r="K53"/>
      <c r="L53"/>
      <c r="M53"/>
      <c r="N53"/>
      <c r="O53"/>
      <c r="P53"/>
      <c r="Q53"/>
      <c r="R53"/>
      <c r="S53"/>
      <c r="T53"/>
      <c r="U53"/>
      <c r="V53"/>
    </row>
    <row r="54" spans="1:22" ht="15.75" x14ac:dyDescent="0.3">
      <c r="A54" s="56" t="s">
        <v>121</v>
      </c>
      <c r="B54" s="54">
        <v>0</v>
      </c>
      <c r="C54" s="3"/>
      <c r="D54" s="21">
        <v>0</v>
      </c>
      <c r="E54" s="21">
        <v>0</v>
      </c>
      <c r="F54" s="21" t="s">
        <v>80</v>
      </c>
      <c r="G54" s="30">
        <v>145</v>
      </c>
      <c r="H54" s="30">
        <f t="shared" si="0"/>
        <v>0</v>
      </c>
      <c r="J54"/>
      <c r="K54"/>
      <c r="L54"/>
      <c r="M54"/>
      <c r="N54"/>
      <c r="O54"/>
      <c r="P54"/>
      <c r="Q54"/>
      <c r="R54"/>
      <c r="S54"/>
      <c r="T54"/>
      <c r="U54"/>
      <c r="V54"/>
    </row>
    <row r="55" spans="1:22" ht="15.75" x14ac:dyDescent="0.3">
      <c r="A55" s="56" t="s">
        <v>98</v>
      </c>
      <c r="B55" s="54">
        <v>0</v>
      </c>
      <c r="D55" s="21">
        <v>0</v>
      </c>
      <c r="E55" s="21">
        <v>0</v>
      </c>
      <c r="F55" s="21" t="s">
        <v>96</v>
      </c>
      <c r="G55" s="30">
        <v>120</v>
      </c>
      <c r="H55" s="30">
        <f>+G55*E55</f>
        <v>0</v>
      </c>
      <c r="J55"/>
      <c r="K55"/>
      <c r="L55"/>
      <c r="M55"/>
      <c r="N55"/>
      <c r="O55"/>
      <c r="P55"/>
      <c r="Q55"/>
      <c r="R55"/>
      <c r="S55"/>
      <c r="T55"/>
      <c r="U55"/>
      <c r="V55"/>
    </row>
    <row r="56" spans="1:22" ht="15.75" x14ac:dyDescent="0.3">
      <c r="A56" s="56" t="s">
        <v>97</v>
      </c>
      <c r="B56" s="54">
        <v>0</v>
      </c>
      <c r="D56" s="21">
        <v>0</v>
      </c>
      <c r="E56" s="21">
        <v>0</v>
      </c>
      <c r="F56" s="21" t="s">
        <v>31</v>
      </c>
      <c r="G56" s="30">
        <v>1.5</v>
      </c>
      <c r="H56" s="30">
        <f>+G56*E56</f>
        <v>0</v>
      </c>
      <c r="J56"/>
      <c r="K56"/>
      <c r="L56"/>
      <c r="M56"/>
      <c r="N56"/>
      <c r="O56"/>
      <c r="P56"/>
      <c r="Q56"/>
      <c r="R56"/>
      <c r="S56"/>
      <c r="T56"/>
      <c r="U56"/>
      <c r="V56"/>
    </row>
    <row r="57" spans="1:22" ht="15.75" x14ac:dyDescent="0.3">
      <c r="A57" s="56"/>
      <c r="B57" s="56"/>
      <c r="D57" s="21">
        <v>0</v>
      </c>
      <c r="E57" s="21">
        <v>0</v>
      </c>
      <c r="F57" s="21" t="s">
        <v>106</v>
      </c>
      <c r="G57" s="30">
        <f>+E83</f>
        <v>3007.7614349999999</v>
      </c>
      <c r="H57" s="30">
        <f t="shared" ref="H57" si="1">+G57*E57</f>
        <v>0</v>
      </c>
      <c r="J57"/>
      <c r="K57"/>
      <c r="L57"/>
      <c r="M57"/>
      <c r="N57"/>
      <c r="O57"/>
      <c r="P57"/>
      <c r="Q57"/>
      <c r="R57"/>
      <c r="S57"/>
      <c r="T57"/>
      <c r="U57"/>
      <c r="V57"/>
    </row>
    <row r="58" spans="1:22" ht="15.75" x14ac:dyDescent="0.3">
      <c r="A58" s="52" t="s">
        <v>58</v>
      </c>
      <c r="B58" s="57">
        <f>SUM(B50:B57)</f>
        <v>11640</v>
      </c>
      <c r="C58" s="3"/>
      <c r="D58" s="21">
        <v>0</v>
      </c>
      <c r="E58" s="21">
        <v>0</v>
      </c>
      <c r="F58" s="3" t="s">
        <v>59</v>
      </c>
      <c r="G58" s="30">
        <f>+E80</f>
        <v>1687.5599999999997</v>
      </c>
      <c r="H58" s="30">
        <f t="shared" si="0"/>
        <v>0</v>
      </c>
      <c r="J58"/>
      <c r="K58"/>
      <c r="L58"/>
      <c r="M58"/>
      <c r="N58"/>
      <c r="O58"/>
      <c r="P58"/>
      <c r="Q58"/>
      <c r="R58"/>
      <c r="S58"/>
      <c r="T58"/>
      <c r="U58"/>
      <c r="V58"/>
    </row>
    <row r="59" spans="1:22" ht="15.75" x14ac:dyDescent="0.3">
      <c r="A59" s="9"/>
      <c r="B59" s="58"/>
      <c r="C59" s="3"/>
      <c r="D59" s="21"/>
      <c r="E59" s="21"/>
      <c r="F59" s="3"/>
      <c r="G59" s="3"/>
      <c r="H59" s="30">
        <f t="shared" si="0"/>
        <v>0</v>
      </c>
      <c r="J59"/>
      <c r="K59"/>
      <c r="L59"/>
      <c r="M59"/>
      <c r="N59"/>
      <c r="O59"/>
      <c r="P59"/>
      <c r="Q59"/>
      <c r="R59"/>
      <c r="S59"/>
      <c r="T59"/>
      <c r="U59"/>
      <c r="V59"/>
    </row>
    <row r="60" spans="1:22" ht="15.75" x14ac:dyDescent="0.3">
      <c r="A60" s="9"/>
      <c r="B60" s="32">
        <f>+B58/B48</f>
        <v>5.82</v>
      </c>
      <c r="C60" s="4" t="s">
        <v>61</v>
      </c>
      <c r="D60" s="3"/>
      <c r="E60" s="3"/>
      <c r="F60" s="3"/>
      <c r="G60" s="3"/>
      <c r="J60"/>
      <c r="K60"/>
      <c r="L60"/>
      <c r="M60"/>
      <c r="N60"/>
      <c r="O60"/>
      <c r="P60"/>
      <c r="Q60"/>
      <c r="R60"/>
      <c r="S60"/>
      <c r="T60"/>
      <c r="U60"/>
      <c r="V60"/>
    </row>
    <row r="61" spans="1:22" ht="15.75" x14ac:dyDescent="0.3">
      <c r="A61" s="3"/>
      <c r="B61" s="3"/>
      <c r="D61" s="3"/>
      <c r="E61" s="3"/>
      <c r="F61" s="3"/>
      <c r="G61" s="61" t="s">
        <v>62</v>
      </c>
      <c r="H61" s="30">
        <f>SUM(H49:H60)</f>
        <v>5760</v>
      </c>
      <c r="J61"/>
      <c r="K61"/>
      <c r="L61"/>
      <c r="M61"/>
      <c r="N61"/>
      <c r="O61"/>
      <c r="P61"/>
      <c r="Q61"/>
      <c r="R61"/>
      <c r="S61"/>
      <c r="T61"/>
      <c r="U61"/>
      <c r="V61"/>
    </row>
    <row r="62" spans="1:22" ht="15.75" x14ac:dyDescent="0.3">
      <c r="D62" s="3"/>
      <c r="E62" s="3"/>
      <c r="G62" s="5" t="s">
        <v>63</v>
      </c>
      <c r="H62" s="76">
        <f>+'cartón caja'!H62</f>
        <v>1.2</v>
      </c>
      <c r="J62"/>
      <c r="K62"/>
      <c r="L62"/>
      <c r="M62"/>
      <c r="N62"/>
      <c r="O62"/>
      <c r="P62"/>
      <c r="Q62"/>
      <c r="R62"/>
      <c r="S62"/>
      <c r="T62"/>
      <c r="U62"/>
      <c r="V62"/>
    </row>
    <row r="63" spans="1:22" ht="15.75" x14ac:dyDescent="0.3">
      <c r="A63" s="4" t="s">
        <v>65</v>
      </c>
      <c r="B63" s="3"/>
      <c r="C63" s="3"/>
      <c r="E63" s="32">
        <f>+B73/C40</f>
        <v>6.69</v>
      </c>
      <c r="G63" s="1" t="s">
        <v>66</v>
      </c>
      <c r="H63" s="62">
        <v>1.75</v>
      </c>
      <c r="J63"/>
      <c r="K63"/>
      <c r="L63"/>
      <c r="M63"/>
      <c r="N63"/>
      <c r="O63"/>
      <c r="P63"/>
      <c r="Q63"/>
      <c r="R63"/>
      <c r="S63"/>
      <c r="T63"/>
      <c r="U63"/>
      <c r="V63"/>
    </row>
    <row r="64" spans="1:22" ht="15.75" x14ac:dyDescent="0.3">
      <c r="A64" s="3"/>
      <c r="B64" s="4" t="s">
        <v>68</v>
      </c>
      <c r="C64" s="25" t="s">
        <v>69</v>
      </c>
      <c r="D64" s="3"/>
      <c r="E64" s="3"/>
      <c r="F64" s="3"/>
      <c r="G64" s="1" t="s">
        <v>66</v>
      </c>
      <c r="H64" s="62">
        <v>2</v>
      </c>
      <c r="J64"/>
      <c r="K64"/>
      <c r="L64"/>
      <c r="M64"/>
      <c r="N64"/>
      <c r="O64"/>
      <c r="P64"/>
      <c r="Q64"/>
      <c r="R64"/>
      <c r="S64"/>
      <c r="T64"/>
      <c r="U64"/>
      <c r="V64"/>
    </row>
    <row r="65" spans="1:22" ht="15.75" x14ac:dyDescent="0.3">
      <c r="A65" s="52" t="s">
        <v>71</v>
      </c>
      <c r="B65" s="53"/>
      <c r="C65" s="3"/>
      <c r="D65" s="3">
        <f>+B73*C69</f>
        <v>0</v>
      </c>
      <c r="E65" s="3"/>
      <c r="F65" s="3"/>
      <c r="G65" s="5" t="s">
        <v>81</v>
      </c>
      <c r="H65" s="62">
        <v>2.5</v>
      </c>
      <c r="J65"/>
      <c r="K65"/>
      <c r="L65"/>
      <c r="M65"/>
      <c r="N65"/>
      <c r="O65"/>
      <c r="P65"/>
      <c r="Q65"/>
      <c r="R65"/>
      <c r="S65"/>
      <c r="T65"/>
      <c r="U65"/>
      <c r="V65"/>
    </row>
    <row r="66" spans="1:22" ht="15.75" x14ac:dyDescent="0.3">
      <c r="A66" s="53" t="s">
        <v>54</v>
      </c>
      <c r="B66" s="54">
        <f>+E35*C42</f>
        <v>6468.0000000000009</v>
      </c>
      <c r="C66" s="63"/>
      <c r="J66"/>
      <c r="K66"/>
      <c r="L66"/>
      <c r="M66"/>
      <c r="N66"/>
      <c r="O66"/>
      <c r="P66"/>
      <c r="Q66"/>
      <c r="R66"/>
      <c r="S66"/>
      <c r="T66"/>
      <c r="U66"/>
      <c r="V66"/>
    </row>
    <row r="67" spans="1:22" ht="15.75" x14ac:dyDescent="0.3">
      <c r="A67" s="53" t="s">
        <v>12</v>
      </c>
      <c r="B67" s="54">
        <f>+H61*H62</f>
        <v>6912</v>
      </c>
      <c r="C67" s="63"/>
      <c r="J67"/>
      <c r="K67"/>
      <c r="L67"/>
      <c r="M67"/>
      <c r="N67"/>
      <c r="O67"/>
      <c r="P67"/>
      <c r="Q67"/>
      <c r="R67"/>
      <c r="S67"/>
      <c r="T67"/>
      <c r="U67"/>
      <c r="V67"/>
    </row>
    <row r="68" spans="1:22" ht="15.75" x14ac:dyDescent="0.3">
      <c r="A68" s="53" t="str">
        <f>+A53</f>
        <v>Tabla de suaje</v>
      </c>
      <c r="B68" s="54">
        <f>+B53*H62</f>
        <v>0</v>
      </c>
      <c r="C68" s="63"/>
      <c r="J68"/>
      <c r="K68"/>
      <c r="L68"/>
      <c r="M68"/>
      <c r="N68"/>
      <c r="O68"/>
      <c r="P68"/>
      <c r="Q68"/>
      <c r="R68"/>
      <c r="S68"/>
      <c r="T68"/>
      <c r="U68"/>
      <c r="V68"/>
    </row>
    <row r="69" spans="1:22" ht="15.75" x14ac:dyDescent="0.3">
      <c r="A69" s="53" t="str">
        <f>+A54</f>
        <v>Pruebas de color</v>
      </c>
      <c r="B69" s="54">
        <f>+B54*H62</f>
        <v>0</v>
      </c>
      <c r="C69" s="63"/>
      <c r="J69"/>
      <c r="K69"/>
      <c r="L69"/>
      <c r="M69"/>
      <c r="N69"/>
      <c r="O69"/>
      <c r="P69"/>
      <c r="Q69"/>
      <c r="R69"/>
      <c r="S69"/>
      <c r="T69"/>
      <c r="U69"/>
      <c r="V69"/>
    </row>
    <row r="70" spans="1:22" ht="15.75" x14ac:dyDescent="0.3">
      <c r="A70" s="53" t="str">
        <f>+A55</f>
        <v>Imán</v>
      </c>
      <c r="B70" s="54">
        <f>+B55*H62</f>
        <v>0</v>
      </c>
      <c r="C70" s="63"/>
      <c r="F70" s="64" t="s">
        <v>73</v>
      </c>
      <c r="G70" s="32">
        <f>+B60</f>
        <v>5.82</v>
      </c>
      <c r="H70" s="65">
        <f>+G70*B48</f>
        <v>11640</v>
      </c>
      <c r="J70"/>
      <c r="K70"/>
      <c r="L70"/>
      <c r="M70"/>
      <c r="N70"/>
      <c r="O70"/>
      <c r="P70"/>
      <c r="Q70"/>
      <c r="R70"/>
      <c r="S70"/>
      <c r="T70"/>
      <c r="U70"/>
      <c r="V70"/>
    </row>
    <row r="71" spans="1:22" ht="15.75" x14ac:dyDescent="0.3">
      <c r="A71" s="53" t="str">
        <f>+A56</f>
        <v>Encuadernación</v>
      </c>
      <c r="B71" s="54">
        <f>+B56*H62</f>
        <v>0</v>
      </c>
      <c r="C71" s="66"/>
      <c r="F71" s="64" t="s">
        <v>75</v>
      </c>
      <c r="G71" s="32">
        <f>+C73</f>
        <v>6.69</v>
      </c>
      <c r="H71" s="65">
        <f>+G71*B48</f>
        <v>13380</v>
      </c>
      <c r="J71"/>
      <c r="K71"/>
      <c r="L71"/>
      <c r="M71"/>
      <c r="N71"/>
      <c r="O71"/>
      <c r="P71"/>
      <c r="Q71"/>
      <c r="R71"/>
      <c r="S71"/>
      <c r="T71"/>
      <c r="U71"/>
      <c r="V71"/>
    </row>
    <row r="72" spans="1:22" ht="15.75" x14ac:dyDescent="0.3">
      <c r="A72" s="53"/>
      <c r="B72" s="54"/>
      <c r="C72" s="66"/>
      <c r="F72" s="67" t="s">
        <v>76</v>
      </c>
      <c r="G72" s="68">
        <f>+G71-G70</f>
        <v>0.87000000000000011</v>
      </c>
      <c r="H72" s="82">
        <f>+G72*B48</f>
        <v>1740.0000000000002</v>
      </c>
      <c r="J72"/>
      <c r="K72"/>
      <c r="L72"/>
      <c r="M72"/>
      <c r="N72"/>
      <c r="O72"/>
      <c r="P72"/>
      <c r="Q72"/>
      <c r="R72"/>
      <c r="S72"/>
      <c r="T72"/>
      <c r="U72"/>
      <c r="V72"/>
    </row>
    <row r="73" spans="1:22" ht="15.75" x14ac:dyDescent="0.3">
      <c r="A73" s="52" t="s">
        <v>58</v>
      </c>
      <c r="B73" s="57">
        <f>SUM(B65:B72)</f>
        <v>13380</v>
      </c>
      <c r="C73" s="68">
        <f>+B73/B48</f>
        <v>6.69</v>
      </c>
      <c r="D73" s="5" t="s">
        <v>172</v>
      </c>
      <c r="J73"/>
      <c r="K73"/>
      <c r="L73"/>
      <c r="M73"/>
      <c r="N73"/>
      <c r="O73"/>
      <c r="P73"/>
      <c r="Q73"/>
      <c r="R73"/>
      <c r="S73"/>
      <c r="T73"/>
      <c r="U73"/>
      <c r="V73"/>
    </row>
    <row r="74" spans="1:22" x14ac:dyDescent="0.3">
      <c r="C74" s="77"/>
      <c r="D74" s="5"/>
    </row>
    <row r="75" spans="1:22" x14ac:dyDescent="0.3">
      <c r="C75" s="77"/>
      <c r="D75" s="5"/>
    </row>
    <row r="76" spans="1:22" x14ac:dyDescent="0.3">
      <c r="A76" s="5"/>
      <c r="C76" s="65"/>
      <c r="D76" s="5"/>
    </row>
    <row r="77" spans="1:22" ht="15" thickBot="1" x14ac:dyDescent="0.35">
      <c r="A77" s="5" t="s">
        <v>170</v>
      </c>
    </row>
    <row r="78" spans="1:22" x14ac:dyDescent="0.3">
      <c r="A78" s="11" t="s">
        <v>102</v>
      </c>
      <c r="B78" s="12"/>
      <c r="C78" s="12"/>
      <c r="D78" s="12"/>
      <c r="E78" s="12"/>
      <c r="F78" s="12"/>
      <c r="G78" s="13"/>
    </row>
    <row r="79" spans="1:22" x14ac:dyDescent="0.3">
      <c r="A79" s="46">
        <f>+F16</f>
        <v>36.5</v>
      </c>
      <c r="B79" s="73">
        <f>+H16</f>
        <v>25.1</v>
      </c>
      <c r="C79" s="7" t="s">
        <v>101</v>
      </c>
      <c r="D79" s="73" t="s">
        <v>103</v>
      </c>
      <c r="E79" s="7" t="s">
        <v>104</v>
      </c>
      <c r="F79" s="92" t="s">
        <v>122</v>
      </c>
      <c r="G79" s="118">
        <v>550</v>
      </c>
    </row>
    <row r="80" spans="1:22" x14ac:dyDescent="0.3">
      <c r="A80" s="46">
        <f>0.574*0.35*C41</f>
        <v>421.88999999999993</v>
      </c>
      <c r="B80" s="78">
        <v>4</v>
      </c>
      <c r="C80" s="78">
        <f>+A80*B80</f>
        <v>1687.5599999999997</v>
      </c>
      <c r="D80" s="78">
        <v>0</v>
      </c>
      <c r="E80" s="119">
        <f>+C80+D80</f>
        <v>1687.5599999999997</v>
      </c>
      <c r="F80" s="75" t="s">
        <v>167</v>
      </c>
      <c r="G80" s="8"/>
    </row>
    <row r="81" spans="1:18" x14ac:dyDescent="0.3">
      <c r="A81" s="6"/>
      <c r="B81" s="78"/>
      <c r="C81" s="78"/>
      <c r="D81" s="78"/>
      <c r="E81" s="78"/>
      <c r="F81" s="7"/>
      <c r="G81" s="8"/>
      <c r="J81" s="71"/>
    </row>
    <row r="82" spans="1:18" x14ac:dyDescent="0.3">
      <c r="A82" s="46">
        <f>+A79</f>
        <v>36.5</v>
      </c>
      <c r="B82" s="73">
        <f>+B79</f>
        <v>25.1</v>
      </c>
      <c r="C82" s="7" t="s">
        <v>101</v>
      </c>
      <c r="D82" s="73" t="s">
        <v>103</v>
      </c>
      <c r="E82" s="7" t="s">
        <v>104</v>
      </c>
      <c r="F82" s="92" t="s">
        <v>122</v>
      </c>
      <c r="G82" s="118">
        <v>550</v>
      </c>
    </row>
    <row r="83" spans="1:18" x14ac:dyDescent="0.3">
      <c r="A83" s="46">
        <f>0.463*0.503*C41</f>
        <v>489.06690000000003</v>
      </c>
      <c r="B83" s="78">
        <f>4.1*1.5</f>
        <v>6.1499999999999995</v>
      </c>
      <c r="C83" s="78">
        <f>+A83*B83</f>
        <v>3007.7614349999999</v>
      </c>
      <c r="D83" s="78">
        <v>0</v>
      </c>
      <c r="E83" s="119">
        <f>+C83+D83</f>
        <v>3007.7614349999999</v>
      </c>
      <c r="F83" s="75" t="s">
        <v>166</v>
      </c>
      <c r="G83" s="8"/>
    </row>
    <row r="84" spans="1:18" x14ac:dyDescent="0.3">
      <c r="A84" s="6"/>
      <c r="B84" s="7"/>
      <c r="C84" s="78"/>
      <c r="D84" s="78"/>
      <c r="E84" s="78"/>
      <c r="F84" s="78"/>
      <c r="G84" s="8"/>
    </row>
    <row r="85" spans="1:18" ht="15" thickBot="1" x14ac:dyDescent="0.35">
      <c r="A85" s="14"/>
      <c r="B85" s="15"/>
      <c r="C85" s="15"/>
      <c r="D85" s="15"/>
      <c r="E85" s="15"/>
      <c r="F85" s="15"/>
      <c r="G85" s="16"/>
    </row>
    <row r="87" spans="1:18" ht="16.5" x14ac:dyDescent="0.3">
      <c r="J87" s="55"/>
      <c r="K87" s="55"/>
      <c r="L87" s="55"/>
      <c r="M87" s="55"/>
      <c r="N87" s="55"/>
      <c r="O87" s="55"/>
      <c r="P87" s="55"/>
      <c r="Q87" s="55"/>
      <c r="R87" s="55"/>
    </row>
    <row r="88" spans="1:18" ht="16.5" x14ac:dyDescent="0.3">
      <c r="J88" s="55"/>
      <c r="K88" s="55"/>
      <c r="L88" s="55"/>
      <c r="M88" s="55"/>
      <c r="N88" s="55"/>
      <c r="O88" s="55"/>
      <c r="P88" s="55"/>
      <c r="Q88" s="55"/>
      <c r="R88" s="55"/>
    </row>
    <row r="89" spans="1:18" ht="16.5" x14ac:dyDescent="0.3">
      <c r="J89" s="55"/>
      <c r="K89" s="55"/>
      <c r="L89" s="55"/>
      <c r="M89" s="55"/>
      <c r="N89" s="55"/>
      <c r="O89" s="55"/>
      <c r="P89" s="55"/>
      <c r="Q89" s="55"/>
      <c r="R89" s="55"/>
    </row>
    <row r="90" spans="1:18" ht="16.5" x14ac:dyDescent="0.3">
      <c r="J90" s="55"/>
      <c r="K90" s="55"/>
      <c r="L90" s="55"/>
      <c r="M90" s="55"/>
      <c r="N90" s="55"/>
      <c r="O90" s="55"/>
      <c r="P90" s="55"/>
      <c r="Q90" s="55"/>
      <c r="R90" s="55"/>
    </row>
    <row r="91" spans="1:18" ht="16.5" x14ac:dyDescent="0.3">
      <c r="J91" s="55"/>
      <c r="K91" s="55"/>
      <c r="L91" s="55"/>
      <c r="M91" s="55"/>
      <c r="N91" s="55"/>
      <c r="O91" s="55"/>
      <c r="P91" s="55"/>
      <c r="Q91" s="55"/>
      <c r="R91" s="55"/>
    </row>
    <row r="92" spans="1:18" ht="16.5" x14ac:dyDescent="0.3">
      <c r="J92" s="55"/>
      <c r="K92" s="55"/>
      <c r="L92" s="55"/>
      <c r="M92" s="55"/>
      <c r="N92" s="55"/>
      <c r="O92" s="55"/>
      <c r="P92" s="55"/>
      <c r="Q92" s="55"/>
      <c r="R92" s="55"/>
    </row>
    <row r="93" spans="1:18" ht="16.5" x14ac:dyDescent="0.3">
      <c r="J93" s="55"/>
      <c r="K93" s="55"/>
      <c r="L93" s="55"/>
      <c r="M93" s="55"/>
      <c r="N93" s="55"/>
      <c r="O93" s="55"/>
      <c r="P93" s="55"/>
      <c r="Q93" s="55"/>
      <c r="R93" s="55"/>
    </row>
    <row r="94" spans="1:18" ht="16.5" x14ac:dyDescent="0.3">
      <c r="J94" s="55"/>
      <c r="K94" s="55"/>
      <c r="L94" s="55"/>
      <c r="M94" s="55"/>
      <c r="N94" s="55"/>
      <c r="O94" s="55"/>
      <c r="P94" s="55"/>
      <c r="Q94" s="55"/>
      <c r="R94" s="55"/>
    </row>
    <row r="95" spans="1:18" ht="16.5" x14ac:dyDescent="0.3">
      <c r="J95" s="55"/>
      <c r="K95" s="55"/>
      <c r="L95" s="55"/>
      <c r="M95" s="55"/>
      <c r="N95" s="55"/>
      <c r="O95" s="55"/>
      <c r="P95" s="55"/>
      <c r="Q95" s="55"/>
      <c r="R95" s="55"/>
    </row>
    <row r="96" spans="1:18" ht="16.5" x14ac:dyDescent="0.3">
      <c r="J96" s="55"/>
      <c r="K96" s="55"/>
      <c r="L96" s="55"/>
      <c r="M96" s="55"/>
      <c r="N96" s="55"/>
      <c r="O96" s="55"/>
      <c r="P96" s="55"/>
      <c r="Q96" s="55"/>
      <c r="R96" s="55"/>
    </row>
  </sheetData>
  <pageMargins left="0.70866141732283472" right="0.70866141732283472" top="0.74803149606299213" bottom="0.74803149606299213" header="0.31496062992125984" footer="0.31496062992125984"/>
  <pageSetup scale="53" orientation="portrait" r:id="rId1"/>
  <headerFooter>
    <oddFooter>&amp;A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113"/>
  <sheetViews>
    <sheetView tabSelected="1" topLeftCell="A33" zoomScale="80" zoomScaleNormal="80" workbookViewId="0">
      <selection activeCell="E54" sqref="E54"/>
    </sheetView>
  </sheetViews>
  <sheetFormatPr baseColWidth="10" defaultRowHeight="14.25" x14ac:dyDescent="0.3"/>
  <cols>
    <col min="1" max="1" width="11.42578125" style="1"/>
    <col min="2" max="2" width="13.42578125" style="1" bestFit="1" customWidth="1"/>
    <col min="3" max="3" width="12.7109375" style="1" customWidth="1"/>
    <col min="4" max="4" width="9.7109375" style="1" customWidth="1"/>
    <col min="5" max="5" width="14.28515625" style="1" customWidth="1"/>
    <col min="6" max="6" width="14.42578125" style="1" customWidth="1"/>
    <col min="7" max="7" width="13.42578125" style="1" customWidth="1"/>
    <col min="8" max="8" width="14.5703125" style="1" customWidth="1"/>
    <col min="9" max="9" width="13.7109375" style="1" customWidth="1"/>
    <col min="10" max="10" width="12" style="1" customWidth="1"/>
    <col min="11" max="11" width="15.85546875" style="1" customWidth="1"/>
    <col min="12" max="12" width="16.85546875" style="1" customWidth="1"/>
    <col min="13" max="13" width="14.140625" style="1" customWidth="1"/>
    <col min="14" max="14" width="11.42578125" style="1"/>
    <col min="15" max="15" width="12.5703125" style="1" customWidth="1"/>
    <col min="16" max="16384" width="11.42578125" style="1"/>
  </cols>
  <sheetData>
    <row r="1" spans="1:21" ht="18.75" x14ac:dyDescent="0.3">
      <c r="J1" s="2"/>
      <c r="K1" s="3"/>
      <c r="L1" s="3"/>
      <c r="M1" s="3"/>
      <c r="N1" s="3"/>
      <c r="O1" s="3"/>
      <c r="P1" s="3"/>
    </row>
    <row r="2" spans="1:21" x14ac:dyDescent="0.3">
      <c r="J2" s="3"/>
      <c r="K2" s="3"/>
      <c r="L2" s="3"/>
      <c r="M2" s="3"/>
      <c r="N2" s="3"/>
      <c r="O2" s="4"/>
      <c r="P2" s="3"/>
    </row>
    <row r="3" spans="1:21" ht="15.75" x14ac:dyDescent="0.3">
      <c r="J3"/>
      <c r="P3"/>
      <c r="Q3"/>
      <c r="R3"/>
      <c r="S3" s="3"/>
      <c r="T3" s="3"/>
      <c r="U3" s="3"/>
    </row>
    <row r="4" spans="1:21" ht="15.75" x14ac:dyDescent="0.3">
      <c r="J4"/>
      <c r="P4"/>
      <c r="Q4"/>
      <c r="R4"/>
    </row>
    <row r="5" spans="1:21" ht="15.75" x14ac:dyDescent="0.3">
      <c r="A5" s="5"/>
      <c r="J5"/>
      <c r="P5"/>
      <c r="Q5"/>
      <c r="R5"/>
    </row>
    <row r="6" spans="1:21" ht="18.75" x14ac:dyDescent="0.3">
      <c r="A6" s="2" t="s">
        <v>2</v>
      </c>
      <c r="E6" s="5" t="s">
        <v>3</v>
      </c>
      <c r="F6" s="1" t="s">
        <v>4</v>
      </c>
      <c r="J6"/>
      <c r="P6"/>
      <c r="Q6"/>
      <c r="R6"/>
    </row>
    <row r="7" spans="1:21" ht="15.75" x14ac:dyDescent="0.3">
      <c r="J7"/>
      <c r="P7"/>
      <c r="Q7"/>
      <c r="R7"/>
    </row>
    <row r="8" spans="1:21" ht="15.75" x14ac:dyDescent="0.3">
      <c r="J8"/>
      <c r="P8"/>
      <c r="Q8"/>
      <c r="R8"/>
    </row>
    <row r="9" spans="1:21" s="5" customFormat="1" ht="15.75" x14ac:dyDescent="0.3">
      <c r="A9" s="5" t="s">
        <v>6</v>
      </c>
      <c r="C9" s="5" t="str">
        <f>+'cartón caja'!C9</f>
        <v>21 de septiembre de 2017.</v>
      </c>
      <c r="H9" s="5" t="s">
        <v>7</v>
      </c>
      <c r="J9"/>
      <c r="P9"/>
      <c r="Q9"/>
      <c r="R9"/>
      <c r="S9" s="1"/>
      <c r="T9" s="1"/>
      <c r="U9" s="1"/>
    </row>
    <row r="10" spans="1:21" ht="15.75" x14ac:dyDescent="0.3">
      <c r="J10"/>
      <c r="P10"/>
      <c r="Q10"/>
      <c r="R10"/>
    </row>
    <row r="11" spans="1:21" ht="16.5" thickBot="1" x14ac:dyDescent="0.35">
      <c r="A11" s="5" t="s">
        <v>8</v>
      </c>
      <c r="C11" s="1" t="str">
        <f>+'cartón caja'!C11</f>
        <v>Nespresso</v>
      </c>
      <c r="F11" s="5" t="s">
        <v>0</v>
      </c>
      <c r="J11"/>
      <c r="P11"/>
      <c r="Q11"/>
      <c r="R11"/>
    </row>
    <row r="12" spans="1:21" ht="15.75" x14ac:dyDescent="0.3">
      <c r="A12" s="5"/>
      <c r="F12" s="11"/>
      <c r="G12" s="12"/>
      <c r="H12" s="13"/>
      <c r="J12"/>
      <c r="P12"/>
      <c r="Q12"/>
      <c r="R12"/>
    </row>
    <row r="13" spans="1:21" ht="15.75" x14ac:dyDescent="0.3">
      <c r="A13" s="5" t="s">
        <v>10</v>
      </c>
      <c r="F13" s="6"/>
      <c r="G13" s="7"/>
      <c r="H13" s="8"/>
      <c r="J13"/>
      <c r="P13"/>
      <c r="Q13"/>
      <c r="R13"/>
    </row>
    <row r="14" spans="1:21" ht="15.75" x14ac:dyDescent="0.3">
      <c r="A14" s="5"/>
      <c r="F14" s="6"/>
      <c r="G14" s="7"/>
      <c r="H14" s="8"/>
      <c r="J14"/>
      <c r="P14"/>
      <c r="Q14"/>
      <c r="R14"/>
    </row>
    <row r="15" spans="1:21" ht="15.75" x14ac:dyDescent="0.3">
      <c r="A15" s="5" t="s">
        <v>11</v>
      </c>
      <c r="C15" s="19" t="s">
        <v>185</v>
      </c>
      <c r="D15" s="18"/>
      <c r="E15" s="18"/>
      <c r="F15" s="72" t="s">
        <v>5</v>
      </c>
      <c r="G15" s="7"/>
      <c r="H15" s="8"/>
      <c r="J15"/>
      <c r="P15"/>
      <c r="Q15"/>
      <c r="R15"/>
    </row>
    <row r="16" spans="1:21" ht="15.75" x14ac:dyDescent="0.3">
      <c r="C16" s="17" t="s">
        <v>94</v>
      </c>
      <c r="D16" s="18"/>
      <c r="E16" s="18"/>
      <c r="F16" s="46">
        <f>+Desarrollo!C97</f>
        <v>42</v>
      </c>
      <c r="G16" s="73" t="s">
        <v>82</v>
      </c>
      <c r="H16" s="74">
        <f>+Desarrollo!E97*1</f>
        <v>30.6</v>
      </c>
      <c r="J16"/>
      <c r="P16"/>
      <c r="Q16"/>
      <c r="R16"/>
    </row>
    <row r="17" spans="1:22" ht="15.75" x14ac:dyDescent="0.3">
      <c r="C17" s="17" t="s">
        <v>186</v>
      </c>
      <c r="D17" s="18"/>
      <c r="E17" s="18"/>
      <c r="F17" s="72">
        <v>1</v>
      </c>
      <c r="G17" s="75" t="s">
        <v>83</v>
      </c>
      <c r="H17" s="8"/>
      <c r="J17"/>
      <c r="P17"/>
      <c r="Q17"/>
      <c r="R17"/>
    </row>
    <row r="18" spans="1:22" ht="15.75" x14ac:dyDescent="0.3">
      <c r="C18" s="17" t="s">
        <v>175</v>
      </c>
      <c r="D18" s="18"/>
      <c r="E18" s="18"/>
      <c r="F18" s="6"/>
      <c r="G18" s="7"/>
      <c r="H18" s="8"/>
      <c r="J18"/>
      <c r="K18"/>
      <c r="L18"/>
      <c r="M18"/>
      <c r="N18"/>
      <c r="O18"/>
      <c r="P18"/>
      <c r="Q18"/>
      <c r="R18"/>
    </row>
    <row r="19" spans="1:22" ht="15.75" x14ac:dyDescent="0.3">
      <c r="C19" s="17" t="s">
        <v>187</v>
      </c>
      <c r="D19" s="18"/>
      <c r="E19" s="18"/>
      <c r="F19" s="6"/>
      <c r="G19" s="7"/>
      <c r="H19" s="8"/>
      <c r="J19"/>
      <c r="K19"/>
      <c r="L19"/>
      <c r="M19"/>
      <c r="N19"/>
      <c r="O19"/>
      <c r="P19"/>
      <c r="Q19"/>
      <c r="R19"/>
    </row>
    <row r="20" spans="1:22" ht="15.75" x14ac:dyDescent="0.3">
      <c r="C20" s="18" t="s">
        <v>188</v>
      </c>
      <c r="D20" s="18"/>
      <c r="E20" s="18"/>
      <c r="F20" s="46">
        <f>+Desarrollo!C94</f>
        <v>38</v>
      </c>
      <c r="G20" s="73" t="s">
        <v>82</v>
      </c>
      <c r="H20" s="74">
        <f>+Desarrollo!E94</f>
        <v>26.6</v>
      </c>
      <c r="J20"/>
      <c r="K20"/>
      <c r="L20"/>
      <c r="M20"/>
      <c r="N20"/>
      <c r="O20"/>
      <c r="P20"/>
      <c r="Q20"/>
      <c r="R20"/>
    </row>
    <row r="21" spans="1:22" ht="15.75" x14ac:dyDescent="0.3">
      <c r="C21" s="18" t="s">
        <v>173</v>
      </c>
      <c r="D21" s="18"/>
      <c r="E21" s="18"/>
      <c r="F21" s="6"/>
      <c r="G21" s="7"/>
      <c r="H21" s="8"/>
      <c r="J21"/>
      <c r="K21"/>
      <c r="L21"/>
      <c r="M21"/>
      <c r="N21"/>
      <c r="O21"/>
      <c r="P21"/>
      <c r="Q21"/>
      <c r="R21"/>
    </row>
    <row r="22" spans="1:22" ht="16.5" thickBot="1" x14ac:dyDescent="0.35">
      <c r="C22" s="18" t="s">
        <v>190</v>
      </c>
      <c r="D22" s="18"/>
      <c r="E22" s="18"/>
      <c r="F22" s="14"/>
      <c r="G22" s="15"/>
      <c r="H22" s="16"/>
      <c r="J22"/>
      <c r="K22"/>
      <c r="L22"/>
      <c r="M22"/>
      <c r="N22"/>
      <c r="O22"/>
      <c r="P22"/>
      <c r="Q22"/>
      <c r="R22"/>
    </row>
    <row r="23" spans="1:22" ht="15.75" x14ac:dyDescent="0.3">
      <c r="A23" s="4" t="s">
        <v>13</v>
      </c>
      <c r="C23" s="80" t="str">
        <f>+Desarrollo!A96</f>
        <v>Rainbow Villatoro</v>
      </c>
      <c r="D23" s="5" t="s">
        <v>14</v>
      </c>
      <c r="E23" s="22" t="str">
        <f>+Desarrollo!B89</f>
        <v>Negro</v>
      </c>
      <c r="J23"/>
      <c r="K23"/>
      <c r="L23"/>
      <c r="M23"/>
      <c r="N23"/>
      <c r="O23"/>
      <c r="P23"/>
      <c r="Q23"/>
      <c r="R23"/>
      <c r="S23"/>
      <c r="T23"/>
      <c r="U23"/>
      <c r="V23"/>
    </row>
    <row r="24" spans="1:22" ht="15.75" x14ac:dyDescent="0.3">
      <c r="J24"/>
      <c r="K24"/>
      <c r="L24"/>
      <c r="M24"/>
      <c r="N24"/>
      <c r="O24"/>
      <c r="P24"/>
      <c r="Q24"/>
      <c r="R24"/>
      <c r="S24"/>
      <c r="T24"/>
      <c r="U24"/>
      <c r="V24"/>
    </row>
    <row r="25" spans="1:22" ht="15.75" x14ac:dyDescent="0.3">
      <c r="A25" s="4" t="s">
        <v>15</v>
      </c>
      <c r="C25" s="23">
        <f>+Desarrollo!C96</f>
        <v>100</v>
      </c>
      <c r="D25" s="22" t="s">
        <v>16</v>
      </c>
      <c r="E25" s="24">
        <f>+Desarrollo!E96</f>
        <v>130</v>
      </c>
      <c r="F25" s="25">
        <f>+C25</f>
        <v>100</v>
      </c>
      <c r="G25" s="26" t="s">
        <v>16</v>
      </c>
      <c r="H25" s="26">
        <f>+E25</f>
        <v>130</v>
      </c>
      <c r="J25"/>
      <c r="K25"/>
      <c r="L25"/>
      <c r="M25"/>
      <c r="N25"/>
      <c r="O25"/>
      <c r="P25"/>
      <c r="Q25"/>
      <c r="R25"/>
      <c r="S25"/>
      <c r="T25"/>
      <c r="U25"/>
      <c r="V25"/>
    </row>
    <row r="26" spans="1:22" ht="15.75" x14ac:dyDescent="0.3">
      <c r="A26" s="4" t="s">
        <v>17</v>
      </c>
      <c r="B26" s="3"/>
      <c r="C26" s="27">
        <f>+F16</f>
        <v>42</v>
      </c>
      <c r="D26" s="28" t="s">
        <v>16</v>
      </c>
      <c r="E26" s="27">
        <f>+H16</f>
        <v>30.6</v>
      </c>
      <c r="F26" s="29">
        <f>+E26</f>
        <v>30.6</v>
      </c>
      <c r="G26" s="29" t="s">
        <v>16</v>
      </c>
      <c r="H26" s="29">
        <f>+C26</f>
        <v>42</v>
      </c>
      <c r="I26" s="30"/>
      <c r="J26"/>
      <c r="K26"/>
      <c r="L26"/>
      <c r="M26"/>
      <c r="N26"/>
      <c r="O26"/>
      <c r="P26"/>
      <c r="Q26"/>
      <c r="R26"/>
    </row>
    <row r="27" spans="1:22" ht="16.5" thickBot="1" x14ac:dyDescent="0.35">
      <c r="A27" s="3" t="s">
        <v>18</v>
      </c>
      <c r="B27" s="31"/>
      <c r="C27" s="32">
        <f>+C25/C26</f>
        <v>2.3809523809523809</v>
      </c>
      <c r="D27" s="33"/>
      <c r="E27" s="32">
        <f>+E25/E26</f>
        <v>4.2483660130718954</v>
      </c>
      <c r="F27" s="32">
        <f>+F25/F26</f>
        <v>3.2679738562091503</v>
      </c>
      <c r="G27" s="33"/>
      <c r="H27" s="32">
        <f>+H25/H26</f>
        <v>3.0952380952380953</v>
      </c>
      <c r="I27" s="30"/>
      <c r="J27"/>
      <c r="K27"/>
      <c r="L27"/>
      <c r="M27"/>
      <c r="N27"/>
      <c r="O27"/>
      <c r="P27"/>
      <c r="Q27"/>
      <c r="R27"/>
    </row>
    <row r="28" spans="1:22" ht="16.5" thickBot="1" x14ac:dyDescent="0.35">
      <c r="A28" s="3" t="s">
        <v>19</v>
      </c>
      <c r="B28" s="34"/>
      <c r="C28" s="35"/>
      <c r="D28" s="36">
        <v>8</v>
      </c>
      <c r="E28" s="37"/>
      <c r="F28" s="38"/>
      <c r="G28" s="39">
        <v>9</v>
      </c>
      <c r="H28" s="40" t="s">
        <v>20</v>
      </c>
      <c r="J28"/>
      <c r="K28"/>
      <c r="L28"/>
      <c r="M28"/>
      <c r="N28"/>
      <c r="O28"/>
      <c r="P28"/>
      <c r="Q28"/>
      <c r="R28"/>
    </row>
    <row r="29" spans="1:22" ht="15.75" x14ac:dyDescent="0.3">
      <c r="A29" s="3"/>
      <c r="B29" s="21"/>
      <c r="C29" s="30"/>
      <c r="G29" s="41"/>
      <c r="H29" s="30"/>
      <c r="J29"/>
      <c r="K29"/>
      <c r="L29"/>
      <c r="M29"/>
      <c r="N29"/>
      <c r="O29"/>
      <c r="P29"/>
      <c r="Q29"/>
      <c r="R29"/>
    </row>
    <row r="30" spans="1:22" ht="15.75" x14ac:dyDescent="0.3">
      <c r="A30" s="25" t="s">
        <v>21</v>
      </c>
      <c r="B30" s="25" t="str">
        <f>+'forro cartera guarda'!B30</f>
        <v>Villatoro</v>
      </c>
      <c r="D30" s="41" t="s">
        <v>22</v>
      </c>
      <c r="E30" s="42">
        <f>+Desarrollo!F96</f>
        <v>28</v>
      </c>
      <c r="F30" s="120"/>
      <c r="G30" s="1" t="s">
        <v>23</v>
      </c>
      <c r="H30" s="43">
        <v>0</v>
      </c>
      <c r="J30"/>
      <c r="K30"/>
      <c r="L30"/>
      <c r="M30"/>
      <c r="N30"/>
      <c r="O30"/>
      <c r="P30"/>
      <c r="Q30"/>
      <c r="R30"/>
    </row>
    <row r="31" spans="1:22" ht="15.75" x14ac:dyDescent="0.3">
      <c r="A31" s="3"/>
      <c r="B31" s="3"/>
      <c r="C31" s="3"/>
      <c r="D31" s="44" t="s">
        <v>24</v>
      </c>
      <c r="E31" s="42">
        <f>+H30*E30</f>
        <v>0</v>
      </c>
      <c r="H31" s="43"/>
      <c r="I31" s="30"/>
      <c r="J31"/>
      <c r="K31"/>
      <c r="L31"/>
      <c r="M31"/>
      <c r="N31"/>
      <c r="O31"/>
      <c r="P31"/>
      <c r="Q31"/>
      <c r="R31"/>
    </row>
    <row r="32" spans="1:22" ht="15.75" x14ac:dyDescent="0.3">
      <c r="D32" s="44" t="s">
        <v>25</v>
      </c>
      <c r="E32" s="45">
        <f>+E30-E31</f>
        <v>28</v>
      </c>
      <c r="I32" s="30"/>
      <c r="J32"/>
      <c r="K32"/>
      <c r="L32"/>
      <c r="M32"/>
      <c r="N32"/>
      <c r="O32"/>
      <c r="P32"/>
      <c r="Q32"/>
      <c r="R32"/>
    </row>
    <row r="33" spans="1:19" ht="15.75" x14ac:dyDescent="0.3">
      <c r="E33" s="21" t="s">
        <v>27</v>
      </c>
      <c r="F33" s="21" t="s">
        <v>28</v>
      </c>
      <c r="G33" s="21" t="s">
        <v>28</v>
      </c>
      <c r="H33" s="21" t="s">
        <v>28</v>
      </c>
      <c r="I33" s="30"/>
      <c r="J33"/>
      <c r="K33"/>
      <c r="L33"/>
      <c r="M33"/>
      <c r="N33"/>
      <c r="O33"/>
      <c r="P33"/>
      <c r="Q33"/>
      <c r="R33"/>
    </row>
    <row r="34" spans="1:19" ht="15.75" x14ac:dyDescent="0.3">
      <c r="D34" s="41" t="s">
        <v>29</v>
      </c>
      <c r="E34" s="47">
        <f>+E32</f>
        <v>28</v>
      </c>
      <c r="F34" s="47">
        <v>0</v>
      </c>
      <c r="G34" s="47">
        <v>0</v>
      </c>
      <c r="H34" s="47">
        <v>0</v>
      </c>
      <c r="J34"/>
      <c r="K34"/>
      <c r="L34"/>
      <c r="M34"/>
      <c r="N34"/>
      <c r="O34"/>
      <c r="P34"/>
      <c r="Q34"/>
      <c r="R34"/>
    </row>
    <row r="35" spans="1:19" ht="15.75" x14ac:dyDescent="0.3">
      <c r="D35" s="41" t="s">
        <v>30</v>
      </c>
      <c r="E35" s="47">
        <f>+E34*1.1</f>
        <v>30.800000000000004</v>
      </c>
      <c r="F35" s="47">
        <v>0</v>
      </c>
      <c r="G35" s="47">
        <v>0</v>
      </c>
      <c r="H35" s="47">
        <v>0</v>
      </c>
      <c r="J35"/>
      <c r="K35"/>
      <c r="L35"/>
      <c r="M35"/>
      <c r="N35"/>
      <c r="O35"/>
      <c r="P35"/>
      <c r="Q35"/>
      <c r="R35"/>
    </row>
    <row r="36" spans="1:19" ht="16.5" thickBot="1" x14ac:dyDescent="0.35">
      <c r="A36" s="3"/>
      <c r="G36" s="41"/>
      <c r="J36"/>
      <c r="K36"/>
      <c r="L36"/>
      <c r="M36"/>
      <c r="N36"/>
      <c r="O36"/>
      <c r="P36"/>
      <c r="Q36"/>
      <c r="R36"/>
    </row>
    <row r="37" spans="1:19" ht="15.75" x14ac:dyDescent="0.3">
      <c r="A37" s="3"/>
      <c r="B37" s="21"/>
      <c r="C37" s="30"/>
      <c r="E37" s="11" t="s">
        <v>32</v>
      </c>
      <c r="F37" s="12" t="s">
        <v>33</v>
      </c>
      <c r="G37" s="12"/>
      <c r="H37" s="13"/>
      <c r="J37"/>
      <c r="K37"/>
      <c r="L37"/>
      <c r="M37"/>
      <c r="N37"/>
      <c r="O37"/>
      <c r="P37"/>
      <c r="Q37"/>
      <c r="R37"/>
    </row>
    <row r="38" spans="1:19" ht="16.5" thickBot="1" x14ac:dyDescent="0.35">
      <c r="A38" s="4" t="s">
        <v>34</v>
      </c>
      <c r="C38" s="48">
        <v>8</v>
      </c>
      <c r="D38" s="49" t="s">
        <v>35</v>
      </c>
      <c r="E38" s="14"/>
      <c r="F38" s="15" t="s">
        <v>36</v>
      </c>
      <c r="G38" s="15"/>
      <c r="H38" s="16"/>
      <c r="J38"/>
      <c r="K38"/>
      <c r="L38"/>
      <c r="M38"/>
      <c r="N38"/>
      <c r="O38"/>
      <c r="P38"/>
      <c r="Q38"/>
      <c r="R38"/>
    </row>
    <row r="39" spans="1:19" ht="15.75" x14ac:dyDescent="0.3">
      <c r="A39" s="4"/>
      <c r="C39" s="21"/>
      <c r="D39" s="1" t="s">
        <v>37</v>
      </c>
      <c r="E39" s="3"/>
      <c r="F39" s="3"/>
      <c r="J39"/>
      <c r="K39"/>
      <c r="L39"/>
      <c r="M39"/>
      <c r="N39"/>
      <c r="O39"/>
      <c r="P39"/>
      <c r="Q39"/>
      <c r="R39"/>
    </row>
    <row r="40" spans="1:19" ht="15.75" x14ac:dyDescent="0.3">
      <c r="A40" s="4" t="s">
        <v>38</v>
      </c>
      <c r="B40" s="5"/>
      <c r="C40" s="50">
        <f>+B48/F17</f>
        <v>2000</v>
      </c>
      <c r="D40" s="24">
        <f>+Desarrollo!D7</f>
        <v>100</v>
      </c>
      <c r="F40" s="44" t="s">
        <v>39</v>
      </c>
      <c r="G40" s="23">
        <v>1</v>
      </c>
      <c r="H40" s="3"/>
      <c r="J40"/>
      <c r="K40"/>
      <c r="L40"/>
      <c r="M40"/>
      <c r="N40"/>
      <c r="O40"/>
      <c r="P40"/>
      <c r="Q40"/>
      <c r="R40"/>
    </row>
    <row r="41" spans="1:19" ht="15.75" x14ac:dyDescent="0.3">
      <c r="A41" s="4" t="s">
        <v>40</v>
      </c>
      <c r="C41" s="34">
        <f>+C40+D40</f>
        <v>2100</v>
      </c>
      <c r="F41" s="44" t="s">
        <v>41</v>
      </c>
      <c r="G41" s="23">
        <v>2</v>
      </c>
      <c r="H41" s="3"/>
      <c r="J41"/>
      <c r="K41"/>
      <c r="L41"/>
      <c r="M41"/>
      <c r="N41"/>
      <c r="O41"/>
      <c r="P41"/>
      <c r="Q41"/>
      <c r="R41"/>
    </row>
    <row r="42" spans="1:19" ht="15.75" x14ac:dyDescent="0.3">
      <c r="A42" s="4" t="s">
        <v>42</v>
      </c>
      <c r="C42" s="34">
        <f>+C41/C38</f>
        <v>262.5</v>
      </c>
      <c r="F42" s="44" t="s">
        <v>43</v>
      </c>
      <c r="G42" s="23"/>
      <c r="H42" s="3"/>
      <c r="J42"/>
      <c r="K42"/>
      <c r="L42"/>
      <c r="M42"/>
      <c r="N42"/>
      <c r="O42"/>
      <c r="P42"/>
      <c r="Q42"/>
      <c r="R42"/>
    </row>
    <row r="43" spans="1:19" ht="15.75" x14ac:dyDescent="0.3">
      <c r="A43" s="4" t="s">
        <v>92</v>
      </c>
      <c r="C43" s="21">
        <f>+(C42*C38)*F17</f>
        <v>2100</v>
      </c>
      <c r="F43" s="41" t="s">
        <v>44</v>
      </c>
      <c r="G43" s="23">
        <f>+C40/100</f>
        <v>20</v>
      </c>
      <c r="H43" s="3"/>
      <c r="J43"/>
      <c r="K43"/>
      <c r="L43"/>
      <c r="M43"/>
      <c r="N43"/>
      <c r="O43"/>
      <c r="P43"/>
      <c r="Q43" s="7"/>
      <c r="R43" s="7"/>
    </row>
    <row r="44" spans="1:19" x14ac:dyDescent="0.3">
      <c r="A44" s="4"/>
      <c r="C44" s="51"/>
      <c r="F44" s="44" t="s">
        <v>45</v>
      </c>
      <c r="G44" s="48">
        <f>+C41</f>
        <v>2100</v>
      </c>
      <c r="H44" s="3"/>
      <c r="M44" s="7"/>
      <c r="N44" s="10"/>
      <c r="O44" s="73"/>
      <c r="P44" s="73"/>
      <c r="Q44" s="7"/>
      <c r="R44" s="7"/>
    </row>
    <row r="45" spans="1:19" x14ac:dyDescent="0.3">
      <c r="A45" s="4"/>
      <c r="C45" s="21"/>
      <c r="E45" s="44"/>
      <c r="F45" s="44"/>
      <c r="G45" s="30"/>
      <c r="I45" s="3"/>
      <c r="M45" s="7"/>
      <c r="N45" s="10"/>
      <c r="O45" s="73"/>
      <c r="P45" s="73"/>
      <c r="Q45" s="7"/>
      <c r="R45" s="7"/>
    </row>
    <row r="46" spans="1:19" x14ac:dyDescent="0.3">
      <c r="A46" s="4" t="s">
        <v>46</v>
      </c>
      <c r="C46" s="25">
        <f>+C42*C38</f>
        <v>2100</v>
      </c>
      <c r="F46" s="44"/>
      <c r="G46" s="30"/>
      <c r="H46" s="3"/>
      <c r="M46" s="7"/>
      <c r="N46" s="10"/>
      <c r="O46" s="73"/>
      <c r="P46" s="73"/>
      <c r="Q46" s="7"/>
      <c r="R46" s="7"/>
    </row>
    <row r="47" spans="1:19" ht="15.75" x14ac:dyDescent="0.3">
      <c r="A47" s="3"/>
      <c r="B47" s="3"/>
      <c r="C47" s="3"/>
      <c r="D47" s="3"/>
      <c r="E47" s="3"/>
      <c r="H47" s="3"/>
      <c r="J47"/>
      <c r="K47"/>
      <c r="L47"/>
      <c r="M47"/>
      <c r="N47"/>
      <c r="O47"/>
      <c r="P47"/>
      <c r="Q47"/>
      <c r="R47"/>
      <c r="S47"/>
    </row>
    <row r="48" spans="1:19" ht="15.75" x14ac:dyDescent="0.3">
      <c r="A48" s="4" t="s">
        <v>77</v>
      </c>
      <c r="B48" s="21">
        <f>+'cartón caja'!B48</f>
        <v>2000</v>
      </c>
      <c r="C48" s="3"/>
      <c r="D48" s="25" t="s">
        <v>47</v>
      </c>
      <c r="E48" s="25" t="s">
        <v>48</v>
      </c>
      <c r="F48" s="25" t="s">
        <v>49</v>
      </c>
      <c r="G48" s="25" t="s">
        <v>50</v>
      </c>
      <c r="H48" s="25" t="s">
        <v>51</v>
      </c>
      <c r="J48"/>
      <c r="K48"/>
      <c r="L48"/>
      <c r="M48"/>
      <c r="N48"/>
      <c r="O48"/>
      <c r="P48"/>
      <c r="Q48"/>
      <c r="R48"/>
      <c r="S48"/>
    </row>
    <row r="49" spans="1:21" ht="15.75" x14ac:dyDescent="0.3">
      <c r="A49" s="52" t="s">
        <v>52</v>
      </c>
      <c r="B49" s="53"/>
      <c r="C49" s="3"/>
      <c r="D49" s="21">
        <v>1</v>
      </c>
      <c r="E49" s="21">
        <v>1</v>
      </c>
      <c r="F49" s="21" t="s">
        <v>191</v>
      </c>
      <c r="G49" s="30">
        <f>145+185</f>
        <v>330</v>
      </c>
      <c r="H49" s="30">
        <f>+(D49*E49)*G49</f>
        <v>330</v>
      </c>
      <c r="J49"/>
      <c r="K49"/>
      <c r="L49"/>
      <c r="M49"/>
      <c r="N49"/>
      <c r="O49"/>
      <c r="P49"/>
      <c r="Q49"/>
      <c r="R49"/>
      <c r="S49"/>
    </row>
    <row r="50" spans="1:21" ht="15.75" x14ac:dyDescent="0.3">
      <c r="A50" s="53" t="s">
        <v>54</v>
      </c>
      <c r="B50" s="54">
        <f>+E34*C42</f>
        <v>7350</v>
      </c>
      <c r="C50" s="3"/>
      <c r="D50" s="21">
        <v>1</v>
      </c>
      <c r="E50" s="21">
        <v>20</v>
      </c>
      <c r="F50" s="21" t="s">
        <v>192</v>
      </c>
      <c r="G50" s="30">
        <v>300</v>
      </c>
      <c r="H50" s="30">
        <f>+(D50*E50)*G50</f>
        <v>6000</v>
      </c>
      <c r="J50"/>
      <c r="K50"/>
      <c r="L50"/>
      <c r="M50"/>
      <c r="N50"/>
      <c r="O50"/>
      <c r="P50"/>
      <c r="Q50"/>
      <c r="R50"/>
      <c r="S50"/>
    </row>
    <row r="51" spans="1:21" ht="15.75" x14ac:dyDescent="0.3">
      <c r="A51" s="53" t="s">
        <v>12</v>
      </c>
      <c r="B51" s="54">
        <f>+H64</f>
        <v>7765</v>
      </c>
      <c r="C51" s="3"/>
      <c r="D51" s="21">
        <v>0</v>
      </c>
      <c r="E51" s="21">
        <v>0</v>
      </c>
      <c r="F51" s="21" t="s">
        <v>84</v>
      </c>
      <c r="G51" s="30">
        <v>500</v>
      </c>
      <c r="H51" s="30">
        <f>+G51*E51*D51</f>
        <v>0</v>
      </c>
      <c r="J51"/>
      <c r="K51"/>
      <c r="L51"/>
      <c r="M51"/>
      <c r="N51"/>
      <c r="O51"/>
      <c r="P51"/>
      <c r="Q51"/>
      <c r="R51"/>
      <c r="S51"/>
    </row>
    <row r="52" spans="1:21" ht="15.75" x14ac:dyDescent="0.3">
      <c r="A52" s="53"/>
      <c r="B52" s="54"/>
      <c r="C52" s="3"/>
      <c r="D52" s="21">
        <v>1</v>
      </c>
      <c r="E52" s="21">
        <v>1</v>
      </c>
      <c r="F52" s="21" t="s">
        <v>99</v>
      </c>
      <c r="G52" s="30">
        <v>1000</v>
      </c>
      <c r="H52" s="30">
        <f t="shared" ref="H52:H54" si="0">+G52*E52</f>
        <v>1000</v>
      </c>
      <c r="I52" s="30">
        <f>+(B75/100)*2</f>
        <v>976.86</v>
      </c>
      <c r="J52"/>
      <c r="K52"/>
      <c r="L52"/>
      <c r="M52"/>
      <c r="N52"/>
      <c r="O52"/>
      <c r="P52"/>
      <c r="Q52"/>
      <c r="R52"/>
      <c r="S52"/>
    </row>
    <row r="53" spans="1:21" ht="16.5" x14ac:dyDescent="0.3">
      <c r="A53" s="53" t="s">
        <v>129</v>
      </c>
      <c r="B53" s="54">
        <v>400</v>
      </c>
      <c r="C53" s="3"/>
      <c r="D53" s="21">
        <v>1</v>
      </c>
      <c r="E53" s="21">
        <v>1</v>
      </c>
      <c r="F53" s="21" t="s">
        <v>79</v>
      </c>
      <c r="G53" s="30">
        <v>145</v>
      </c>
      <c r="H53" s="30">
        <f t="shared" si="0"/>
        <v>145</v>
      </c>
      <c r="I53" s="55"/>
      <c r="J53"/>
      <c r="K53"/>
      <c r="L53"/>
      <c r="M53"/>
      <c r="N53"/>
      <c r="O53"/>
      <c r="P53"/>
      <c r="Q53"/>
      <c r="R53"/>
      <c r="S53"/>
    </row>
    <row r="54" spans="1:21" ht="15.75" x14ac:dyDescent="0.3">
      <c r="A54" s="56" t="s">
        <v>164</v>
      </c>
      <c r="B54" s="54">
        <f>+((3+3)*B48)*1.1</f>
        <v>13200.000000000002</v>
      </c>
      <c r="C54" s="3"/>
      <c r="D54" s="21">
        <v>1</v>
      </c>
      <c r="E54" s="21">
        <v>2</v>
      </c>
      <c r="F54" s="21" t="s">
        <v>80</v>
      </c>
      <c r="G54" s="30">
        <v>145</v>
      </c>
      <c r="H54" s="30">
        <f t="shared" si="0"/>
        <v>290</v>
      </c>
      <c r="J54"/>
      <c r="K54"/>
      <c r="L54"/>
      <c r="M54"/>
      <c r="N54"/>
      <c r="O54"/>
      <c r="P54"/>
      <c r="Q54"/>
      <c r="R54"/>
      <c r="S54"/>
    </row>
    <row r="55" spans="1:21" ht="15.75" x14ac:dyDescent="0.3">
      <c r="A55" s="56" t="s">
        <v>97</v>
      </c>
      <c r="B55" s="54">
        <f>(5*B48)*1.1</f>
        <v>11000</v>
      </c>
      <c r="D55" s="21">
        <v>0</v>
      </c>
      <c r="E55" s="21">
        <v>0</v>
      </c>
      <c r="F55" s="21" t="s">
        <v>127</v>
      </c>
      <c r="G55" s="30">
        <v>295</v>
      </c>
      <c r="H55" s="30">
        <f>+G55*E55</f>
        <v>0</v>
      </c>
      <c r="J55"/>
      <c r="K55"/>
      <c r="L55"/>
      <c r="M55"/>
      <c r="N55"/>
      <c r="O55"/>
      <c r="P55"/>
      <c r="Q55"/>
      <c r="R55"/>
      <c r="S55"/>
    </row>
    <row r="56" spans="1:21" ht="15.75" x14ac:dyDescent="0.3">
      <c r="A56" s="56" t="s">
        <v>107</v>
      </c>
      <c r="B56" s="54">
        <v>800</v>
      </c>
      <c r="D56" s="21">
        <v>0</v>
      </c>
      <c r="E56" s="21">
        <v>0</v>
      </c>
      <c r="F56" s="21" t="s">
        <v>128</v>
      </c>
      <c r="G56" s="30">
        <v>200</v>
      </c>
      <c r="H56" s="30">
        <f>+G56*E56</f>
        <v>0</v>
      </c>
      <c r="J56"/>
      <c r="K56"/>
      <c r="L56"/>
      <c r="M56"/>
      <c r="N56"/>
      <c r="O56"/>
      <c r="P56"/>
      <c r="Q56"/>
      <c r="R56"/>
      <c r="S56"/>
    </row>
    <row r="57" spans="1:21" ht="15.75" x14ac:dyDescent="0.3">
      <c r="A57" s="56" t="s">
        <v>120</v>
      </c>
      <c r="B57" s="54">
        <v>800</v>
      </c>
      <c r="D57" s="21">
        <v>0</v>
      </c>
      <c r="E57" s="21">
        <v>0</v>
      </c>
      <c r="F57" s="21" t="s">
        <v>56</v>
      </c>
      <c r="G57" s="30">
        <v>1.5</v>
      </c>
      <c r="H57" s="30">
        <f t="shared" ref="H57:H58" si="1">+G57*E57</f>
        <v>0</v>
      </c>
      <c r="O57"/>
      <c r="P57"/>
      <c r="Q57"/>
    </row>
    <row r="58" spans="1:21" ht="15.75" x14ac:dyDescent="0.3">
      <c r="A58" s="52" t="s">
        <v>58</v>
      </c>
      <c r="B58" s="57">
        <f>SUM(B50:B56)</f>
        <v>40515</v>
      </c>
      <c r="C58" s="3"/>
      <c r="D58" s="21">
        <v>0</v>
      </c>
      <c r="E58" s="21">
        <v>0</v>
      </c>
      <c r="F58" s="3" t="s">
        <v>59</v>
      </c>
      <c r="G58" s="30">
        <f>+G108</f>
        <v>550</v>
      </c>
      <c r="H58" s="30">
        <f t="shared" si="1"/>
        <v>0</v>
      </c>
      <c r="O58"/>
      <c r="P58"/>
      <c r="Q58"/>
    </row>
    <row r="59" spans="1:21" ht="15.75" x14ac:dyDescent="0.3">
      <c r="A59" s="9"/>
      <c r="B59" s="58"/>
      <c r="C59" s="3"/>
      <c r="D59" s="21"/>
      <c r="E59" s="21"/>
      <c r="F59" s="3"/>
      <c r="G59" s="3"/>
      <c r="H59" s="30">
        <f t="shared" ref="H59" si="2">+G59*E59</f>
        <v>0</v>
      </c>
      <c r="O59"/>
      <c r="P59"/>
      <c r="Q59"/>
      <c r="S59"/>
      <c r="T59"/>
      <c r="U59"/>
    </row>
    <row r="60" spans="1:21" ht="15.75" x14ac:dyDescent="0.3">
      <c r="A60" s="9"/>
      <c r="B60" s="32">
        <f>+B58/B48</f>
        <v>20.2575</v>
      </c>
      <c r="C60" s="4" t="s">
        <v>61</v>
      </c>
      <c r="D60" s="3"/>
      <c r="E60" s="3"/>
      <c r="F60" s="3"/>
      <c r="G60" s="3"/>
      <c r="O60"/>
      <c r="P60"/>
      <c r="Q60"/>
      <c r="S60"/>
      <c r="T60"/>
      <c r="U60"/>
    </row>
    <row r="61" spans="1:21" ht="15.75" x14ac:dyDescent="0.3">
      <c r="A61" s="3"/>
      <c r="B61" s="3"/>
      <c r="D61" s="3"/>
      <c r="E61" s="3"/>
      <c r="O61"/>
      <c r="P61"/>
      <c r="Q61"/>
      <c r="S61"/>
      <c r="T61"/>
      <c r="U61"/>
    </row>
    <row r="62" spans="1:21" ht="15.75" x14ac:dyDescent="0.3">
      <c r="A62" s="3"/>
      <c r="B62" s="3"/>
      <c r="D62" s="3"/>
      <c r="E62" s="3"/>
      <c r="O62"/>
      <c r="P62"/>
      <c r="Q62"/>
      <c r="S62"/>
      <c r="T62"/>
      <c r="U62"/>
    </row>
    <row r="63" spans="1:21" ht="15.75" x14ac:dyDescent="0.3">
      <c r="D63" s="3"/>
      <c r="E63" s="3"/>
      <c r="O63"/>
      <c r="P63"/>
      <c r="Q63"/>
      <c r="S63"/>
      <c r="T63"/>
      <c r="U63"/>
    </row>
    <row r="64" spans="1:21" ht="15.75" x14ac:dyDescent="0.3">
      <c r="A64" s="4" t="s">
        <v>65</v>
      </c>
      <c r="B64" s="3"/>
      <c r="C64" s="3"/>
      <c r="E64" s="32"/>
      <c r="F64" s="3"/>
      <c r="G64" s="61" t="s">
        <v>62</v>
      </c>
      <c r="H64" s="30">
        <f>SUM(H49:H60)</f>
        <v>7765</v>
      </c>
      <c r="O64"/>
      <c r="P64"/>
      <c r="Q64"/>
      <c r="S64"/>
      <c r="T64"/>
      <c r="U64"/>
    </row>
    <row r="65" spans="1:21" ht="15.75" x14ac:dyDescent="0.3">
      <c r="A65" s="3"/>
      <c r="B65" s="4" t="s">
        <v>68</v>
      </c>
      <c r="C65" s="25" t="s">
        <v>69</v>
      </c>
      <c r="D65" s="3"/>
      <c r="E65" s="3"/>
      <c r="G65" s="5" t="s">
        <v>63</v>
      </c>
      <c r="H65" s="76">
        <f>+'cartón caja'!H62</f>
        <v>1.2</v>
      </c>
      <c r="O65"/>
      <c r="P65"/>
      <c r="Q65"/>
      <c r="S65"/>
      <c r="T65"/>
      <c r="U65"/>
    </row>
    <row r="66" spans="1:21" ht="15.75" x14ac:dyDescent="0.3">
      <c r="A66" s="52" t="s">
        <v>71</v>
      </c>
      <c r="B66" s="53"/>
      <c r="C66" s="3"/>
      <c r="D66" s="3"/>
      <c r="E66" s="3"/>
      <c r="G66" s="1" t="s">
        <v>66</v>
      </c>
      <c r="H66" s="62">
        <v>1.75</v>
      </c>
      <c r="O66"/>
      <c r="P66"/>
      <c r="Q66"/>
      <c r="S66"/>
      <c r="T66"/>
      <c r="U66"/>
    </row>
    <row r="67" spans="1:21" ht="15.75" x14ac:dyDescent="0.3">
      <c r="A67" s="53" t="s">
        <v>54</v>
      </c>
      <c r="B67" s="54">
        <f>+E35*C42</f>
        <v>8085.0000000000009</v>
      </c>
      <c r="C67" s="63"/>
      <c r="F67" s="3"/>
      <c r="G67" s="1" t="s">
        <v>66</v>
      </c>
      <c r="H67" s="62">
        <v>2</v>
      </c>
      <c r="O67"/>
      <c r="P67"/>
      <c r="Q67"/>
      <c r="S67"/>
      <c r="T67"/>
      <c r="U67"/>
    </row>
    <row r="68" spans="1:21" ht="15.75" x14ac:dyDescent="0.3">
      <c r="A68" s="53" t="s">
        <v>12</v>
      </c>
      <c r="B68" s="54">
        <f>+H64*H65</f>
        <v>9318</v>
      </c>
      <c r="C68" s="63"/>
      <c r="F68" s="3"/>
      <c r="G68" s="5" t="s">
        <v>81</v>
      </c>
      <c r="H68" s="62">
        <v>2.5</v>
      </c>
      <c r="O68"/>
      <c r="P68"/>
      <c r="Q68"/>
      <c r="S68"/>
      <c r="T68"/>
      <c r="U68"/>
    </row>
    <row r="69" spans="1:21" ht="15.75" x14ac:dyDescent="0.3">
      <c r="A69" s="53" t="str">
        <f>+A53</f>
        <v>Tabla de suaje + Placa</v>
      </c>
      <c r="B69" s="54">
        <f>+B53*H65</f>
        <v>480</v>
      </c>
      <c r="C69" s="63"/>
      <c r="O69"/>
      <c r="P69"/>
      <c r="Q69"/>
      <c r="S69"/>
      <c r="T69"/>
      <c r="U69"/>
    </row>
    <row r="70" spans="1:21" ht="15.75" x14ac:dyDescent="0.3">
      <c r="A70" s="53" t="s">
        <v>164</v>
      </c>
      <c r="B70" s="54">
        <f>+C101</f>
        <v>15840</v>
      </c>
      <c r="C70" s="63"/>
      <c r="O70"/>
      <c r="P70"/>
      <c r="Q70"/>
      <c r="S70"/>
      <c r="T70"/>
      <c r="U70"/>
    </row>
    <row r="71" spans="1:21" ht="15.75" x14ac:dyDescent="0.3">
      <c r="A71" s="53" t="str">
        <f>+A55</f>
        <v>Encuadernación</v>
      </c>
      <c r="B71" s="54">
        <f>+B55*H65</f>
        <v>13200</v>
      </c>
      <c r="C71" s="66"/>
      <c r="G71" s="64" t="s">
        <v>73</v>
      </c>
      <c r="H71" s="32">
        <f>+B60</f>
        <v>20.2575</v>
      </c>
      <c r="I71" s="65">
        <f>+H71*B48</f>
        <v>40515</v>
      </c>
      <c r="O71"/>
      <c r="P71"/>
      <c r="Q71"/>
      <c r="S71"/>
      <c r="T71"/>
      <c r="U71"/>
    </row>
    <row r="72" spans="1:21" ht="15.75" x14ac:dyDescent="0.3">
      <c r="A72" s="53"/>
      <c r="B72" s="54"/>
      <c r="C72" s="66"/>
      <c r="G72" s="64" t="s">
        <v>75</v>
      </c>
      <c r="H72" s="32">
        <f>+C75</f>
        <v>24.421500000000002</v>
      </c>
      <c r="I72" s="65">
        <f>+H72*B48</f>
        <v>48843</v>
      </c>
      <c r="O72"/>
      <c r="P72"/>
      <c r="Q72"/>
      <c r="S72"/>
      <c r="T72"/>
      <c r="U72"/>
    </row>
    <row r="73" spans="1:21" ht="15.75" x14ac:dyDescent="0.3">
      <c r="A73" s="53" t="str">
        <f>+A56</f>
        <v>Empaque</v>
      </c>
      <c r="B73" s="54">
        <f>+B56*H65</f>
        <v>960</v>
      </c>
      <c r="C73" s="66"/>
      <c r="G73" s="67" t="s">
        <v>76</v>
      </c>
      <c r="H73" s="68">
        <f>+H72-H71</f>
        <v>4.1640000000000015</v>
      </c>
      <c r="I73" s="82">
        <f>+H73*B48</f>
        <v>8328.0000000000036</v>
      </c>
      <c r="O73"/>
      <c r="P73"/>
      <c r="Q73"/>
      <c r="S73"/>
      <c r="T73"/>
      <c r="U73"/>
    </row>
    <row r="74" spans="1:21" ht="15.75" x14ac:dyDescent="0.3">
      <c r="A74" s="53" t="str">
        <f>+A57</f>
        <v>Envio</v>
      </c>
      <c r="B74" s="54">
        <f>+B57*H65</f>
        <v>960</v>
      </c>
      <c r="C74" s="68" t="s">
        <v>118</v>
      </c>
      <c r="D74" s="26"/>
      <c r="E74" s="26"/>
      <c r="F74" s="26" t="s">
        <v>73</v>
      </c>
      <c r="G74" s="133" t="s">
        <v>108</v>
      </c>
      <c r="H74" s="133"/>
      <c r="I74" s="85">
        <f>+(A83/100)*2.5</f>
        <v>3624.3935218750003</v>
      </c>
      <c r="O74"/>
      <c r="P74"/>
      <c r="Q74"/>
      <c r="S74"/>
      <c r="T74"/>
      <c r="U74"/>
    </row>
    <row r="75" spans="1:21" ht="15.75" x14ac:dyDescent="0.3">
      <c r="A75" s="52" t="s">
        <v>58</v>
      </c>
      <c r="B75" s="57">
        <f>SUM(B66:B74)</f>
        <v>48843</v>
      </c>
      <c r="C75" s="68">
        <f>+B75/B48</f>
        <v>24.421500000000002</v>
      </c>
      <c r="D75" s="5" t="s">
        <v>126</v>
      </c>
      <c r="F75" s="77">
        <f>+B60</f>
        <v>20.2575</v>
      </c>
      <c r="G75" s="7"/>
      <c r="O75"/>
      <c r="P75"/>
      <c r="Q75"/>
      <c r="S75"/>
      <c r="T75"/>
      <c r="U75"/>
    </row>
    <row r="76" spans="1:21" ht="15.75" x14ac:dyDescent="0.3">
      <c r="C76" s="77">
        <f>+'forro cartera guarda'!C73</f>
        <v>6.69</v>
      </c>
      <c r="D76" s="5" t="str">
        <f>+'forro cartera guarda'!D73</f>
        <v>forro cartera guarda</v>
      </c>
      <c r="F76" s="77">
        <f>+'forro cartera guarda'!B60</f>
        <v>5.82</v>
      </c>
      <c r="O76"/>
      <c r="P76"/>
      <c r="Q76"/>
    </row>
    <row r="77" spans="1:21" ht="15.75" x14ac:dyDescent="0.3">
      <c r="C77" s="77">
        <f>+'forro caja EXT'!C73</f>
        <v>13.031000000000001</v>
      </c>
      <c r="D77" s="5" t="str">
        <f>+'forro caja EXT'!D73</f>
        <v>forro caja EXT</v>
      </c>
      <c r="E77" s="5"/>
      <c r="F77" s="77">
        <f>+'forro caja EXT'!B60</f>
        <v>11.2675</v>
      </c>
      <c r="O77"/>
      <c r="P77"/>
      <c r="Q77"/>
    </row>
    <row r="78" spans="1:21" x14ac:dyDescent="0.3">
      <c r="A78" s="5"/>
      <c r="C78" s="77">
        <f>+'empalme caja INT'!C73</f>
        <v>6.8890040000000008</v>
      </c>
      <c r="D78" s="5" t="str">
        <f>+'empalme caja INT'!D73</f>
        <v>EMPALME caja INT</v>
      </c>
      <c r="E78" s="5"/>
      <c r="F78" s="77">
        <f>+'empalme caja INT'!B60</f>
        <v>6.1491699999999998</v>
      </c>
      <c r="J78" s="7"/>
    </row>
    <row r="79" spans="1:21" x14ac:dyDescent="0.3">
      <c r="A79" s="5"/>
      <c r="C79" s="77">
        <f>+'espuma base 1cm'!C73</f>
        <v>3.2110000000000003</v>
      </c>
      <c r="D79" s="5" t="str">
        <f>+'espuma base 1cm'!D73</f>
        <v>espuma base 1</v>
      </c>
      <c r="E79" s="5"/>
      <c r="F79" s="77">
        <f>+'espuma base 1cm'!B61</f>
        <v>2.8675000000000002</v>
      </c>
      <c r="J79" s="7"/>
    </row>
    <row r="80" spans="1:21" x14ac:dyDescent="0.3">
      <c r="A80" s="5"/>
      <c r="C80" s="77">
        <f>+'espuma base 3cm '!C73</f>
        <v>6.8129999999999997</v>
      </c>
      <c r="D80" s="5" t="str">
        <f>+'espuma base 3cm '!D73</f>
        <v>espuma base 3</v>
      </c>
      <c r="E80" s="5"/>
      <c r="F80" s="77">
        <f>+'espuma base 3cm '!B61</f>
        <v>6.1375000000000002</v>
      </c>
      <c r="J80" s="7"/>
    </row>
    <row r="81" spans="1:18" x14ac:dyDescent="0.3">
      <c r="B81" s="69"/>
      <c r="C81" s="77">
        <f>+'cartón cartera'!C72</f>
        <v>5.0610517500000007</v>
      </c>
      <c r="D81" s="5" t="str">
        <f>+'cartón cartera'!D72</f>
        <v>cartón cartera</v>
      </c>
      <c r="E81" s="5"/>
      <c r="F81" s="77">
        <f>+'cartón cartera'!B60</f>
        <v>4.3900449999999998</v>
      </c>
    </row>
    <row r="82" spans="1:18" x14ac:dyDescent="0.3">
      <c r="C82" s="79">
        <f>+'cartón caja'!C72</f>
        <v>6.3713146875</v>
      </c>
      <c r="D82" s="5" t="str">
        <f>+'cartón caja'!D72</f>
        <v>cartón caja</v>
      </c>
      <c r="E82" s="5"/>
      <c r="F82" s="79">
        <f>+'cartón caja'!B60</f>
        <v>5.5250562500000004</v>
      </c>
    </row>
    <row r="83" spans="1:18" ht="15.75" customHeight="1" x14ac:dyDescent="0.3">
      <c r="A83" s="132">
        <f>+C83*B48</f>
        <v>144975.74087500002</v>
      </c>
      <c r="B83" s="132"/>
      <c r="C83" s="81">
        <f>SUM(C75:C82)</f>
        <v>72.487870437500007</v>
      </c>
      <c r="D83" s="5" t="s">
        <v>100</v>
      </c>
      <c r="F83" s="83">
        <f>SUM(F75:F82)</f>
        <v>62.414271249999999</v>
      </c>
      <c r="G83" s="84">
        <f>+F83*B48</f>
        <v>124828.5425</v>
      </c>
      <c r="I83" s="131">
        <f>+A83-G83</f>
        <v>20147.198375000022</v>
      </c>
      <c r="J83" s="131"/>
    </row>
    <row r="85" spans="1:18" ht="15" thickBot="1" x14ac:dyDescent="0.35"/>
    <row r="86" spans="1:18" ht="16.5" x14ac:dyDescent="0.3">
      <c r="A86" s="5" t="s">
        <v>57</v>
      </c>
      <c r="F86" s="134" t="s">
        <v>137</v>
      </c>
      <c r="G86" s="135"/>
      <c r="H86" s="135"/>
      <c r="I86" s="135"/>
      <c r="J86" s="136"/>
    </row>
    <row r="87" spans="1:18" x14ac:dyDescent="0.3">
      <c r="C87" s="5"/>
      <c r="F87" s="99"/>
      <c r="G87" s="93" t="s">
        <v>130</v>
      </c>
      <c r="H87" s="93" t="s">
        <v>131</v>
      </c>
      <c r="I87" s="93" t="s">
        <v>134</v>
      </c>
      <c r="J87" s="100" t="s">
        <v>133</v>
      </c>
    </row>
    <row r="88" spans="1:18" ht="16.5" x14ac:dyDescent="0.3">
      <c r="B88" s="61" t="s">
        <v>60</v>
      </c>
      <c r="C88" s="103" t="s">
        <v>162</v>
      </c>
      <c r="D88" s="104"/>
      <c r="F88" s="101" t="str">
        <f>+D75</f>
        <v>forro cartera</v>
      </c>
      <c r="G88" s="94" t="str">
        <f>+'forro cartera guarda'!C23</f>
        <v>Rainbow Villatoro</v>
      </c>
      <c r="H88" s="95">
        <f>+E34</f>
        <v>28</v>
      </c>
      <c r="I88" s="96">
        <f>+'forro cartera final'!C42</f>
        <v>262.5</v>
      </c>
      <c r="J88" s="102">
        <f>+H88*I88</f>
        <v>7350</v>
      </c>
      <c r="M88" s="55"/>
      <c r="N88" s="55"/>
      <c r="O88" s="55"/>
      <c r="P88" s="55"/>
      <c r="Q88" s="55"/>
      <c r="R88" s="55"/>
    </row>
    <row r="89" spans="1:18" ht="16.5" x14ac:dyDescent="0.3">
      <c r="B89" s="41" t="s">
        <v>1</v>
      </c>
      <c r="C89" s="59"/>
      <c r="D89" s="60"/>
      <c r="F89" s="101" t="str">
        <f>+D76</f>
        <v>forro cartera guarda</v>
      </c>
      <c r="G89" s="94" t="str">
        <f>+G88</f>
        <v>Rainbow Villatoro</v>
      </c>
      <c r="H89" s="95">
        <f>+H88</f>
        <v>28</v>
      </c>
      <c r="I89" s="96">
        <f>+'forro cartera guarda'!C42</f>
        <v>210</v>
      </c>
      <c r="J89" s="102">
        <f>+J88</f>
        <v>7350</v>
      </c>
      <c r="M89" s="55"/>
      <c r="N89" s="55"/>
      <c r="O89" s="55"/>
      <c r="P89" s="55"/>
      <c r="Q89" s="55"/>
      <c r="R89" s="55"/>
    </row>
    <row r="90" spans="1:18" ht="16.5" x14ac:dyDescent="0.3">
      <c r="B90" s="41" t="s">
        <v>14</v>
      </c>
      <c r="C90" s="86" t="s">
        <v>163</v>
      </c>
      <c r="D90" s="60"/>
      <c r="F90" s="101" t="str">
        <f>+D77</f>
        <v>forro caja EXT</v>
      </c>
      <c r="G90" s="94" t="str">
        <f>+C23</f>
        <v>Rainbow Villatoro</v>
      </c>
      <c r="H90" s="95">
        <f>+H89</f>
        <v>28</v>
      </c>
      <c r="I90" s="96">
        <f>+'forro caja EXT'!C42</f>
        <v>350</v>
      </c>
      <c r="J90" s="102">
        <f>+J89</f>
        <v>7350</v>
      </c>
      <c r="M90" s="55"/>
      <c r="N90" s="55"/>
      <c r="O90" s="55"/>
      <c r="P90" s="55"/>
      <c r="Q90" s="55"/>
      <c r="R90" s="55"/>
    </row>
    <row r="91" spans="1:18" ht="16.5" x14ac:dyDescent="0.3">
      <c r="B91" s="41" t="s">
        <v>64</v>
      </c>
      <c r="C91" s="86"/>
      <c r="D91" s="60" t="s">
        <v>110</v>
      </c>
      <c r="F91" s="101" t="str">
        <f>+D78</f>
        <v>EMPALME caja INT</v>
      </c>
      <c r="G91" s="94" t="str">
        <f>+C23</f>
        <v>Rainbow Villatoro</v>
      </c>
      <c r="H91" s="95">
        <f>+H90</f>
        <v>28</v>
      </c>
      <c r="I91" s="96">
        <f>+'empalme caja INT'!C42</f>
        <v>350</v>
      </c>
      <c r="J91" s="102">
        <f>+J90</f>
        <v>7350</v>
      </c>
      <c r="K91" s="66"/>
      <c r="M91" s="55"/>
      <c r="N91" s="55"/>
      <c r="O91" s="55"/>
      <c r="P91" s="55"/>
      <c r="Q91" s="55"/>
      <c r="R91" s="55"/>
    </row>
    <row r="92" spans="1:18" ht="16.5" x14ac:dyDescent="0.3">
      <c r="B92" s="41" t="s">
        <v>67</v>
      </c>
      <c r="C92" s="86"/>
      <c r="D92" s="60"/>
      <c r="F92" s="101" t="str">
        <f>+'espuma base 3cm '!D73</f>
        <v>espuma base 3</v>
      </c>
      <c r="G92" s="94" t="str">
        <f>+'espuma base 3cm '!E23</f>
        <v>Gris</v>
      </c>
      <c r="H92" s="95">
        <f>+'espuma base 3cm '!E31</f>
        <v>240</v>
      </c>
      <c r="I92" s="96">
        <f>+'espuma base 3cm '!C43</f>
        <v>46</v>
      </c>
      <c r="J92" s="102">
        <f>+H92*I92</f>
        <v>11040</v>
      </c>
      <c r="M92" s="55"/>
      <c r="N92" s="55"/>
      <c r="O92" s="55"/>
      <c r="P92" s="55"/>
      <c r="Q92" s="55"/>
      <c r="R92" s="55"/>
    </row>
    <row r="93" spans="1:18" ht="16.5" x14ac:dyDescent="0.3">
      <c r="B93" s="41" t="s">
        <v>70</v>
      </c>
      <c r="C93" s="86">
        <f>+(B48*2)*1.1</f>
        <v>4400</v>
      </c>
      <c r="D93" s="87">
        <f>+((B47*60)*2)</f>
        <v>0</v>
      </c>
      <c r="F93" s="101" t="str">
        <f>+'espuma base 1cm'!C23</f>
        <v>Espuma 1 cm.</v>
      </c>
      <c r="G93" s="94" t="str">
        <f>+'espuma base 1cm'!E23</f>
        <v>Gris</v>
      </c>
      <c r="H93" s="95">
        <f>+'espuma base 1cm'!E31</f>
        <v>100</v>
      </c>
      <c r="I93" s="96">
        <f>+'espuma base 1cm'!C43</f>
        <v>46</v>
      </c>
      <c r="J93" s="102">
        <f>+H93*I93</f>
        <v>4600</v>
      </c>
      <c r="M93" s="55"/>
      <c r="N93" s="55"/>
      <c r="O93" s="55"/>
      <c r="P93" s="55"/>
      <c r="Q93" s="55"/>
      <c r="R93" s="55"/>
    </row>
    <row r="94" spans="1:18" ht="16.5" x14ac:dyDescent="0.3">
      <c r="B94" s="41" t="s">
        <v>72</v>
      </c>
      <c r="C94" s="88">
        <v>3</v>
      </c>
      <c r="D94" s="60"/>
      <c r="F94" s="101" t="str">
        <f>+D81</f>
        <v>cartón cartera</v>
      </c>
      <c r="G94" s="94" t="s">
        <v>132</v>
      </c>
      <c r="H94" s="95">
        <f>+'cartón cartera'!E34</f>
        <v>39.429000000000002</v>
      </c>
      <c r="I94" s="96">
        <f>+'cartón cartera'!C42</f>
        <v>210</v>
      </c>
      <c r="J94" s="102">
        <f>+H94*I94</f>
        <v>8280.09</v>
      </c>
      <c r="M94" s="55"/>
      <c r="N94" s="55"/>
      <c r="O94" s="55"/>
      <c r="P94" s="55"/>
      <c r="Q94" s="55"/>
      <c r="R94" s="55"/>
    </row>
    <row r="95" spans="1:18" ht="16.5" x14ac:dyDescent="0.3">
      <c r="B95" s="41" t="s">
        <v>111</v>
      </c>
      <c r="C95" s="88">
        <v>0</v>
      </c>
      <c r="D95" s="89" t="s">
        <v>112</v>
      </c>
      <c r="F95" s="101" t="str">
        <f>+D82</f>
        <v>cartón caja</v>
      </c>
      <c r="G95" s="94" t="s">
        <v>132</v>
      </c>
      <c r="H95" s="95">
        <f>+'cartón caja'!E34</f>
        <v>39.429000000000002</v>
      </c>
      <c r="I95" s="96">
        <f>+'cartón caja'!C42</f>
        <v>262.5</v>
      </c>
      <c r="J95" s="102">
        <f>+H95*I95</f>
        <v>10350.112500000001</v>
      </c>
      <c r="M95" s="55"/>
      <c r="N95" s="55"/>
      <c r="O95" s="55"/>
      <c r="P95" s="55"/>
      <c r="Q95" s="55"/>
      <c r="R95" s="55"/>
    </row>
    <row r="96" spans="1:18" ht="16.5" x14ac:dyDescent="0.3">
      <c r="B96" s="41" t="s">
        <v>74</v>
      </c>
      <c r="C96" s="88">
        <f>+C94*C93</f>
        <v>13200</v>
      </c>
      <c r="D96" s="60"/>
      <c r="F96" s="101" t="str">
        <f>+A54</f>
        <v>Iman</v>
      </c>
      <c r="G96" s="94"/>
      <c r="H96" s="95">
        <v>3.5</v>
      </c>
      <c r="I96" s="96">
        <f>+(B48*1.1)*2</f>
        <v>4400</v>
      </c>
      <c r="J96" s="102">
        <f t="shared" ref="J96:J97" si="3">+H96*I96</f>
        <v>15400</v>
      </c>
      <c r="M96" s="55"/>
      <c r="N96" s="55"/>
      <c r="O96" s="55"/>
      <c r="P96" s="55"/>
      <c r="Q96" s="55"/>
      <c r="R96" s="55"/>
    </row>
    <row r="97" spans="1:18" ht="16.5" x14ac:dyDescent="0.3">
      <c r="B97" s="41" t="s">
        <v>109</v>
      </c>
      <c r="C97" s="88">
        <v>0</v>
      </c>
      <c r="D97" s="60"/>
      <c r="F97" s="101" t="s">
        <v>136</v>
      </c>
      <c r="G97" s="94"/>
      <c r="H97" s="95">
        <f>+'forro caja EXT'!B53+'empalme caja INT'!B53</f>
        <v>1200</v>
      </c>
      <c r="I97" s="96">
        <v>1</v>
      </c>
      <c r="J97" s="102">
        <f t="shared" si="3"/>
        <v>1200</v>
      </c>
      <c r="M97" s="55"/>
      <c r="N97" s="55"/>
      <c r="O97" s="55"/>
      <c r="P97" s="55"/>
      <c r="Q97" s="55"/>
      <c r="R97" s="55"/>
    </row>
    <row r="98" spans="1:18" ht="16.5" thickBot="1" x14ac:dyDescent="0.35">
      <c r="B98" s="41" t="s">
        <v>113</v>
      </c>
      <c r="C98" s="88">
        <v>0</v>
      </c>
      <c r="D98" s="60"/>
      <c r="F98"/>
      <c r="G98"/>
      <c r="H98"/>
      <c r="I98" s="97" t="s">
        <v>133</v>
      </c>
      <c r="J98" s="98">
        <f>SUM(J88:J97)</f>
        <v>80270.202499999999</v>
      </c>
    </row>
    <row r="99" spans="1:18" x14ac:dyDescent="0.3">
      <c r="B99" s="1" t="s">
        <v>114</v>
      </c>
      <c r="C99" s="88">
        <v>0</v>
      </c>
      <c r="D99" s="60"/>
    </row>
    <row r="100" spans="1:18" x14ac:dyDescent="0.3">
      <c r="B100" s="41" t="s">
        <v>115</v>
      </c>
      <c r="C100" s="90">
        <f>+C96</f>
        <v>13200</v>
      </c>
      <c r="D100" s="91">
        <f>+C100/B48</f>
        <v>6.6</v>
      </c>
      <c r="E100" s="1" t="s">
        <v>117</v>
      </c>
      <c r="I100" s="128" t="s">
        <v>195</v>
      </c>
      <c r="J100" s="126">
        <f>+J98/B48</f>
        <v>40.135101249999998</v>
      </c>
    </row>
    <row r="101" spans="1:18" x14ac:dyDescent="0.3">
      <c r="B101" s="41" t="s">
        <v>116</v>
      </c>
      <c r="C101" s="90">
        <f>+C100*H65</f>
        <v>15840</v>
      </c>
      <c r="D101" s="91">
        <f>+C101/B48</f>
        <v>7.92</v>
      </c>
      <c r="E101" s="1" t="s">
        <v>117</v>
      </c>
    </row>
    <row r="102" spans="1:18" x14ac:dyDescent="0.3">
      <c r="C102" s="59"/>
      <c r="D102" s="60"/>
    </row>
    <row r="103" spans="1:18" x14ac:dyDescent="0.3">
      <c r="C103" s="59"/>
      <c r="D103" s="60"/>
    </row>
    <row r="105" spans="1:18" ht="15" thickBot="1" x14ac:dyDescent="0.35">
      <c r="A105" s="5" t="s">
        <v>170</v>
      </c>
    </row>
    <row r="106" spans="1:18" x14ac:dyDescent="0.3">
      <c r="A106" s="11" t="s">
        <v>102</v>
      </c>
      <c r="B106" s="12"/>
      <c r="C106" s="12"/>
      <c r="D106" s="12"/>
      <c r="E106" s="12"/>
      <c r="F106" s="12"/>
      <c r="G106" s="13"/>
    </row>
    <row r="107" spans="1:18" x14ac:dyDescent="0.3">
      <c r="A107" s="46">
        <f>+F16</f>
        <v>42</v>
      </c>
      <c r="B107" s="73">
        <f>+H16</f>
        <v>30.6</v>
      </c>
      <c r="C107" s="7" t="s">
        <v>101</v>
      </c>
      <c r="D107" s="73" t="s">
        <v>103</v>
      </c>
      <c r="E107" s="7" t="s">
        <v>104</v>
      </c>
      <c r="F107" s="75" t="s">
        <v>167</v>
      </c>
    </row>
    <row r="108" spans="1:18" x14ac:dyDescent="0.3">
      <c r="A108" s="46">
        <f>0.342*0.467*C41</f>
        <v>335.39940000000007</v>
      </c>
      <c r="B108" s="78">
        <v>4</v>
      </c>
      <c r="C108" s="78">
        <f>+A108*B108</f>
        <v>1341.5976000000003</v>
      </c>
      <c r="D108" s="78">
        <v>0</v>
      </c>
      <c r="E108" s="119">
        <f>+C108+D108</f>
        <v>1341.5976000000003</v>
      </c>
      <c r="F108" s="92" t="s">
        <v>122</v>
      </c>
      <c r="G108" s="125">
        <v>550</v>
      </c>
    </row>
    <row r="109" spans="1:18" x14ac:dyDescent="0.3">
      <c r="A109" s="6"/>
      <c r="B109" s="78"/>
      <c r="C109" s="78"/>
      <c r="D109" s="78"/>
      <c r="E109" s="78"/>
      <c r="G109" s="8"/>
      <c r="J109" s="71"/>
    </row>
    <row r="110" spans="1:18" x14ac:dyDescent="0.3">
      <c r="A110" s="46">
        <f>+A107</f>
        <v>42</v>
      </c>
      <c r="B110" s="73">
        <f>+B107</f>
        <v>30.6</v>
      </c>
      <c r="C110" s="7" t="s">
        <v>101</v>
      </c>
      <c r="D110" s="73" t="s">
        <v>103</v>
      </c>
      <c r="E110" s="7" t="s">
        <v>104</v>
      </c>
      <c r="F110" s="75" t="s">
        <v>166</v>
      </c>
      <c r="G110" s="8"/>
    </row>
    <row r="111" spans="1:18" x14ac:dyDescent="0.3">
      <c r="A111" s="46">
        <f>0.463*0.503*C71</f>
        <v>0</v>
      </c>
      <c r="B111" s="78">
        <f>4.1*1.5</f>
        <v>6.1499999999999995</v>
      </c>
      <c r="C111" s="78">
        <f>+A111*B111</f>
        <v>0</v>
      </c>
      <c r="D111" s="78">
        <v>0</v>
      </c>
      <c r="E111" s="119">
        <f>+C111+D111</f>
        <v>0</v>
      </c>
      <c r="F111" s="92" t="s">
        <v>122</v>
      </c>
      <c r="G111" s="118">
        <v>550</v>
      </c>
    </row>
    <row r="112" spans="1:18" x14ac:dyDescent="0.3">
      <c r="A112" s="6"/>
      <c r="B112" s="7"/>
      <c r="C112" s="78"/>
      <c r="D112" s="78"/>
      <c r="E112" s="78"/>
    </row>
    <row r="113" spans="1:7" ht="15" thickBot="1" x14ac:dyDescent="0.35">
      <c r="A113" s="14"/>
      <c r="B113" s="15"/>
      <c r="C113" s="15"/>
      <c r="D113" s="15"/>
      <c r="E113" s="15"/>
      <c r="F113" s="15"/>
      <c r="G113" s="16"/>
    </row>
  </sheetData>
  <mergeCells count="4">
    <mergeCell ref="I83:J83"/>
    <mergeCell ref="A83:B83"/>
    <mergeCell ref="G74:H74"/>
    <mergeCell ref="F86:J86"/>
  </mergeCells>
  <pageMargins left="0.70866141732283472" right="0.70866141732283472" top="0.74803149606299213" bottom="0.74803149606299213" header="0.31496062992125984" footer="0.31496062992125984"/>
  <pageSetup scale="40" orientation="portrait" r:id="rId1"/>
  <headerFooter>
    <oddFooter>&amp;A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Desarrollo</vt:lpstr>
      <vt:lpstr>cartón caja</vt:lpstr>
      <vt:lpstr>cartón cartera</vt:lpstr>
      <vt:lpstr>espuma base 3cm </vt:lpstr>
      <vt:lpstr>espuma base 1cm</vt:lpstr>
      <vt:lpstr>empalme caja INT</vt:lpstr>
      <vt:lpstr>forro caja EXT</vt:lpstr>
      <vt:lpstr>forro cartera guarda</vt:lpstr>
      <vt:lpstr>forro cartera final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</dc:creator>
  <cp:lastModifiedBy>Ventas-Empresarial</cp:lastModifiedBy>
  <cp:lastPrinted>2017-10-18T19:24:17Z</cp:lastPrinted>
  <dcterms:created xsi:type="dcterms:W3CDTF">2013-03-04T22:24:31Z</dcterms:created>
  <dcterms:modified xsi:type="dcterms:W3CDTF">2017-10-18T19:27:04Z</dcterms:modified>
</cp:coreProperties>
</file>