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535" windowHeight="4020"/>
  </bookViews>
  <sheets>
    <sheet name="Desarrollo" sheetId="46" r:id="rId1"/>
    <sheet name="cartón caja" sheetId="39" r:id="rId2"/>
    <sheet name="cartón cartera" sheetId="40" r:id="rId3"/>
    <sheet name="espuma base" sheetId="44" r:id="rId4"/>
    <sheet name="empalme caja INT" sheetId="34" r:id="rId5"/>
    <sheet name="forro caja EXT" sheetId="42" r:id="rId6"/>
    <sheet name="forro cartera guarda" sheetId="43" r:id="rId7"/>
    <sheet name="forro cartera final" sheetId="38" r:id="rId8"/>
  </sheets>
  <calcPr calcId="145621"/>
</workbook>
</file>

<file path=xl/calcChain.xml><?xml version="1.0" encoding="utf-8"?>
<calcChain xmlns="http://schemas.openxmlformats.org/spreadsheetml/2006/main">
  <c r="G57" i="34" l="1"/>
  <c r="G97" i="46" l="1"/>
  <c r="G89" i="46" l="1"/>
  <c r="G83" i="46"/>
  <c r="D64" i="46"/>
  <c r="F64" i="46"/>
  <c r="E64" i="46"/>
  <c r="C64" i="46"/>
  <c r="G44" i="46"/>
  <c r="G30" i="46"/>
  <c r="H50" i="38" l="1"/>
  <c r="G49" i="38"/>
  <c r="H49" i="38" s="1"/>
  <c r="H50" i="43"/>
  <c r="G49" i="43"/>
  <c r="H49" i="43" s="1"/>
  <c r="E30" i="38"/>
  <c r="E25" i="38"/>
  <c r="C25" i="38"/>
  <c r="E23" i="38"/>
  <c r="C23" i="38"/>
  <c r="E30" i="43"/>
  <c r="E25" i="43"/>
  <c r="C25" i="43"/>
  <c r="E23" i="43"/>
  <c r="C23" i="43"/>
  <c r="H57" i="42"/>
  <c r="H56" i="42"/>
  <c r="H55" i="42"/>
  <c r="H54" i="42"/>
  <c r="H53" i="42"/>
  <c r="H52" i="42"/>
  <c r="H51" i="42"/>
  <c r="H50" i="42"/>
  <c r="G49" i="42"/>
  <c r="H49" i="42" s="1"/>
  <c r="E30" i="42"/>
  <c r="E25" i="42"/>
  <c r="C25" i="42"/>
  <c r="E23" i="42"/>
  <c r="C23" i="42"/>
  <c r="G49" i="34"/>
  <c r="D40" i="34"/>
  <c r="D40" i="42" s="1"/>
  <c r="D40" i="43" s="1"/>
  <c r="D40" i="38" s="1"/>
  <c r="E30" i="34"/>
  <c r="E25" i="34"/>
  <c r="C25" i="34"/>
  <c r="E23" i="34"/>
  <c r="C23" i="34"/>
  <c r="G57" i="44"/>
  <c r="H54" i="34" l="1"/>
  <c r="H53" i="34"/>
  <c r="H54" i="43"/>
  <c r="H53" i="43"/>
  <c r="H51" i="38"/>
  <c r="H25" i="38"/>
  <c r="F25" i="38"/>
  <c r="B110" i="38"/>
  <c r="A110" i="38"/>
  <c r="C110" i="38" s="1"/>
  <c r="E110" i="38" s="1"/>
  <c r="B83" i="43"/>
  <c r="H59" i="43"/>
  <c r="H56" i="43"/>
  <c r="H55" i="43"/>
  <c r="H52" i="43"/>
  <c r="H51" i="43"/>
  <c r="B82" i="44"/>
  <c r="B83" i="42"/>
  <c r="B83" i="34"/>
  <c r="C48" i="44"/>
  <c r="B48" i="44" s="1"/>
  <c r="H16" i="44"/>
  <c r="B78" i="44" s="1"/>
  <c r="B81" i="44" s="1"/>
  <c r="F16" i="44"/>
  <c r="A78" i="44" s="1"/>
  <c r="A81" i="44" s="1"/>
  <c r="A68" i="44" l="1"/>
  <c r="E26" i="44"/>
  <c r="E27" i="44" s="1"/>
  <c r="C26" i="44"/>
  <c r="C27" i="44" s="1"/>
  <c r="B48" i="39"/>
  <c r="D40" i="39"/>
  <c r="E30" i="39"/>
  <c r="C13" i="39"/>
  <c r="C13" i="40" s="1"/>
  <c r="C13" i="44" s="1"/>
  <c r="C13" i="34" s="1"/>
  <c r="C11" i="39"/>
  <c r="F80" i="46"/>
  <c r="C13" i="38" l="1"/>
  <c r="B68" i="44"/>
  <c r="C13" i="42"/>
  <c r="C13" i="43"/>
  <c r="C9" i="39"/>
  <c r="G36" i="46"/>
  <c r="H94" i="46" l="1"/>
  <c r="H87" i="46"/>
  <c r="H80" i="46"/>
  <c r="G73" i="46"/>
  <c r="E92" i="46" s="1"/>
  <c r="F67" i="46"/>
  <c r="E67" i="46"/>
  <c r="D67" i="46"/>
  <c r="H41" i="46"/>
  <c r="H34" i="46"/>
  <c r="H27" i="46"/>
  <c r="E25" i="46"/>
  <c r="G24" i="46"/>
  <c r="D24" i="46"/>
  <c r="G19" i="46"/>
  <c r="C19" i="46"/>
  <c r="G14" i="46"/>
  <c r="D14" i="46"/>
  <c r="E13" i="46"/>
  <c r="E95" i="46" l="1"/>
  <c r="H20" i="38"/>
  <c r="E39" i="46"/>
  <c r="C32" i="46"/>
  <c r="B68" i="46"/>
  <c r="C81" i="46" s="1"/>
  <c r="E97" i="46"/>
  <c r="E96" i="46"/>
  <c r="H24" i="46"/>
  <c r="E28" i="46" s="1"/>
  <c r="H16" i="39" s="1"/>
  <c r="E26" i="39" s="1"/>
  <c r="E32" i="46"/>
  <c r="C39" i="46"/>
  <c r="C85" i="46"/>
  <c r="C92" i="46"/>
  <c r="B15" i="46"/>
  <c r="C28" i="46" s="1"/>
  <c r="F16" i="39" s="1"/>
  <c r="H77" i="46"/>
  <c r="E81" i="46" s="1"/>
  <c r="H16" i="40" s="1"/>
  <c r="E26" i="40" s="1"/>
  <c r="E27" i="40" s="1"/>
  <c r="E85" i="46"/>
  <c r="J94" i="38"/>
  <c r="D40" i="40"/>
  <c r="D40" i="44" s="1"/>
  <c r="H95" i="38"/>
  <c r="J95" i="38" s="1"/>
  <c r="F94" i="38"/>
  <c r="E31" i="38"/>
  <c r="E32" i="38" s="1"/>
  <c r="E34" i="38" s="1"/>
  <c r="E31" i="43"/>
  <c r="E32" i="43" s="1"/>
  <c r="E34" i="43" s="1"/>
  <c r="E35" i="43" s="1"/>
  <c r="E31" i="42"/>
  <c r="E32" i="42" s="1"/>
  <c r="E34" i="42" s="1"/>
  <c r="E35" i="42" s="1"/>
  <c r="E31" i="34"/>
  <c r="E32" i="34" s="1"/>
  <c r="E34" i="34" s="1"/>
  <c r="E35" i="34" s="1"/>
  <c r="H52" i="39"/>
  <c r="H61" i="39" s="1"/>
  <c r="B69" i="39"/>
  <c r="H52" i="40"/>
  <c r="H61" i="40" s="1"/>
  <c r="B69" i="40"/>
  <c r="H52" i="44"/>
  <c r="B69" i="44"/>
  <c r="B68" i="34"/>
  <c r="B70" i="34"/>
  <c r="B68" i="42"/>
  <c r="B70" i="42"/>
  <c r="B68" i="43"/>
  <c r="B70" i="43"/>
  <c r="B71" i="43"/>
  <c r="B69" i="38"/>
  <c r="B73" i="38"/>
  <c r="B74" i="38"/>
  <c r="H25" i="43"/>
  <c r="F25" i="43"/>
  <c r="H25" i="42"/>
  <c r="F25" i="42"/>
  <c r="F23" i="40"/>
  <c r="E30" i="40"/>
  <c r="E31" i="39"/>
  <c r="E32" i="39" s="1"/>
  <c r="E34" i="39" s="1"/>
  <c r="E35" i="39" s="1"/>
  <c r="E31" i="40"/>
  <c r="E32" i="40" s="1"/>
  <c r="E34" i="40" s="1"/>
  <c r="E35" i="40" s="1"/>
  <c r="G87" i="38"/>
  <c r="G88" i="38" s="1"/>
  <c r="G90" i="38"/>
  <c r="G89" i="38"/>
  <c r="D78" i="38"/>
  <c r="F90" i="38" s="1"/>
  <c r="F87" i="38"/>
  <c r="D79" i="38"/>
  <c r="F91" i="38" s="1"/>
  <c r="E31" i="44"/>
  <c r="E32" i="44" s="1"/>
  <c r="E34" i="44" s="1"/>
  <c r="C40" i="44"/>
  <c r="A79" i="44" s="1"/>
  <c r="C79" i="44" s="1"/>
  <c r="E79" i="44" s="1"/>
  <c r="H49" i="44"/>
  <c r="H50" i="44"/>
  <c r="H51" i="44"/>
  <c r="H53" i="44"/>
  <c r="H54" i="44"/>
  <c r="H55" i="44"/>
  <c r="H56" i="44"/>
  <c r="H58" i="44"/>
  <c r="H59" i="44"/>
  <c r="B70" i="44"/>
  <c r="A70" i="44"/>
  <c r="A69" i="44"/>
  <c r="H25" i="44"/>
  <c r="H26" i="44"/>
  <c r="F25" i="44"/>
  <c r="F26" i="44"/>
  <c r="C11" i="44"/>
  <c r="C9" i="44"/>
  <c r="B48" i="38"/>
  <c r="B55" i="38" s="1"/>
  <c r="H52" i="38"/>
  <c r="H55" i="38"/>
  <c r="H56" i="38"/>
  <c r="H16" i="38"/>
  <c r="B48" i="34"/>
  <c r="C40" i="34" s="1"/>
  <c r="C41" i="34" s="1"/>
  <c r="H49" i="34"/>
  <c r="H50" i="34"/>
  <c r="B48" i="42"/>
  <c r="B56" i="42" s="1"/>
  <c r="B48" i="43"/>
  <c r="C40" i="43" s="1"/>
  <c r="C40" i="39"/>
  <c r="C41" i="39" s="1"/>
  <c r="B48" i="40"/>
  <c r="C40" i="40" s="1"/>
  <c r="C11" i="38"/>
  <c r="C11" i="43"/>
  <c r="C11" i="42"/>
  <c r="C11" i="34"/>
  <c r="C11" i="40"/>
  <c r="C26" i="39"/>
  <c r="H26" i="39" s="1"/>
  <c r="H27" i="39" s="1"/>
  <c r="C9" i="38"/>
  <c r="C9" i="43"/>
  <c r="C9" i="42"/>
  <c r="C9" i="34"/>
  <c r="C9" i="40"/>
  <c r="D92" i="38"/>
  <c r="D81" i="38"/>
  <c r="F93" i="38" s="1"/>
  <c r="D80" i="38"/>
  <c r="F92" i="38" s="1"/>
  <c r="D77" i="38"/>
  <c r="F89" i="38" s="1"/>
  <c r="D76" i="38"/>
  <c r="F88" i="38" s="1"/>
  <c r="A71" i="43"/>
  <c r="A70" i="43"/>
  <c r="A69" i="43"/>
  <c r="A68" i="43"/>
  <c r="H59" i="42"/>
  <c r="A71" i="42"/>
  <c r="A70" i="42"/>
  <c r="A69" i="42"/>
  <c r="A68" i="42"/>
  <c r="B71" i="34"/>
  <c r="H52" i="34"/>
  <c r="H53" i="38"/>
  <c r="H54" i="38"/>
  <c r="H57" i="38"/>
  <c r="H59" i="38"/>
  <c r="A73" i="38"/>
  <c r="A71" i="38"/>
  <c r="A74" i="38"/>
  <c r="A69" i="38"/>
  <c r="A68" i="34"/>
  <c r="H49" i="40"/>
  <c r="H50" i="40"/>
  <c r="H51" i="40"/>
  <c r="H53" i="40"/>
  <c r="H54" i="40"/>
  <c r="H55" i="40"/>
  <c r="H56" i="40"/>
  <c r="H57" i="40"/>
  <c r="H58" i="40"/>
  <c r="H59" i="40"/>
  <c r="B68" i="40"/>
  <c r="B70" i="40"/>
  <c r="A70" i="40"/>
  <c r="A69" i="40"/>
  <c r="A68" i="40"/>
  <c r="H25" i="40"/>
  <c r="F25" i="40"/>
  <c r="H49" i="39"/>
  <c r="H50" i="39"/>
  <c r="H51" i="39"/>
  <c r="H53" i="39"/>
  <c r="H54" i="39"/>
  <c r="H55" i="39"/>
  <c r="H56" i="39"/>
  <c r="H57" i="39"/>
  <c r="H58" i="39"/>
  <c r="H59" i="39"/>
  <c r="B68" i="39"/>
  <c r="B70" i="39"/>
  <c r="A70" i="39"/>
  <c r="A69" i="39"/>
  <c r="A68" i="39"/>
  <c r="H25" i="39"/>
  <c r="F25" i="39"/>
  <c r="H51" i="34"/>
  <c r="H55" i="34"/>
  <c r="H56" i="34"/>
  <c r="H59" i="34"/>
  <c r="A71" i="34"/>
  <c r="A70" i="34"/>
  <c r="A69" i="34"/>
  <c r="H25" i="34"/>
  <c r="F25" i="34"/>
  <c r="F26" i="39" l="1"/>
  <c r="F27" i="39" s="1"/>
  <c r="E27" i="39"/>
  <c r="G43" i="39"/>
  <c r="E88" i="46"/>
  <c r="H16" i="43" s="1"/>
  <c r="H20" i="43"/>
  <c r="C95" i="46"/>
  <c r="F20" i="38"/>
  <c r="F16" i="38" s="1"/>
  <c r="C88" i="46"/>
  <c r="F16" i="43" s="1"/>
  <c r="F20" i="43"/>
  <c r="B69" i="43" s="1"/>
  <c r="C82" i="46"/>
  <c r="F16" i="40"/>
  <c r="C26" i="40" s="1"/>
  <c r="E35" i="46"/>
  <c r="H16" i="34" s="1"/>
  <c r="H20" i="34"/>
  <c r="E42" i="46"/>
  <c r="H20" i="42"/>
  <c r="C42" i="46"/>
  <c r="F16" i="42" s="1"/>
  <c r="F20" i="42"/>
  <c r="C35" i="46"/>
  <c r="F20" i="34"/>
  <c r="G43" i="44"/>
  <c r="C26" i="38"/>
  <c r="A106" i="38"/>
  <c r="A109" i="38" s="1"/>
  <c r="B106" i="38"/>
  <c r="B109" i="38" s="1"/>
  <c r="E26" i="38"/>
  <c r="C40" i="38"/>
  <c r="C41" i="38" s="1"/>
  <c r="A107" i="38" s="1"/>
  <c r="C107" i="38" s="1"/>
  <c r="E107" i="38" s="1"/>
  <c r="G58" i="38" s="1"/>
  <c r="H58" i="38" s="1"/>
  <c r="H64" i="38" s="1"/>
  <c r="B68" i="38" s="1"/>
  <c r="A83" i="34"/>
  <c r="C83" i="34" s="1"/>
  <c r="E83" i="34" s="1"/>
  <c r="H57" i="34" s="1"/>
  <c r="A80" i="34"/>
  <c r="C40" i="42"/>
  <c r="G43" i="42" s="1"/>
  <c r="C92" i="38"/>
  <c r="C95" i="38" s="1"/>
  <c r="C99" i="38" s="1"/>
  <c r="C100" i="38" s="1"/>
  <c r="H91" i="38"/>
  <c r="J91" i="38" s="1"/>
  <c r="E35" i="44"/>
  <c r="F27" i="44"/>
  <c r="G43" i="34"/>
  <c r="G43" i="38"/>
  <c r="B71" i="42"/>
  <c r="E35" i="38"/>
  <c r="H87" i="38"/>
  <c r="H88" i="38" s="1"/>
  <c r="H89" i="38" s="1"/>
  <c r="H90" i="38" s="1"/>
  <c r="B54" i="38"/>
  <c r="B71" i="38"/>
  <c r="C42" i="38"/>
  <c r="C43" i="38" s="1"/>
  <c r="G44" i="38"/>
  <c r="H27" i="44"/>
  <c r="F26" i="40"/>
  <c r="F27" i="40" s="1"/>
  <c r="B67" i="39"/>
  <c r="B51" i="39"/>
  <c r="C42" i="39"/>
  <c r="C46" i="39" s="1"/>
  <c r="G44" i="39"/>
  <c r="C27" i="39"/>
  <c r="C83" i="46"/>
  <c r="C41" i="43"/>
  <c r="G43" i="43"/>
  <c r="C42" i="34"/>
  <c r="G44" i="34"/>
  <c r="C80" i="34"/>
  <c r="E80" i="34" s="1"/>
  <c r="G58" i="34" s="1"/>
  <c r="H58" i="34" s="1"/>
  <c r="J87" i="38"/>
  <c r="J88" i="38" s="1"/>
  <c r="J89" i="38" s="1"/>
  <c r="J90" i="38" s="1"/>
  <c r="G43" i="40"/>
  <c r="C41" i="40"/>
  <c r="D99" i="38"/>
  <c r="C41" i="44"/>
  <c r="C89" i="46"/>
  <c r="C90" i="46"/>
  <c r="E90" i="46"/>
  <c r="C30" i="46"/>
  <c r="C29" i="46"/>
  <c r="E37" i="46"/>
  <c r="E83" i="46"/>
  <c r="E82" i="46"/>
  <c r="C97" i="46"/>
  <c r="C96" i="46"/>
  <c r="C43" i="46"/>
  <c r="E30" i="46"/>
  <c r="E29" i="46"/>
  <c r="B67" i="40"/>
  <c r="B51" i="40"/>
  <c r="H92" i="38"/>
  <c r="H93" i="38"/>
  <c r="J93" i="38" s="1"/>
  <c r="E89" i="46" l="1"/>
  <c r="E36" i="46"/>
  <c r="C44" i="46"/>
  <c r="C41" i="42"/>
  <c r="G44" i="42" s="1"/>
  <c r="B79" i="43"/>
  <c r="B82" i="43" s="1"/>
  <c r="E26" i="43"/>
  <c r="H26" i="40"/>
  <c r="H27" i="40" s="1"/>
  <c r="C27" i="40"/>
  <c r="A79" i="43"/>
  <c r="A82" i="43" s="1"/>
  <c r="C26" i="43"/>
  <c r="H16" i="42"/>
  <c r="E43" i="46"/>
  <c r="E44" i="46"/>
  <c r="B79" i="34"/>
  <c r="B82" i="34" s="1"/>
  <c r="E26" i="34"/>
  <c r="F16" i="34"/>
  <c r="C36" i="46"/>
  <c r="C37" i="46"/>
  <c r="B69" i="42"/>
  <c r="A79" i="42"/>
  <c r="A82" i="42" s="1"/>
  <c r="C26" i="42"/>
  <c r="C42" i="42"/>
  <c r="C46" i="42" s="1"/>
  <c r="F26" i="38"/>
  <c r="F27" i="38" s="1"/>
  <c r="E27" i="38"/>
  <c r="C27" i="38"/>
  <c r="H26" i="38"/>
  <c r="H27" i="38" s="1"/>
  <c r="H61" i="34"/>
  <c r="B67" i="34" s="1"/>
  <c r="B51" i="38"/>
  <c r="A83" i="42"/>
  <c r="C83" i="42" s="1"/>
  <c r="E83" i="42" s="1"/>
  <c r="C42" i="44"/>
  <c r="B50" i="44" s="1"/>
  <c r="A82" i="44"/>
  <c r="C82" i="44" s="1"/>
  <c r="E82" i="44" s="1"/>
  <c r="H57" i="44" s="1"/>
  <c r="H61" i="44" s="1"/>
  <c r="B67" i="44" s="1"/>
  <c r="A80" i="43"/>
  <c r="C80" i="43" s="1"/>
  <c r="E80" i="43" s="1"/>
  <c r="G58" i="43" s="1"/>
  <c r="H58" i="43" s="1"/>
  <c r="A83" i="43"/>
  <c r="C83" i="43" s="1"/>
  <c r="E83" i="43" s="1"/>
  <c r="G57" i="43" s="1"/>
  <c r="H57" i="43" s="1"/>
  <c r="B50" i="39"/>
  <c r="B58" i="39" s="1"/>
  <c r="B60" i="39" s="1"/>
  <c r="F81" i="38" s="1"/>
  <c r="B50" i="38"/>
  <c r="B67" i="38"/>
  <c r="C46" i="38"/>
  <c r="B66" i="39"/>
  <c r="B72" i="39" s="1"/>
  <c r="E63" i="39" s="1"/>
  <c r="G44" i="44"/>
  <c r="B70" i="38"/>
  <c r="D100" i="38"/>
  <c r="C42" i="40"/>
  <c r="G44" i="40"/>
  <c r="B66" i="34"/>
  <c r="C46" i="34"/>
  <c r="C43" i="34"/>
  <c r="B50" i="34"/>
  <c r="G44" i="43"/>
  <c r="C42" i="43"/>
  <c r="C46" i="44"/>
  <c r="B50" i="42"/>
  <c r="C43" i="42"/>
  <c r="B66" i="42" l="1"/>
  <c r="A80" i="42"/>
  <c r="C80" i="42" s="1"/>
  <c r="E80" i="42" s="1"/>
  <c r="G58" i="42" s="1"/>
  <c r="H58" i="42" s="1"/>
  <c r="G69" i="39"/>
  <c r="H69" i="39" s="1"/>
  <c r="E27" i="43"/>
  <c r="F26" i="43"/>
  <c r="F27" i="43" s="1"/>
  <c r="C27" i="43"/>
  <c r="H26" i="43"/>
  <c r="H27" i="43" s="1"/>
  <c r="E27" i="34"/>
  <c r="F26" i="34"/>
  <c r="F27" i="34" s="1"/>
  <c r="B79" i="42"/>
  <c r="B82" i="42" s="1"/>
  <c r="E26" i="42"/>
  <c r="C27" i="42"/>
  <c r="H26" i="42"/>
  <c r="H27" i="42" s="1"/>
  <c r="B69" i="34"/>
  <c r="C26" i="34"/>
  <c r="A79" i="34"/>
  <c r="A82" i="34" s="1"/>
  <c r="B51" i="34"/>
  <c r="B73" i="34"/>
  <c r="D65" i="34" s="1"/>
  <c r="B51" i="44"/>
  <c r="B58" i="38"/>
  <c r="B60" i="38" s="1"/>
  <c r="F75" i="38" s="1"/>
  <c r="B75" i="38"/>
  <c r="I52" i="38" s="1"/>
  <c r="H61" i="43"/>
  <c r="B67" i="43" s="1"/>
  <c r="B58" i="44"/>
  <c r="B60" i="44" s="1"/>
  <c r="F79" i="38" s="1"/>
  <c r="C72" i="39"/>
  <c r="G70" i="39" s="1"/>
  <c r="B66" i="44"/>
  <c r="B72" i="44" s="1"/>
  <c r="C72" i="44" s="1"/>
  <c r="H61" i="42"/>
  <c r="I52" i="39"/>
  <c r="D65" i="39"/>
  <c r="B58" i="34"/>
  <c r="B60" i="34" s="1"/>
  <c r="B66" i="43"/>
  <c r="C43" i="43"/>
  <c r="C46" i="43"/>
  <c r="B50" i="43"/>
  <c r="C46" i="40"/>
  <c r="J92" i="38"/>
  <c r="J97" i="38" s="1"/>
  <c r="B50" i="40"/>
  <c r="B58" i="40" s="1"/>
  <c r="B60" i="40" s="1"/>
  <c r="B66" i="40"/>
  <c r="B72" i="40" s="1"/>
  <c r="C81" i="38" l="1"/>
  <c r="B51" i="43"/>
  <c r="B58" i="43" s="1"/>
  <c r="B60" i="43" s="1"/>
  <c r="E27" i="42"/>
  <c r="F26" i="42"/>
  <c r="F27" i="42" s="1"/>
  <c r="I52" i="34"/>
  <c r="H26" i="34"/>
  <c r="H27" i="34" s="1"/>
  <c r="C27" i="34"/>
  <c r="E63" i="34"/>
  <c r="H71" i="38"/>
  <c r="I71" i="38" s="1"/>
  <c r="C73" i="34"/>
  <c r="G71" i="34" s="1"/>
  <c r="H71" i="34" s="1"/>
  <c r="D65" i="44"/>
  <c r="G69" i="44"/>
  <c r="H69" i="44" s="1"/>
  <c r="E63" i="44"/>
  <c r="C75" i="38"/>
  <c r="H72" i="38" s="1"/>
  <c r="I72" i="38" s="1"/>
  <c r="I52" i="44"/>
  <c r="B67" i="42"/>
  <c r="B73" i="42" s="1"/>
  <c r="D65" i="42" s="1"/>
  <c r="B51" i="42"/>
  <c r="B58" i="42" s="1"/>
  <c r="B60" i="42" s="1"/>
  <c r="G70" i="42" s="1"/>
  <c r="H70" i="42" s="1"/>
  <c r="C78" i="38"/>
  <c r="G69" i="40"/>
  <c r="H69" i="40" s="1"/>
  <c r="F80" i="38"/>
  <c r="G70" i="34"/>
  <c r="H70" i="34" s="1"/>
  <c r="F78" i="38"/>
  <c r="B73" i="43"/>
  <c r="I52" i="43" s="1"/>
  <c r="C72" i="40"/>
  <c r="D65" i="40"/>
  <c r="E63" i="40"/>
  <c r="I52" i="40"/>
  <c r="C79" i="38"/>
  <c r="G70" i="44"/>
  <c r="H70" i="44" s="1"/>
  <c r="H70" i="39"/>
  <c r="G71" i="39"/>
  <c r="H71" i="39" s="1"/>
  <c r="G72" i="34" l="1"/>
  <c r="H72" i="34" s="1"/>
  <c r="H73" i="38"/>
  <c r="I73" i="38" s="1"/>
  <c r="F77" i="38"/>
  <c r="C73" i="42"/>
  <c r="C77" i="38" s="1"/>
  <c r="E63" i="42"/>
  <c r="G71" i="42"/>
  <c r="H71" i="42" s="1"/>
  <c r="I52" i="42"/>
  <c r="F76" i="38"/>
  <c r="G70" i="43"/>
  <c r="H70" i="43" s="1"/>
  <c r="C80" i="38"/>
  <c r="G70" i="40"/>
  <c r="H70" i="40" s="1"/>
  <c r="E63" i="43"/>
  <c r="C73" i="43"/>
  <c r="D65" i="43"/>
  <c r="G71" i="44"/>
  <c r="H71" i="44" s="1"/>
  <c r="G72" i="42"/>
  <c r="H72" i="42" s="1"/>
  <c r="F82" i="38" l="1"/>
  <c r="G82" i="38" s="1"/>
  <c r="G71" i="40"/>
  <c r="H71" i="40" s="1"/>
  <c r="G71" i="43"/>
  <c r="C76" i="38"/>
  <c r="C82" i="38" s="1"/>
  <c r="A82" i="38" l="1"/>
  <c r="I82" i="38" s="1"/>
  <c r="G72" i="43"/>
  <c r="H72" i="43" s="1"/>
  <c r="H71" i="43"/>
  <c r="I74" i="38" l="1"/>
</calcChain>
</file>

<file path=xl/comments1.xml><?xml version="1.0" encoding="utf-8"?>
<comments xmlns="http://schemas.openxmlformats.org/spreadsheetml/2006/main">
  <authors>
    <author>Ventas-Empresarial</author>
  </authors>
  <commentList>
    <comment ref="F30" authorId="0">
      <text>
        <r>
          <rPr>
            <b/>
            <sz val="9"/>
            <color indexed="81"/>
            <rFont val="Tahoma"/>
            <family val="2"/>
          </rPr>
          <t>Ventas-Empresarial:</t>
        </r>
        <r>
          <rPr>
            <sz val="9"/>
            <color indexed="81"/>
            <rFont val="Tahoma"/>
            <family val="2"/>
          </rPr>
          <t xml:space="preserve">
confirmo george
</t>
        </r>
      </text>
    </comment>
  </commentList>
</comments>
</file>

<file path=xl/sharedStrings.xml><?xml version="1.0" encoding="utf-8"?>
<sst xmlns="http://schemas.openxmlformats.org/spreadsheetml/2006/main" count="849" uniqueCount="193">
  <si>
    <t>Observaciones</t>
  </si>
  <si>
    <t xml:space="preserve">Material 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</si>
  <si>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</si>
  <si>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</si>
  <si>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</si>
  <si>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</si>
  <si>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</si>
  <si>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</si>
  <si>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</si>
  <si>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 xml:space="preserve">Grafico </t>
  </si>
  <si>
    <t>Proyecto</t>
  </si>
  <si>
    <t>Descripción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</si>
  <si>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</si>
  <si>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</si>
  <si>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</si>
  <si>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</si>
  <si>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</si>
  <si>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</si>
  <si>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</si>
  <si>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</si>
  <si>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</si>
  <si>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</si>
  <si>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</si>
  <si>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</si>
  <si>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</si>
  <si>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</si>
  <si>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</si>
  <si>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</si>
  <si>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</si>
  <si>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</si>
  <si>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</si>
  <si>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</si>
  <si>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</si>
  <si>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</si>
  <si>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</si>
  <si>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</si>
  <si>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</si>
  <si>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</si>
  <si>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</si>
  <si>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</si>
  <si>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</si>
  <si>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</si>
  <si>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</si>
  <si>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</si>
  <si>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</si>
  <si>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</si>
  <si>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</si>
  <si>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tintas</t>
  </si>
  <si>
    <t>millares a imp</t>
  </si>
  <si>
    <t>concepto</t>
  </si>
  <si>
    <t>$ Millar</t>
  </si>
  <si>
    <t>total</t>
  </si>
  <si>
    <t xml:space="preserve">Costos </t>
  </si>
  <si>
    <t>Papel</t>
  </si>
  <si>
    <t>pegado</t>
  </si>
  <si>
    <t xml:space="preserve">Colocar liston 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</si>
  <si>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</si>
  <si>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</si>
  <si>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</si>
  <si>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</si>
  <si>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</si>
  <si>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</si>
  <si>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</si>
  <si>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</si>
  <si>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</si>
  <si>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</si>
  <si>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</si>
  <si>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</si>
  <si>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</si>
  <si>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</si>
  <si>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Precio</t>
  </si>
  <si>
    <t xml:space="preserve">Precio por pza. </t>
  </si>
  <si>
    <t>Costo</t>
  </si>
  <si>
    <t>Importe de la compra</t>
  </si>
  <si>
    <t>Precio final</t>
  </si>
  <si>
    <t>Utilidad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</si>
  <si>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</si>
  <si>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</si>
  <si>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</si>
  <si>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</si>
  <si>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</si>
  <si>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</si>
  <si>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</si>
  <si>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</si>
  <si>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</si>
  <si>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</si>
  <si>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</si>
  <si>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</si>
  <si>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</si>
  <si>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</si>
  <si>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</si>
  <si>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</si>
  <si>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</si>
  <si>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</si>
  <si>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gris</t>
  </si>
  <si>
    <t>Arreglo HS</t>
  </si>
  <si>
    <t>Encuadernación</t>
  </si>
  <si>
    <t>Imán</t>
  </si>
  <si>
    <t>corte</t>
  </si>
  <si>
    <t>TOTAL</t>
  </si>
  <si>
    <t>Area</t>
  </si>
  <si>
    <t>area + cantidad de hojas</t>
  </si>
  <si>
    <t>arreglo</t>
  </si>
  <si>
    <t>total a pagar</t>
  </si>
  <si>
    <t>Cartón Gris</t>
  </si>
  <si>
    <t>empalme</t>
  </si>
  <si>
    <t>forro guarda</t>
  </si>
  <si>
    <t>Empaque</t>
  </si>
  <si>
    <t>Comisiones</t>
  </si>
  <si>
    <t>Suajado</t>
  </si>
  <si>
    <t>mt</t>
  </si>
  <si>
    <t>Precio por Paquete</t>
  </si>
  <si>
    <t>* MT</t>
  </si>
  <si>
    <t>Colocado</t>
  </si>
  <si>
    <t>Maquila Armado</t>
  </si>
  <si>
    <t>TT Costo</t>
  </si>
  <si>
    <t>TT Utilidad</t>
  </si>
  <si>
    <t>Unitario</t>
  </si>
  <si>
    <t>Venta</t>
  </si>
  <si>
    <t>Cartera</t>
  </si>
  <si>
    <t>Envio</t>
  </si>
  <si>
    <t>Pruebas de color</t>
  </si>
  <si>
    <t xml:space="preserve">minimo </t>
  </si>
  <si>
    <t>cartón caja</t>
  </si>
  <si>
    <t>cartón cartera</t>
  </si>
  <si>
    <t>forro caja EXT</t>
  </si>
  <si>
    <t>forro cartera</t>
  </si>
  <si>
    <t>Arreglo Grabado</t>
  </si>
  <si>
    <t>Grabado</t>
  </si>
  <si>
    <t>Tabla de suaje + Placa</t>
  </si>
  <si>
    <t>Material</t>
  </si>
  <si>
    <t>$ compra dcto</t>
  </si>
  <si>
    <t>Gris #4</t>
  </si>
  <si>
    <t>TT</t>
  </si>
  <si>
    <t>Pliegos</t>
  </si>
  <si>
    <t>#4</t>
  </si>
  <si>
    <t>según muestra entregada</t>
  </si>
  <si>
    <t>Tablas</t>
  </si>
  <si>
    <t xml:space="preserve">Costo Basicos </t>
  </si>
  <si>
    <t>Fecha:</t>
  </si>
  <si>
    <t>Cliente:</t>
  </si>
  <si>
    <t>Proyecto:</t>
  </si>
  <si>
    <t>Cantidad:</t>
  </si>
  <si>
    <t>piezas</t>
  </si>
  <si>
    <t>merma</t>
  </si>
  <si>
    <t>Base(frente)</t>
  </si>
  <si>
    <t>Profundidad</t>
  </si>
  <si>
    <t>Altura</t>
  </si>
  <si>
    <t>TT Horizontal</t>
  </si>
  <si>
    <t>TT Vertical</t>
  </si>
  <si>
    <t>CARTÓN</t>
  </si>
  <si>
    <t>TT Pliegos</t>
  </si>
  <si>
    <t>Empalme Interior</t>
  </si>
  <si>
    <t>Forro Exterior</t>
  </si>
  <si>
    <t>Lado 1</t>
  </si>
  <si>
    <t>Lado 2</t>
  </si>
  <si>
    <t>Medida Tapa</t>
  </si>
  <si>
    <t xml:space="preserve">Cartón </t>
  </si>
  <si>
    <t>Guarda Interior Cartera</t>
  </si>
  <si>
    <t>Forro Exterior Cartera</t>
  </si>
  <si>
    <t>Marca</t>
  </si>
  <si>
    <t>CAJA</t>
  </si>
  <si>
    <t>Medida Caja</t>
  </si>
  <si>
    <t>Imanes</t>
  </si>
  <si>
    <t>plata</t>
  </si>
  <si>
    <t>Iman</t>
  </si>
  <si>
    <t>Espuma</t>
  </si>
  <si>
    <t>Blanca</t>
  </si>
  <si>
    <t>.25 mm</t>
  </si>
  <si>
    <t>espuma base</t>
  </si>
  <si>
    <t>espuma para sujetar accesorios</t>
  </si>
  <si>
    <t>EMPALME</t>
  </si>
  <si>
    <t>LAMINADO MATE</t>
  </si>
  <si>
    <t>EMPALME caja INT</t>
  </si>
  <si>
    <t>Empalme</t>
  </si>
  <si>
    <t>LAMINADOS7 BARNIZ UV/ EMPALMES</t>
  </si>
  <si>
    <t>papel</t>
  </si>
  <si>
    <t xml:space="preserve">Rainbow Azul </t>
  </si>
  <si>
    <t>Promsite</t>
  </si>
  <si>
    <t>Caja de Vino</t>
  </si>
  <si>
    <t>tamaño extendido 22 X 34.5 cm.</t>
  </si>
  <si>
    <t xml:space="preserve">Caja Almeja Suajada </t>
  </si>
  <si>
    <t xml:space="preserve">forrado en papel importación </t>
  </si>
  <si>
    <t>cartera impresa a 1 tinta serigrafía +</t>
  </si>
  <si>
    <t>WHITE HOUSE</t>
  </si>
  <si>
    <t>ARREGLO SERI</t>
  </si>
  <si>
    <t xml:space="preserve"> </t>
  </si>
  <si>
    <t>tamaño extendido 45.5 X 39.5 cm.</t>
  </si>
  <si>
    <t>tamaño extendido 46.5 X 26.5 cm.</t>
  </si>
  <si>
    <t>tamaño 32.5 X 26.5 X 6.5 cm.</t>
  </si>
  <si>
    <t xml:space="preserve">IMP Digital </t>
  </si>
  <si>
    <t>negra</t>
  </si>
  <si>
    <t>09 de mayo de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</si>
</sst>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4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19" applyNumberFormat="0" applyAlignment="0" applyProtection="0"/>
    <xf numFmtId="0" fontId="15" fillId="5" borderId="20" applyNumberFormat="0" applyAlignment="0" applyProtection="0"/>
    <xf numFmtId="0" fontId="16" fillId="6" borderId="0" applyNumberFormat="0" applyBorder="0" applyAlignment="0" applyProtection="0"/>
    <xf numFmtId="0" fontId="17" fillId="0" borderId="21" applyNumberFormat="0" applyFill="0" applyAlignment="0" applyProtection="0"/>
    <xf numFmtId="0" fontId="18" fillId="0" borderId="22" applyNumberFormat="0" applyFill="0" applyAlignment="0" applyProtection="0"/>
    <xf numFmtId="0" fontId="19" fillId="0" borderId="23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7" borderId="24" applyNumberFormat="0" applyFont="0" applyAlignment="0" applyProtection="0"/>
    <xf numFmtId="44" fontId="2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2" xfId="0" applyFont="1" applyBorder="1"/>
    <xf numFmtId="0" fontId="4" fillId="0" borderId="12" xfId="0" applyFont="1" applyBorder="1"/>
    <xf numFmtId="2" fontId="4" fillId="0" borderId="12" xfId="0" applyNumberFormat="1" applyFont="1" applyBorder="1" applyAlignment="1">
      <alignment horizontal="center"/>
    </xf>
    <xf numFmtId="0" fontId="10" fillId="0" borderId="0" xfId="0" applyFont="1"/>
    <xf numFmtId="0" fontId="2" fillId="0" borderId="12" xfId="0" applyFont="1" applyBorder="1"/>
    <xf numFmtId="2" fontId="5" fillId="0" borderId="1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2" fillId="0" borderId="0" xfId="0" applyNumberFormat="1" applyFont="1" applyAlignment="1">
      <alignment horizontal="center"/>
    </xf>
    <xf numFmtId="44" fontId="23" fillId="0" borderId="0" xfId="1" applyFont="1"/>
    <xf numFmtId="44" fontId="24" fillId="8" borderId="0" xfId="1" applyFont="1" applyFill="1"/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44" fontId="2" fillId="0" borderId="17" xfId="1" applyFont="1" applyBorder="1" applyAlignment="1">
      <alignment horizontal="left"/>
    </xf>
    <xf numFmtId="0" fontId="6" fillId="0" borderId="18" xfId="0" applyFont="1" applyBorder="1"/>
    <xf numFmtId="44" fontId="2" fillId="0" borderId="17" xfId="0" applyNumberFormat="1" applyFont="1" applyBorder="1"/>
    <xf numFmtId="44" fontId="2" fillId="0" borderId="18" xfId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44" fontId="26" fillId="0" borderId="12" xfId="0" applyNumberFormat="1" applyFont="1" applyBorder="1" applyAlignment="1">
      <alignment horizontal="center"/>
    </xf>
    <xf numFmtId="1" fontId="26" fillId="0" borderId="12" xfId="0" applyNumberFormat="1" applyFont="1" applyBorder="1" applyAlignment="1">
      <alignment horizontal="center"/>
    </xf>
    <xf numFmtId="0" fontId="25" fillId="0" borderId="25" xfId="0" applyFont="1" applyBorder="1"/>
    <xf numFmtId="44" fontId="25" fillId="0" borderId="26" xfId="0" applyNumberFormat="1" applyFont="1" applyBorder="1"/>
    <xf numFmtId="0" fontId="26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6" fillId="0" borderId="11" xfId="0" applyFont="1" applyBorder="1" applyAlignment="1">
      <alignment horizontal="right"/>
    </xf>
    <xf numFmtId="44" fontId="26" fillId="0" borderId="13" xfId="0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2" fillId="0" borderId="16" xfId="0" applyFont="1" applyBorder="1"/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29" fillId="0" borderId="0" xfId="0" applyFont="1"/>
    <xf numFmtId="0" fontId="28" fillId="0" borderId="0" xfId="0" applyFont="1"/>
    <xf numFmtId="0" fontId="28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44" fontId="10" fillId="0" borderId="0" xfId="1" applyFont="1"/>
    <xf numFmtId="44" fontId="28" fillId="0" borderId="0" xfId="1" applyFont="1"/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44" fontId="30" fillId="9" borderId="5" xfId="13" applyFont="1" applyFill="1" applyBorder="1" applyAlignment="1">
      <alignment vertical="center"/>
    </xf>
    <xf numFmtId="44" fontId="2" fillId="0" borderId="0" xfId="1" applyFont="1"/>
    <xf numFmtId="44" fontId="2" fillId="0" borderId="5" xfId="1" applyFont="1" applyBorder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5" xfId="1" applyFont="1" applyBorder="1" applyAlignment="1">
      <alignment horizontal="center"/>
    </xf>
    <xf numFmtId="0" fontId="5" fillId="0" borderId="0" xfId="0" applyFont="1" applyAlignment="1">
      <alignment horizontal="left"/>
    </xf>
    <xf numFmtId="2" fontId="10" fillId="0" borderId="0" xfId="0" applyNumberFormat="1" applyFont="1" applyAlignment="1">
      <alignment horizontal="left"/>
    </xf>
    <xf numFmtId="44" fontId="2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2" fontId="24" fillId="8" borderId="0" xfId="0" applyNumberFormat="1" applyFont="1" applyFill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3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570507</xdr:colOff>
      <xdr:row>15</xdr:row>
      <xdr:rowOff>183556</xdr:rowOff>
    </xdr:from>
    <xdr:to>
      <xdr:col>5</xdr:col>
      <xdr:colOff>441521</xdr:colOff>
      <xdr:row>21</xdr:row>
      <xdr:rowOff>44650</xdr:rowOff>
    </xdr:to>
    <xdr:sp macro="" textlink="">
      <xdr:nvSpPr>
        <xdr:cNvPr id="2" name="1 Rectángulo"/>
        <xdr:cNvSpPr/>
      </xdr:nvSpPr>
      <xdr:spPr>
        <a:xfrm rot="5400000">
          <a:off x="3720702" y="3194845"/>
          <a:ext cx="1111250" cy="14386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451445</xdr:colOff>
      <xdr:row>15</xdr:row>
      <xdr:rowOff>193476</xdr:rowOff>
    </xdr:from>
    <xdr:to>
      <xdr:col>6</xdr:col>
      <xdr:colOff>104181</xdr:colOff>
      <xdr:row>21</xdr:row>
      <xdr:rowOff>44648</xdr:rowOff>
    </xdr:to>
    <xdr:sp macro="" textlink="">
      <xdr:nvSpPr>
        <xdr:cNvPr id="3" name="2 Rectángulo"/>
        <xdr:cNvSpPr/>
      </xdr:nvSpPr>
      <xdr:spPr>
        <a:xfrm rot="5400000">
          <a:off x="4663282" y="3710780"/>
          <a:ext cx="1101328" cy="416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390592</xdr:colOff>
      <xdr:row>67</xdr:row>
      <xdr:rowOff>45973</xdr:rowOff>
    </xdr:from>
    <xdr:to>
      <xdr:col>5</xdr:col>
      <xdr:colOff>713050</xdr:colOff>
      <xdr:row>69</xdr:row>
      <xdr:rowOff>70776</xdr:rowOff>
    </xdr:to>
    <xdr:sp macro="" textlink="">
      <xdr:nvSpPr>
        <xdr:cNvPr id="4" name="3 Rectángulo"/>
        <xdr:cNvSpPr/>
      </xdr:nvSpPr>
      <xdr:spPr>
        <a:xfrm rot="5400000">
          <a:off x="4095420" y="13316812"/>
          <a:ext cx="448136" cy="18887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384968</xdr:colOff>
      <xdr:row>69</xdr:row>
      <xdr:rowOff>59534</xdr:rowOff>
    </xdr:from>
    <xdr:to>
      <xdr:col>5</xdr:col>
      <xdr:colOff>712388</xdr:colOff>
      <xdr:row>74</xdr:row>
      <xdr:rowOff>79378</xdr:rowOff>
    </xdr:to>
    <xdr:sp macro="" textlink="">
      <xdr:nvSpPr>
        <xdr:cNvPr id="5" name="4 Rectángulo"/>
        <xdr:cNvSpPr/>
      </xdr:nvSpPr>
      <xdr:spPr>
        <a:xfrm rot="5400000">
          <a:off x="3777256" y="14066246"/>
          <a:ext cx="1078177" cy="18937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605235</xdr:colOff>
      <xdr:row>13</xdr:row>
      <xdr:rowOff>89297</xdr:rowOff>
    </xdr:from>
    <xdr:to>
      <xdr:col>5</xdr:col>
      <xdr:colOff>456406</xdr:colOff>
      <xdr:row>15</xdr:row>
      <xdr:rowOff>178592</xdr:rowOff>
    </xdr:to>
    <xdr:sp macro="" textlink="">
      <xdr:nvSpPr>
        <xdr:cNvPr id="8" name="7 Rectángulo"/>
        <xdr:cNvSpPr/>
      </xdr:nvSpPr>
      <xdr:spPr>
        <a:xfrm rot="5400000">
          <a:off x="4048126" y="2391171"/>
          <a:ext cx="506014" cy="14188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163710</xdr:colOff>
      <xdr:row>16</xdr:row>
      <xdr:rowOff>4961</xdr:rowOff>
    </xdr:from>
    <xdr:to>
      <xdr:col>3</xdr:col>
      <xdr:colOff>570507</xdr:colOff>
      <xdr:row>21</xdr:row>
      <xdr:rowOff>74414</xdr:rowOff>
    </xdr:to>
    <xdr:sp macro="" textlink="">
      <xdr:nvSpPr>
        <xdr:cNvPr id="9" name="8 Rectángulo"/>
        <xdr:cNvSpPr/>
      </xdr:nvSpPr>
      <xdr:spPr>
        <a:xfrm rot="5400000">
          <a:off x="2797968" y="3740546"/>
          <a:ext cx="1111250" cy="4067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585394</xdr:colOff>
      <xdr:row>21</xdr:row>
      <xdr:rowOff>49611</xdr:rowOff>
    </xdr:from>
    <xdr:to>
      <xdr:col>5</xdr:col>
      <xdr:colOff>436565</xdr:colOff>
      <xdr:row>23</xdr:row>
      <xdr:rowOff>138906</xdr:rowOff>
    </xdr:to>
    <xdr:sp macro="" textlink="">
      <xdr:nvSpPr>
        <xdr:cNvPr id="10" name="9 Rectángulo"/>
        <xdr:cNvSpPr/>
      </xdr:nvSpPr>
      <xdr:spPr>
        <a:xfrm rot="5400000">
          <a:off x="4028285" y="4018360"/>
          <a:ext cx="506014" cy="14188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381000</xdr:colOff>
      <xdr:row>74</xdr:row>
      <xdr:rowOff>105831</xdr:rowOff>
    </xdr:from>
    <xdr:to>
      <xdr:col>5</xdr:col>
      <xdr:colOff>703459</xdr:colOff>
      <xdr:row>76</xdr:row>
      <xdr:rowOff>130634</xdr:rowOff>
    </xdr:to>
    <xdr:sp macro="" textlink="">
      <xdr:nvSpPr>
        <xdr:cNvPr id="11" name="10 Rectángulo"/>
        <xdr:cNvSpPr/>
      </xdr:nvSpPr>
      <xdr:spPr>
        <a:xfrm rot="5400000">
          <a:off x="4085827" y="14858337"/>
          <a:ext cx="448137" cy="18887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zoomScale="90" zoomScaleNormal="90" workbookViewId="0">
      <selection activeCell="B2" sqref="B2"/>
    </sheetView>
  </sheetViews>
  <sheetFormatPr baseColWidth="10" defaultRowHeight="16.5" x14ac:dyDescent="0.3"/>
  <cols>
    <col min="1" max="1" width="19.7109375" style="55" customWidth="1"/>
    <col min="2" max="2" width="13.7109375" style="55" customWidth="1"/>
    <col min="3" max="4" width="11.42578125" style="55"/>
    <col min="5" max="5" width="12" style="55" customWidth="1"/>
    <col min="6" max="7" width="11.42578125" style="55"/>
    <col min="8" max="8" width="14.28515625" style="55" customWidth="1"/>
    <col min="9" max="9" width="14.42578125" style="55" bestFit="1" customWidth="1"/>
    <col min="10" max="16384" width="11.42578125" style="55"/>
  </cols>
  <sheetData>
    <row r="1" spans="1:8" x14ac:dyDescent="0.3">
      <c r="A1" s="109" t="s">
        <v>139</v>
      </c>
      <c r="B1" s="55" t="s">
        <v>192</v>
      </c>
    </row>
    <row r="3" spans="1:8" x14ac:dyDescent="0.3">
      <c r="A3" s="109" t="s">
        <v>140</v>
      </c>
      <c r="B3" s="55" t="s">
        <v>178</v>
      </c>
    </row>
    <row r="4" spans="1:8" x14ac:dyDescent="0.3">
      <c r="A4" s="109" t="s">
        <v>160</v>
      </c>
    </row>
    <row r="5" spans="1:8" x14ac:dyDescent="0.3">
      <c r="A5" s="109" t="s">
        <v>141</v>
      </c>
      <c r="B5" s="55" t="s">
        <v>179</v>
      </c>
    </row>
    <row r="6" spans="1:8" x14ac:dyDescent="0.3">
      <c r="A6" s="109"/>
    </row>
    <row r="7" spans="1:8" x14ac:dyDescent="0.3">
      <c r="A7" s="109" t="s">
        <v>142</v>
      </c>
      <c r="B7" s="110">
        <v>33</v>
      </c>
      <c r="C7" s="55" t="s">
        <v>143</v>
      </c>
      <c r="D7" s="110">
        <v>15</v>
      </c>
      <c r="E7" s="55" t="s">
        <v>144</v>
      </c>
    </row>
    <row r="8" spans="1:8" x14ac:dyDescent="0.3">
      <c r="C8" s="110"/>
    </row>
    <row r="9" spans="1:8" ht="20.25" x14ac:dyDescent="0.3">
      <c r="A9" s="111" t="s">
        <v>161</v>
      </c>
    </row>
    <row r="10" spans="1:8" x14ac:dyDescent="0.3">
      <c r="A10" s="112" t="s">
        <v>162</v>
      </c>
      <c r="C10" s="113" t="s">
        <v>145</v>
      </c>
      <c r="D10" s="113" t="s">
        <v>146</v>
      </c>
      <c r="E10" s="113" t="s">
        <v>147</v>
      </c>
    </row>
    <row r="11" spans="1:8" x14ac:dyDescent="0.3">
      <c r="A11" s="112"/>
      <c r="C11" s="110">
        <v>32.5</v>
      </c>
      <c r="D11" s="110">
        <v>26.5</v>
      </c>
      <c r="E11" s="110">
        <v>6.5</v>
      </c>
    </row>
    <row r="12" spans="1:8" x14ac:dyDescent="0.3">
      <c r="A12" s="112"/>
      <c r="F12" s="55" t="s">
        <v>186</v>
      </c>
    </row>
    <row r="13" spans="1:8" x14ac:dyDescent="0.3">
      <c r="E13" s="110">
        <f>+C11</f>
        <v>32.5</v>
      </c>
    </row>
    <row r="14" spans="1:8" x14ac:dyDescent="0.3">
      <c r="D14" s="114">
        <f>+E11</f>
        <v>6.5</v>
      </c>
      <c r="G14" s="114">
        <f>+E11</f>
        <v>6.5</v>
      </c>
    </row>
    <row r="15" spans="1:8" x14ac:dyDescent="0.3">
      <c r="A15" s="115" t="s">
        <v>148</v>
      </c>
      <c r="B15" s="115">
        <f>+G14+E13+D14</f>
        <v>45.5</v>
      </c>
      <c r="H15" s="114"/>
    </row>
    <row r="16" spans="1:8" x14ac:dyDescent="0.3">
      <c r="G16" s="114"/>
      <c r="H16" s="114"/>
    </row>
    <row r="17" spans="1:9" x14ac:dyDescent="0.3">
      <c r="G17" s="114"/>
      <c r="H17" s="114"/>
    </row>
    <row r="18" spans="1:9" x14ac:dyDescent="0.3">
      <c r="G18" s="114"/>
      <c r="H18" s="114"/>
    </row>
    <row r="19" spans="1:9" x14ac:dyDescent="0.3">
      <c r="C19" s="119">
        <f>+D11</f>
        <v>26.5</v>
      </c>
      <c r="G19" s="119">
        <f>+D11</f>
        <v>26.5</v>
      </c>
    </row>
    <row r="20" spans="1:9" x14ac:dyDescent="0.3">
      <c r="G20" s="114"/>
      <c r="H20" s="114"/>
    </row>
    <row r="21" spans="1:9" x14ac:dyDescent="0.3">
      <c r="G21" s="114"/>
      <c r="H21" s="114"/>
    </row>
    <row r="22" spans="1:9" x14ac:dyDescent="0.3">
      <c r="G22" s="114"/>
      <c r="H22" s="114"/>
    </row>
    <row r="23" spans="1:9" x14ac:dyDescent="0.3">
      <c r="H23" s="114"/>
    </row>
    <row r="24" spans="1:9" x14ac:dyDescent="0.3">
      <c r="D24" s="114">
        <f>+E11</f>
        <v>6.5</v>
      </c>
      <c r="G24" s="114">
        <f>+E11</f>
        <v>6.5</v>
      </c>
      <c r="H24" s="112">
        <f>+G14+G19+G24</f>
        <v>39.5</v>
      </c>
      <c r="I24" s="115" t="s">
        <v>149</v>
      </c>
    </row>
    <row r="25" spans="1:9" x14ac:dyDescent="0.3">
      <c r="E25" s="110">
        <f>+C11</f>
        <v>32.5</v>
      </c>
    </row>
    <row r="27" spans="1:9" s="112" customFormat="1" x14ac:dyDescent="0.3">
      <c r="A27" s="112" t="s">
        <v>150</v>
      </c>
      <c r="B27" s="112" t="s">
        <v>135</v>
      </c>
      <c r="C27" s="113">
        <v>90</v>
      </c>
      <c r="D27" s="113" t="s">
        <v>81</v>
      </c>
      <c r="E27" s="113">
        <v>130</v>
      </c>
      <c r="F27" s="116">
        <v>41.072000000000003</v>
      </c>
      <c r="H27" s="117">
        <f>+F27*H28</f>
        <v>492.86400000000003</v>
      </c>
    </row>
    <row r="28" spans="1:9" x14ac:dyDescent="0.3">
      <c r="C28" s="110">
        <f>+B15</f>
        <v>45.5</v>
      </c>
      <c r="D28" s="110" t="s">
        <v>81</v>
      </c>
      <c r="E28" s="110">
        <f>+H24</f>
        <v>39.5</v>
      </c>
      <c r="G28" s="112" t="s">
        <v>151</v>
      </c>
      <c r="H28" s="112">
        <v>12</v>
      </c>
    </row>
    <row r="29" spans="1:9" x14ac:dyDescent="0.3">
      <c r="C29" s="118">
        <f>+C27/C28</f>
        <v>1.9780219780219781</v>
      </c>
      <c r="D29" s="118"/>
      <c r="E29" s="118">
        <f>+E27/E28</f>
        <v>3.2911392405063293</v>
      </c>
      <c r="F29" s="55">
        <v>3</v>
      </c>
    </row>
    <row r="30" spans="1:9" x14ac:dyDescent="0.3">
      <c r="C30" s="118">
        <f>+E27/C28</f>
        <v>2.8571428571428572</v>
      </c>
      <c r="D30" s="118"/>
      <c r="E30" s="118">
        <f>+C27/E28</f>
        <v>2.278481012658228</v>
      </c>
      <c r="F30" s="112">
        <v>4</v>
      </c>
      <c r="G30" s="112">
        <f>+((B7+D7)/F30)</f>
        <v>12</v>
      </c>
    </row>
    <row r="31" spans="1:9" x14ac:dyDescent="0.3">
      <c r="C31" s="110"/>
      <c r="D31" s="110"/>
      <c r="E31" s="110"/>
    </row>
    <row r="32" spans="1:9" x14ac:dyDescent="0.3">
      <c r="A32" s="112" t="s">
        <v>152</v>
      </c>
      <c r="C32" s="110">
        <f>0.25+D24+E25+0.25+G24</f>
        <v>46</v>
      </c>
      <c r="D32" s="110" t="s">
        <v>81</v>
      </c>
      <c r="E32" s="110">
        <f>+G14+0.25+G19+0.25+G24</f>
        <v>40</v>
      </c>
    </row>
    <row r="33" spans="1:8" ht="6" customHeight="1" x14ac:dyDescent="0.3">
      <c r="A33" s="112"/>
      <c r="C33" s="110"/>
      <c r="D33" s="110"/>
      <c r="E33" s="110"/>
    </row>
    <row r="34" spans="1:8" s="112" customFormat="1" x14ac:dyDescent="0.3">
      <c r="A34" s="112" t="s">
        <v>177</v>
      </c>
      <c r="B34" s="112" t="s">
        <v>176</v>
      </c>
      <c r="C34" s="113">
        <v>100</v>
      </c>
      <c r="D34" s="113" t="s">
        <v>81</v>
      </c>
      <c r="E34" s="113">
        <v>130</v>
      </c>
      <c r="F34" s="116">
        <v>54</v>
      </c>
      <c r="H34" s="117">
        <f>+F34*H35</f>
        <v>432</v>
      </c>
    </row>
    <row r="35" spans="1:8" x14ac:dyDescent="0.3">
      <c r="C35" s="110">
        <f>1+C32+1</f>
        <v>48</v>
      </c>
      <c r="D35" s="110" t="s">
        <v>81</v>
      </c>
      <c r="E35" s="110">
        <f>1+E32+1</f>
        <v>42</v>
      </c>
      <c r="G35" s="112" t="s">
        <v>151</v>
      </c>
      <c r="H35" s="112">
        <v>8</v>
      </c>
    </row>
    <row r="36" spans="1:8" x14ac:dyDescent="0.3">
      <c r="C36" s="118">
        <f>+C34/C35</f>
        <v>2.0833333333333335</v>
      </c>
      <c r="D36" s="118"/>
      <c r="E36" s="118">
        <f>+E34/E35</f>
        <v>3.0952380952380953</v>
      </c>
      <c r="F36" s="112">
        <v>6</v>
      </c>
      <c r="G36" s="112">
        <f>+((B7+D7)/F36)</f>
        <v>8</v>
      </c>
    </row>
    <row r="37" spans="1:8" x14ac:dyDescent="0.3">
      <c r="C37" s="118">
        <f>+E34/C35</f>
        <v>2.7083333333333335</v>
      </c>
      <c r="D37" s="118"/>
      <c r="E37" s="118">
        <f>+C34/E35</f>
        <v>2.3809523809523809</v>
      </c>
      <c r="F37" s="55">
        <v>4</v>
      </c>
    </row>
    <row r="39" spans="1:8" x14ac:dyDescent="0.3">
      <c r="A39" s="112" t="s">
        <v>153</v>
      </c>
      <c r="C39" s="110">
        <f>1.5+0.25+D24+0.25+E25+0.25+G24+0.25+1.5</f>
        <v>49.5</v>
      </c>
      <c r="D39" s="110" t="s">
        <v>81</v>
      </c>
      <c r="E39" s="110">
        <f>1.5+0.25+G14+0.25+G19+0.25+G24+0.25+1.5</f>
        <v>43.5</v>
      </c>
    </row>
    <row r="40" spans="1:8" ht="6" customHeight="1" x14ac:dyDescent="0.3">
      <c r="A40" s="112"/>
      <c r="C40" s="110"/>
      <c r="D40" s="110"/>
      <c r="E40" s="110"/>
    </row>
    <row r="41" spans="1:8" s="112" customFormat="1" x14ac:dyDescent="0.3">
      <c r="A41" s="112" t="s">
        <v>177</v>
      </c>
      <c r="B41" s="112" t="s">
        <v>176</v>
      </c>
      <c r="C41" s="113">
        <v>100</v>
      </c>
      <c r="D41" s="113" t="s">
        <v>81</v>
      </c>
      <c r="E41" s="113">
        <v>130</v>
      </c>
      <c r="F41" s="116">
        <v>54</v>
      </c>
      <c r="H41" s="117">
        <f>+F41*H42</f>
        <v>648</v>
      </c>
    </row>
    <row r="42" spans="1:8" x14ac:dyDescent="0.3">
      <c r="C42" s="110">
        <f>2+C39+2</f>
        <v>53.5</v>
      </c>
      <c r="D42" s="110" t="s">
        <v>81</v>
      </c>
      <c r="E42" s="110">
        <f>2+E39+2</f>
        <v>47.5</v>
      </c>
      <c r="G42" s="112" t="s">
        <v>151</v>
      </c>
      <c r="H42" s="112">
        <v>12</v>
      </c>
    </row>
    <row r="43" spans="1:8" x14ac:dyDescent="0.3">
      <c r="C43" s="118">
        <f>+C41/C42</f>
        <v>1.8691588785046729</v>
      </c>
      <c r="D43" s="118"/>
      <c r="E43" s="118">
        <f>+E41/E42</f>
        <v>2.736842105263158</v>
      </c>
      <c r="F43" s="55">
        <v>2</v>
      </c>
    </row>
    <row r="44" spans="1:8" x14ac:dyDescent="0.3">
      <c r="C44" s="118">
        <f>+E41/C42</f>
        <v>2.4299065420560746</v>
      </c>
      <c r="D44" s="118"/>
      <c r="E44" s="118">
        <f>+C41/E42</f>
        <v>2.1052631578947367</v>
      </c>
      <c r="F44" s="112">
        <v>4</v>
      </c>
      <c r="G44" s="112">
        <f>+((B7+D7)/F44)</f>
        <v>12</v>
      </c>
    </row>
    <row r="60" spans="1:6" x14ac:dyDescent="0.3">
      <c r="C60" s="110"/>
      <c r="D60" s="110"/>
      <c r="E60" s="110"/>
    </row>
    <row r="63" spans="1:6" ht="20.25" x14ac:dyDescent="0.3">
      <c r="A63" s="111" t="s">
        <v>119</v>
      </c>
      <c r="C63" s="113" t="s">
        <v>154</v>
      </c>
      <c r="D63" s="113" t="s">
        <v>145</v>
      </c>
      <c r="E63" s="113" t="s">
        <v>155</v>
      </c>
      <c r="F63" s="113" t="s">
        <v>147</v>
      </c>
    </row>
    <row r="64" spans="1:6" x14ac:dyDescent="0.3">
      <c r="A64" s="112" t="s">
        <v>156</v>
      </c>
      <c r="C64" s="110">
        <f>0.25+E11+0.25</f>
        <v>7</v>
      </c>
      <c r="D64" s="110">
        <f>+C11</f>
        <v>32.5</v>
      </c>
      <c r="E64" s="110">
        <f>0.25+E11+0.25</f>
        <v>7</v>
      </c>
      <c r="F64" s="110">
        <f>+D11</f>
        <v>26.5</v>
      </c>
    </row>
    <row r="65" spans="1:9" x14ac:dyDescent="0.3">
      <c r="A65" s="112"/>
    </row>
    <row r="67" spans="1:9" x14ac:dyDescent="0.3">
      <c r="D67" s="110">
        <f>+C64</f>
        <v>7</v>
      </c>
      <c r="E67" s="110">
        <f>+D64</f>
        <v>32.5</v>
      </c>
      <c r="F67" s="55">
        <f>+E64</f>
        <v>7</v>
      </c>
    </row>
    <row r="68" spans="1:9" x14ac:dyDescent="0.3">
      <c r="A68" s="115" t="s">
        <v>148</v>
      </c>
      <c r="B68" s="115">
        <f>+D67+E67+F67</f>
        <v>46.5</v>
      </c>
      <c r="G68" s="114"/>
      <c r="H68" s="114"/>
    </row>
    <row r="69" spans="1:9" x14ac:dyDescent="0.3">
      <c r="G69" s="114">
        <v>7</v>
      </c>
      <c r="H69" s="114"/>
    </row>
    <row r="70" spans="1:9" x14ac:dyDescent="0.3">
      <c r="G70" s="114"/>
      <c r="H70" s="114"/>
    </row>
    <row r="71" spans="1:9" x14ac:dyDescent="0.3">
      <c r="H71" s="114"/>
    </row>
    <row r="72" spans="1:9" x14ac:dyDescent="0.3">
      <c r="C72" s="114"/>
      <c r="G72" s="114"/>
      <c r="H72" s="114"/>
    </row>
    <row r="73" spans="1:9" x14ac:dyDescent="0.3">
      <c r="G73" s="126">
        <f>+F64</f>
        <v>26.5</v>
      </c>
      <c r="H73" s="114"/>
    </row>
    <row r="74" spans="1:9" x14ac:dyDescent="0.3">
      <c r="G74" s="114"/>
      <c r="H74" s="114"/>
    </row>
    <row r="75" spans="1:9" x14ac:dyDescent="0.3">
      <c r="G75" s="114"/>
      <c r="H75" s="114"/>
    </row>
    <row r="76" spans="1:9" x14ac:dyDescent="0.3">
      <c r="G76" s="114">
        <v>7</v>
      </c>
      <c r="H76" s="114"/>
    </row>
    <row r="77" spans="1:9" x14ac:dyDescent="0.3">
      <c r="H77" s="112">
        <f>+G73+0</f>
        <v>26.5</v>
      </c>
      <c r="I77" s="115" t="s">
        <v>149</v>
      </c>
    </row>
    <row r="78" spans="1:9" x14ac:dyDescent="0.3">
      <c r="E78" s="55">
        <v>32.5</v>
      </c>
    </row>
    <row r="80" spans="1:9" s="112" customFormat="1" x14ac:dyDescent="0.3">
      <c r="A80" s="112" t="s">
        <v>157</v>
      </c>
      <c r="B80" s="112" t="s">
        <v>135</v>
      </c>
      <c r="C80" s="113">
        <v>90</v>
      </c>
      <c r="D80" s="113" t="s">
        <v>81</v>
      </c>
      <c r="E80" s="113">
        <v>130</v>
      </c>
      <c r="F80" s="116">
        <f>+F27</f>
        <v>41.072000000000003</v>
      </c>
      <c r="H80" s="117">
        <f>+F80*H81</f>
        <v>328.57600000000002</v>
      </c>
    </row>
    <row r="81" spans="1:8" x14ac:dyDescent="0.3">
      <c r="C81" s="110">
        <f>+B68</f>
        <v>46.5</v>
      </c>
      <c r="D81" s="110" t="s">
        <v>81</v>
      </c>
      <c r="E81" s="110">
        <f>+H77</f>
        <v>26.5</v>
      </c>
      <c r="G81" s="112" t="s">
        <v>151</v>
      </c>
      <c r="H81" s="112">
        <v>8</v>
      </c>
    </row>
    <row r="82" spans="1:8" x14ac:dyDescent="0.3">
      <c r="C82" s="118">
        <f>+C80/C81</f>
        <v>1.935483870967742</v>
      </c>
      <c r="D82" s="118"/>
      <c r="E82" s="118">
        <f>+E80/E81</f>
        <v>4.9056603773584904</v>
      </c>
      <c r="F82" s="55">
        <v>4</v>
      </c>
    </row>
    <row r="83" spans="1:8" x14ac:dyDescent="0.3">
      <c r="C83" s="118">
        <f>+E80/C81</f>
        <v>2.795698924731183</v>
      </c>
      <c r="D83" s="118"/>
      <c r="E83" s="118">
        <f>+C80/E81</f>
        <v>3.3962264150943398</v>
      </c>
      <c r="F83" s="112">
        <v>6</v>
      </c>
      <c r="G83" s="112">
        <f>+((B7+D7)/F83)</f>
        <v>8</v>
      </c>
    </row>
    <row r="84" spans="1:8" x14ac:dyDescent="0.3">
      <c r="C84" s="110"/>
      <c r="D84" s="110"/>
      <c r="E84" s="110"/>
    </row>
    <row r="85" spans="1:8" x14ac:dyDescent="0.3">
      <c r="A85" s="112" t="s">
        <v>158</v>
      </c>
      <c r="C85" s="110">
        <f>0.25+D67+E67+0.25+F67</f>
        <v>47</v>
      </c>
      <c r="D85" s="110" t="s">
        <v>81</v>
      </c>
      <c r="E85" s="110">
        <f>+G73</f>
        <v>26.5</v>
      </c>
    </row>
    <row r="86" spans="1:8" ht="6" customHeight="1" x14ac:dyDescent="0.3">
      <c r="A86" s="112"/>
      <c r="C86" s="110"/>
      <c r="D86" s="110"/>
      <c r="E86" s="110"/>
    </row>
    <row r="87" spans="1:8" s="112" customFormat="1" x14ac:dyDescent="0.3">
      <c r="A87" s="112" t="s">
        <v>177</v>
      </c>
      <c r="B87" s="112" t="s">
        <v>176</v>
      </c>
      <c r="C87" s="113">
        <v>100</v>
      </c>
      <c r="D87" s="113" t="s">
        <v>81</v>
      </c>
      <c r="E87" s="113">
        <v>130</v>
      </c>
      <c r="F87" s="116">
        <v>54</v>
      </c>
      <c r="H87" s="117">
        <f>+F87*H88</f>
        <v>324</v>
      </c>
    </row>
    <row r="88" spans="1:8" x14ac:dyDescent="0.3">
      <c r="C88" s="110">
        <f>1+C85+1</f>
        <v>49</v>
      </c>
      <c r="D88" s="110" t="s">
        <v>81</v>
      </c>
      <c r="E88" s="110">
        <f>1+E85+1</f>
        <v>28.5</v>
      </c>
      <c r="G88" s="112" t="s">
        <v>151</v>
      </c>
      <c r="H88" s="112">
        <v>6</v>
      </c>
    </row>
    <row r="89" spans="1:8" x14ac:dyDescent="0.3">
      <c r="C89" s="118">
        <f>+C87/C88</f>
        <v>2.0408163265306123</v>
      </c>
      <c r="D89" s="118"/>
      <c r="E89" s="118">
        <f>+E87/E88</f>
        <v>4.5614035087719298</v>
      </c>
      <c r="F89" s="112">
        <v>8</v>
      </c>
      <c r="G89" s="112">
        <f>+((B7+D7)/F89)</f>
        <v>6</v>
      </c>
    </row>
    <row r="90" spans="1:8" x14ac:dyDescent="0.3">
      <c r="C90" s="118">
        <f>+E87/C88</f>
        <v>2.6530612244897958</v>
      </c>
      <c r="D90" s="118"/>
      <c r="E90" s="118">
        <f>+C87/E88</f>
        <v>3.5087719298245612</v>
      </c>
      <c r="F90" s="55">
        <v>6</v>
      </c>
    </row>
    <row r="92" spans="1:8" x14ac:dyDescent="0.3">
      <c r="A92" s="112" t="s">
        <v>159</v>
      </c>
      <c r="C92" s="110">
        <f>1.5+0.25+D67+0.25+E67+0.25+F67+0.25+1.5</f>
        <v>50.5</v>
      </c>
      <c r="D92" s="110" t="s">
        <v>81</v>
      </c>
      <c r="E92" s="110">
        <f>1.5+0.25+G73+0.25+1.5</f>
        <v>30</v>
      </c>
    </row>
    <row r="93" spans="1:8" ht="6" customHeight="1" x14ac:dyDescent="0.3">
      <c r="A93" s="112"/>
      <c r="C93" s="110"/>
      <c r="D93" s="110"/>
      <c r="E93" s="110"/>
    </row>
    <row r="94" spans="1:8" s="112" customFormat="1" x14ac:dyDescent="0.3">
      <c r="A94" s="112" t="s">
        <v>177</v>
      </c>
      <c r="B94" s="112" t="s">
        <v>176</v>
      </c>
      <c r="C94" s="113">
        <v>100</v>
      </c>
      <c r="D94" s="113" t="s">
        <v>81</v>
      </c>
      <c r="E94" s="113">
        <v>130</v>
      </c>
      <c r="F94" s="116">
        <v>54</v>
      </c>
      <c r="H94" s="117">
        <f>+F94*H95</f>
        <v>648</v>
      </c>
    </row>
    <row r="95" spans="1:8" x14ac:dyDescent="0.3">
      <c r="C95" s="110">
        <f>2+C92+2</f>
        <v>54.5</v>
      </c>
      <c r="D95" s="110" t="s">
        <v>81</v>
      </c>
      <c r="E95" s="110">
        <f>2+E92+2</f>
        <v>34</v>
      </c>
      <c r="G95" s="112" t="s">
        <v>151</v>
      </c>
      <c r="H95" s="112">
        <v>12</v>
      </c>
    </row>
    <row r="96" spans="1:8" x14ac:dyDescent="0.3">
      <c r="C96" s="118">
        <f>+C94/C95</f>
        <v>1.834862385321101</v>
      </c>
      <c r="D96" s="118"/>
      <c r="E96" s="118">
        <f>+E94/E95</f>
        <v>3.8235294117647061</v>
      </c>
      <c r="F96" s="55">
        <v>3</v>
      </c>
    </row>
    <row r="97" spans="3:7" x14ac:dyDescent="0.3">
      <c r="C97" s="118">
        <f>+E94/C95</f>
        <v>2.3853211009174311</v>
      </c>
      <c r="D97" s="118"/>
      <c r="E97" s="118">
        <f>+C94/E95</f>
        <v>2.9411764705882355</v>
      </c>
      <c r="F97" s="112">
        <v>4</v>
      </c>
      <c r="G97" s="112">
        <f>+((B7+D7)/F97)</f>
        <v>12</v>
      </c>
    </row>
  </sheetData>
  <pageMargins left="0.70866141732283472" right="0.70866141732283472" top="0.74803149606299213" bottom="0.74803149606299213" header="0.31496062992125984" footer="0.31496062992125984"/>
  <pageSetup scale="7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topLeftCell="A51" zoomScale="80" zoomScaleNormal="80" workbookViewId="0">
      <selection activeCell="E80" sqref="E8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+Desarrollo!B1</f>
        <v>09 de mayo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+Desarrollo!B3</f>
        <v>Promsite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C13" s="1" t="str">
        <f>+CONCATENATE(Desarrollo!B4,  Desarrollo!B5)</f>
        <v>Caja de Vino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92</v>
      </c>
      <c r="D15" s="18"/>
      <c r="E15" s="18"/>
      <c r="F15" s="72" t="s">
        <v>87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187</v>
      </c>
      <c r="D16" s="18"/>
      <c r="E16" s="18"/>
      <c r="F16" s="46">
        <f>+Desarrollo!C28</f>
        <v>45.5</v>
      </c>
      <c r="G16" s="73" t="s">
        <v>81</v>
      </c>
      <c r="H16" s="74">
        <f>+Desarrollo!E28</f>
        <v>39.5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/>
      <c r="D17" s="18"/>
      <c r="E17" s="18"/>
      <c r="F17" s="72">
        <v>1</v>
      </c>
      <c r="G17" s="75" t="s">
        <v>82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/>
      <c r="D18" s="18"/>
      <c r="E18" s="18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20"/>
      <c r="D19" s="18"/>
      <c r="E19" s="18"/>
      <c r="F19" s="46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/>
      <c r="D20" s="18"/>
      <c r="E20" s="18"/>
      <c r="F20" s="72"/>
      <c r="G20" s="75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21" t="s">
        <v>104</v>
      </c>
      <c r="D23" s="5" t="s">
        <v>14</v>
      </c>
      <c r="E23" s="22" t="s">
        <v>94</v>
      </c>
      <c r="F23" s="1" t="s">
        <v>135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v>90</v>
      </c>
      <c r="D25" s="22" t="s">
        <v>16</v>
      </c>
      <c r="E25" s="24">
        <v>130</v>
      </c>
      <c r="F25" s="25">
        <f>+C25</f>
        <v>90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45.5</v>
      </c>
      <c r="D26" s="28" t="s">
        <v>16</v>
      </c>
      <c r="E26" s="27">
        <f>+H16</f>
        <v>39.5</v>
      </c>
      <c r="F26" s="29">
        <f>+E26</f>
        <v>39.5</v>
      </c>
      <c r="G26" s="29" t="s">
        <v>16</v>
      </c>
      <c r="H26" s="29">
        <f>+C26</f>
        <v>45.5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1.9780219780219781</v>
      </c>
      <c r="D27" s="33"/>
      <c r="E27" s="32">
        <f>+E25/E26</f>
        <v>3.2911392405063293</v>
      </c>
      <c r="F27" s="32">
        <f>+F25/F26</f>
        <v>2.278481012658228</v>
      </c>
      <c r="G27" s="33"/>
      <c r="H27" s="32">
        <f>+H25/H26</f>
        <v>2.8571428571428572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3</v>
      </c>
      <c r="E28" s="37"/>
      <c r="F28" s="38"/>
      <c r="G28" s="39">
        <v>4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 t="s">
        <v>88</v>
      </c>
      <c r="D30" s="41" t="s">
        <v>22</v>
      </c>
      <c r="E30" s="42">
        <f>+Desarrollo!F27</f>
        <v>41.072000000000003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41.072000000000003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41.072000000000003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+E34*1.15</f>
        <v>47.232799999999997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4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33</v>
      </c>
      <c r="D40" s="24">
        <f>+Desarrollo!D7</f>
        <v>15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48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12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1"/>
      <c r="F43" s="41" t="s">
        <v>44</v>
      </c>
      <c r="G43" s="23">
        <f>+C40/1000</f>
        <v>3.3000000000000002E-2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48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48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76</v>
      </c>
      <c r="B48" s="21">
        <f>+Desarrollo!B7</f>
        <v>33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89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53</v>
      </c>
      <c r="B50" s="54">
        <f>+E34*C42</f>
        <v>492.86400000000003</v>
      </c>
      <c r="C50" s="3"/>
      <c r="D50" s="21">
        <v>0</v>
      </c>
      <c r="E50" s="21">
        <v>0</v>
      </c>
      <c r="F50" s="21" t="s">
        <v>90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100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98</v>
      </c>
      <c r="G52" s="30">
        <v>100</v>
      </c>
      <c r="H52" s="30">
        <f t="shared" ref="H52:H59" si="0">+G52*E52</f>
        <v>100</v>
      </c>
      <c r="I52" s="30">
        <f>+(B72/100)*2</f>
        <v>14.335872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0</v>
      </c>
      <c r="C53" s="3"/>
      <c r="D53" s="21">
        <v>1</v>
      </c>
      <c r="E53" s="21">
        <v>0</v>
      </c>
      <c r="F53" s="21" t="s">
        <v>78</v>
      </c>
      <c r="G53" s="30">
        <v>120</v>
      </c>
      <c r="H53" s="30">
        <f t="shared" si="0"/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84</v>
      </c>
      <c r="B54" s="54">
        <v>0</v>
      </c>
      <c r="C54" s="3"/>
      <c r="D54" s="21">
        <v>1</v>
      </c>
      <c r="E54" s="21">
        <v>0</v>
      </c>
      <c r="F54" s="21" t="s">
        <v>79</v>
      </c>
      <c r="G54" s="30">
        <v>120</v>
      </c>
      <c r="H54" s="30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85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86</v>
      </c>
      <c r="B56" s="54">
        <v>0</v>
      </c>
      <c r="D56" s="21">
        <v>1</v>
      </c>
      <c r="E56" s="21">
        <v>0</v>
      </c>
      <c r="F56" s="21" t="s">
        <v>54</v>
      </c>
      <c r="G56" s="30">
        <v>1.5</v>
      </c>
      <c r="H56" s="30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55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57</v>
      </c>
      <c r="B58" s="57">
        <f>SUM(B50:B57)</f>
        <v>592.86400000000003</v>
      </c>
      <c r="C58" s="3"/>
      <c r="D58" s="21">
        <v>0</v>
      </c>
      <c r="E58" s="21">
        <v>0</v>
      </c>
      <c r="F58" s="3" t="s">
        <v>58</v>
      </c>
      <c r="G58" s="30">
        <v>600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17.96557575757576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100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62</v>
      </c>
      <c r="H62" s="76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64</v>
      </c>
      <c r="B63" s="3"/>
      <c r="C63" s="3"/>
      <c r="E63" s="32">
        <f>+B72/C40</f>
        <v>21.721018181818181</v>
      </c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70</v>
      </c>
      <c r="B65" s="53"/>
      <c r="C65" s="3"/>
      <c r="D65" s="3">
        <f>+B72*C68</f>
        <v>0</v>
      </c>
      <c r="E65" s="3"/>
      <c r="F65" s="3"/>
      <c r="G65" s="5" t="s">
        <v>80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53</v>
      </c>
      <c r="B66" s="54">
        <f>+E35*C42</f>
        <v>566.79359999999997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150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+A54</f>
        <v>Placas</v>
      </c>
      <c r="B68" s="54">
        <f>+B54*H63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+A55</f>
        <v>Mensajeria</v>
      </c>
      <c r="B69" s="54">
        <f>+B55*H62</f>
        <v>0</v>
      </c>
      <c r="C69" s="63"/>
      <c r="F69" s="64" t="s">
        <v>72</v>
      </c>
      <c r="G69" s="32">
        <f>+B60</f>
        <v>17.96557575757576</v>
      </c>
      <c r="H69" s="65">
        <f>+G69*B48</f>
        <v>592.86400000000003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+A56</f>
        <v>Listón</v>
      </c>
      <c r="B70" s="54">
        <f>+B56*H63</f>
        <v>0</v>
      </c>
      <c r="C70" s="66"/>
      <c r="F70" s="64" t="s">
        <v>74</v>
      </c>
      <c r="G70" s="32">
        <f>+C72</f>
        <v>21.721018181818181</v>
      </c>
      <c r="H70" s="65">
        <f>+G70*B48</f>
        <v>716.79359999999997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3"/>
      <c r="B71" s="54"/>
      <c r="C71" s="66"/>
      <c r="F71" s="67" t="s">
        <v>75</v>
      </c>
      <c r="G71" s="68">
        <f>+G70-G69</f>
        <v>3.7554424242424211</v>
      </c>
      <c r="H71" s="65">
        <f>+G71*B48</f>
        <v>123.92959999999989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2" t="s">
        <v>57</v>
      </c>
      <c r="B72" s="57">
        <f>SUM(B65:B71)</f>
        <v>716.79359999999997</v>
      </c>
      <c r="C72" s="68">
        <f>+B72/B48</f>
        <v>21.721018181818181</v>
      </c>
      <c r="D72" s="5" t="s">
        <v>123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B76" s="69"/>
      <c r="C76" s="70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75" x14ac:dyDescent="0.3"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5.75" x14ac:dyDescent="0.3"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.75" x14ac:dyDescent="0.3"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0:22" ht="15.75" x14ac:dyDescent="0.3"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0:22" ht="15.75" x14ac:dyDescent="0.3"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0:22" ht="15.75" x14ac:dyDescent="0.3">
      <c r="J83"/>
      <c r="K83"/>
      <c r="L83"/>
      <c r="M83"/>
      <c r="N83"/>
      <c r="O83"/>
      <c r="P83"/>
      <c r="Q83"/>
      <c r="R83"/>
      <c r="S83"/>
      <c r="T83"/>
      <c r="U83"/>
      <c r="V83"/>
    </row>
    <row r="86" spans="10:22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22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22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22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22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22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22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22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22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22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5"/>
  <sheetViews>
    <sheetView topLeftCell="A50" zoomScale="80" zoomScaleNormal="80" workbookViewId="0">
      <selection activeCell="G78" sqref="G7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4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5" customFormat="1" ht="15" x14ac:dyDescent="0.25">
      <c r="A9" s="5" t="s">
        <v>6</v>
      </c>
      <c r="C9" s="5" t="str">
        <f>+'cartón caja'!C9</f>
        <v>09 de mayo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6.5" thickBot="1" x14ac:dyDescent="0.35">
      <c r="A11" s="5" t="s">
        <v>8</v>
      </c>
      <c r="C11" s="1" t="str">
        <f>+'cartón caja'!C11</f>
        <v>Promsite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5.75" x14ac:dyDescent="0.3">
      <c r="A13" s="5" t="s">
        <v>10</v>
      </c>
      <c r="C13" s="1" t="str">
        <f>+'cartón caja'!C13</f>
        <v>Caja de Vino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5.75" x14ac:dyDescent="0.3">
      <c r="A15" s="5" t="s">
        <v>11</v>
      </c>
      <c r="C15" s="19" t="s">
        <v>119</v>
      </c>
      <c r="D15" s="18"/>
      <c r="E15" s="18"/>
      <c r="F15" s="72" t="s">
        <v>87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5.75" x14ac:dyDescent="0.3">
      <c r="C16" s="17" t="s">
        <v>188</v>
      </c>
      <c r="D16" s="18"/>
      <c r="E16" s="18"/>
      <c r="F16" s="46">
        <f>+Desarrollo!C81</f>
        <v>46.5</v>
      </c>
      <c r="G16" s="73" t="s">
        <v>81</v>
      </c>
      <c r="H16" s="74">
        <f>+Desarrollo!E81</f>
        <v>26.5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5.75" x14ac:dyDescent="0.3">
      <c r="C17" s="17" t="s">
        <v>93</v>
      </c>
      <c r="D17" s="18"/>
      <c r="E17" s="18"/>
      <c r="F17" s="72">
        <v>1</v>
      </c>
      <c r="G17" s="75" t="s">
        <v>82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5.75" x14ac:dyDescent="0.3">
      <c r="C18" s="17"/>
      <c r="D18" s="18"/>
      <c r="E18" s="18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5.75" x14ac:dyDescent="0.3">
      <c r="C19" s="20"/>
      <c r="D19" s="18"/>
      <c r="E19" s="18"/>
      <c r="F19" s="46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5.75" x14ac:dyDescent="0.3">
      <c r="C20" s="18"/>
      <c r="D20" s="18"/>
      <c r="E20" s="18"/>
      <c r="F20" s="72"/>
      <c r="G20" s="75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5.75" x14ac:dyDescent="0.3">
      <c r="A23" s="4" t="s">
        <v>13</v>
      </c>
      <c r="C23" s="21" t="s">
        <v>104</v>
      </c>
      <c r="D23" s="5" t="s">
        <v>14</v>
      </c>
      <c r="E23" s="22" t="s">
        <v>94</v>
      </c>
      <c r="F23" s="1" t="str">
        <f>+'cartón caja'!F23</f>
        <v>#4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5.75" x14ac:dyDescent="0.3">
      <c r="A25" s="4" t="s">
        <v>15</v>
      </c>
      <c r="C25" s="23">
        <v>90</v>
      </c>
      <c r="D25" s="22" t="s">
        <v>16</v>
      </c>
      <c r="E25" s="24">
        <v>130</v>
      </c>
      <c r="F25" s="25">
        <f>+C25</f>
        <v>90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5.75" x14ac:dyDescent="0.3">
      <c r="A26" s="4" t="s">
        <v>17</v>
      </c>
      <c r="B26" s="3"/>
      <c r="C26" s="27">
        <f>+F16</f>
        <v>46.5</v>
      </c>
      <c r="D26" s="28" t="s">
        <v>16</v>
      </c>
      <c r="E26" s="27">
        <f>+H16</f>
        <v>26.5</v>
      </c>
      <c r="F26" s="29">
        <f>+E26</f>
        <v>26.5</v>
      </c>
      <c r="G26" s="29" t="s">
        <v>16</v>
      </c>
      <c r="H26" s="29">
        <f>+C26</f>
        <v>46.5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6.5" thickBot="1" x14ac:dyDescent="0.35">
      <c r="A27" s="3" t="s">
        <v>18</v>
      </c>
      <c r="B27" s="31"/>
      <c r="C27" s="32">
        <f>+C25/C26</f>
        <v>1.935483870967742</v>
      </c>
      <c r="D27" s="33"/>
      <c r="E27" s="32">
        <f>+E25/E26</f>
        <v>4.9056603773584904</v>
      </c>
      <c r="F27" s="32">
        <f>+F25/F26</f>
        <v>3.3962264150943398</v>
      </c>
      <c r="G27" s="33"/>
      <c r="H27" s="32">
        <f>+H25/H26</f>
        <v>2.795698924731183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6.5" thickBot="1" x14ac:dyDescent="0.35">
      <c r="A28" s="3" t="s">
        <v>19</v>
      </c>
      <c r="B28" s="34"/>
      <c r="C28" s="35"/>
      <c r="D28" s="36">
        <v>6</v>
      </c>
      <c r="E28" s="37"/>
      <c r="F28" s="38"/>
      <c r="G28" s="39">
        <v>6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5.75" x14ac:dyDescent="0.3">
      <c r="A30" s="25" t="s">
        <v>21</v>
      </c>
      <c r="B30" s="25" t="s">
        <v>88</v>
      </c>
      <c r="D30" s="41" t="s">
        <v>22</v>
      </c>
      <c r="E30" s="42">
        <f>+'cartón caja'!E30</f>
        <v>41.072000000000003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5.75" x14ac:dyDescent="0.3">
      <c r="D32" s="44" t="s">
        <v>25</v>
      </c>
      <c r="E32" s="45">
        <f>+E30-E31</f>
        <v>41.072000000000003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5.75" x14ac:dyDescent="0.3">
      <c r="D34" s="41" t="s">
        <v>29</v>
      </c>
      <c r="E34" s="47">
        <f>+E32</f>
        <v>41.072000000000003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5.75" x14ac:dyDescent="0.3">
      <c r="D35" s="41" t="s">
        <v>30</v>
      </c>
      <c r="E35" s="47">
        <f>+E34*1.15</f>
        <v>47.232799999999997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6.5" thickBot="1" x14ac:dyDescent="0.35">
      <c r="A38" s="4" t="s">
        <v>34</v>
      </c>
      <c r="C38" s="48">
        <v>6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5.75" x14ac:dyDescent="0.3">
      <c r="A40" s="4" t="s">
        <v>38</v>
      </c>
      <c r="B40" s="5"/>
      <c r="C40" s="50">
        <f>+B48/F17</f>
        <v>33</v>
      </c>
      <c r="D40" s="24">
        <f>+'cartón caja'!D40</f>
        <v>15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5.75" x14ac:dyDescent="0.3">
      <c r="A41" s="4" t="s">
        <v>40</v>
      </c>
      <c r="C41" s="34">
        <f>+C40+D40</f>
        <v>48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5.75" x14ac:dyDescent="0.3">
      <c r="A42" s="4" t="s">
        <v>42</v>
      </c>
      <c r="C42" s="34">
        <f>+C41/C38</f>
        <v>8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5.75" x14ac:dyDescent="0.3">
      <c r="A43" s="4"/>
      <c r="C43" s="21"/>
      <c r="F43" s="41" t="s">
        <v>44</v>
      </c>
      <c r="G43" s="23">
        <f>+C40/1000</f>
        <v>3.3000000000000002E-2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5.75" x14ac:dyDescent="0.3">
      <c r="A44" s="4"/>
      <c r="C44" s="51"/>
      <c r="F44" s="44" t="s">
        <v>45</v>
      </c>
      <c r="G44" s="48">
        <f>+C41</f>
        <v>48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5.75" x14ac:dyDescent="0.3">
      <c r="A46" s="4" t="s">
        <v>46</v>
      </c>
      <c r="C46" s="25">
        <f>+C42*C38</f>
        <v>48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ht="15.75" x14ac:dyDescent="0.3">
      <c r="A48" s="4" t="s">
        <v>76</v>
      </c>
      <c r="B48" s="21">
        <f>+'cartón caja'!B48</f>
        <v>33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89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ht="15.75" x14ac:dyDescent="0.3">
      <c r="A50" s="53" t="s">
        <v>53</v>
      </c>
      <c r="B50" s="54">
        <f>+E34*C42</f>
        <v>328.57600000000002</v>
      </c>
      <c r="C50" s="3"/>
      <c r="D50" s="21">
        <v>0</v>
      </c>
      <c r="E50" s="21">
        <v>0</v>
      </c>
      <c r="F50" s="21" t="s">
        <v>90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5.75" x14ac:dyDescent="0.3">
      <c r="A51" s="53" t="s">
        <v>12</v>
      </c>
      <c r="B51" s="54">
        <f>+H61</f>
        <v>100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ht="15.75" x14ac:dyDescent="0.3">
      <c r="A52" s="53"/>
      <c r="B52" s="54"/>
      <c r="C52" s="3"/>
      <c r="D52" s="21">
        <v>1</v>
      </c>
      <c r="E52" s="21">
        <v>1</v>
      </c>
      <c r="F52" s="21" t="s">
        <v>98</v>
      </c>
      <c r="G52" s="30">
        <v>100</v>
      </c>
      <c r="H52" s="30">
        <f t="shared" ref="H52" si="0">+G52*E52</f>
        <v>100</v>
      </c>
      <c r="I52" s="30">
        <f>+(B72/100)*2</f>
        <v>10.357248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6.5" x14ac:dyDescent="0.3">
      <c r="A53" s="53" t="s">
        <v>26</v>
      </c>
      <c r="B53" s="54">
        <v>0</v>
      </c>
      <c r="C53" s="3"/>
      <c r="D53" s="21">
        <v>1</v>
      </c>
      <c r="E53" s="21">
        <v>0</v>
      </c>
      <c r="F53" s="21" t="s">
        <v>78</v>
      </c>
      <c r="G53" s="30">
        <v>130</v>
      </c>
      <c r="H53" s="30">
        <f t="shared" ref="H53:H59" si="1">+G53*E53</f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x14ac:dyDescent="0.3">
      <c r="A54" s="56" t="s">
        <v>84</v>
      </c>
      <c r="B54" s="54">
        <v>0</v>
      </c>
      <c r="C54" s="3"/>
      <c r="D54" s="21">
        <v>1</v>
      </c>
      <c r="E54" s="21">
        <v>0</v>
      </c>
      <c r="F54" s="21" t="s">
        <v>79</v>
      </c>
      <c r="G54" s="30">
        <v>130</v>
      </c>
      <c r="H54" s="30">
        <f t="shared" si="1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ht="15.75" x14ac:dyDescent="0.3">
      <c r="A55" s="56" t="s">
        <v>85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1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ht="15.75" x14ac:dyDescent="0.3">
      <c r="A56" s="56" t="s">
        <v>86</v>
      </c>
      <c r="B56" s="54">
        <v>0</v>
      </c>
      <c r="D56" s="21">
        <v>1</v>
      </c>
      <c r="E56" s="21">
        <v>0</v>
      </c>
      <c r="F56" s="21" t="s">
        <v>54</v>
      </c>
      <c r="G56" s="30">
        <v>1.5</v>
      </c>
      <c r="H56" s="30">
        <f t="shared" si="1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ht="15.75" x14ac:dyDescent="0.3">
      <c r="A57" s="56"/>
      <c r="B57" s="56"/>
      <c r="D57" s="21">
        <v>0</v>
      </c>
      <c r="E57" s="21">
        <v>0</v>
      </c>
      <c r="F57" s="21" t="s">
        <v>55</v>
      </c>
      <c r="G57" s="30">
        <v>1.5</v>
      </c>
      <c r="H57" s="30">
        <f t="shared" si="1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2" t="s">
        <v>57</v>
      </c>
      <c r="B58" s="57">
        <f>SUM(B50:B57)</f>
        <v>428.57600000000002</v>
      </c>
      <c r="C58" s="3"/>
      <c r="D58" s="21">
        <v>0</v>
      </c>
      <c r="E58" s="21">
        <v>0</v>
      </c>
      <c r="F58" s="3" t="s">
        <v>58</v>
      </c>
      <c r="G58" s="30">
        <v>600</v>
      </c>
      <c r="H58" s="30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8"/>
      <c r="C59" s="3"/>
      <c r="D59" s="21"/>
      <c r="E59" s="21"/>
      <c r="F59" s="3"/>
      <c r="G59" s="3"/>
      <c r="H59" s="30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2">
        <f>+B58/B48</f>
        <v>12.987151515151515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100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62</v>
      </c>
      <c r="H62" s="76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64</v>
      </c>
      <c r="B63" s="3"/>
      <c r="C63" s="3"/>
      <c r="E63" s="32">
        <f>+B72/C40</f>
        <v>15.6928</v>
      </c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2" t="s">
        <v>70</v>
      </c>
      <c r="B65" s="53"/>
      <c r="C65" s="3"/>
      <c r="D65" s="3">
        <f>+B72*C68</f>
        <v>0</v>
      </c>
      <c r="E65" s="3"/>
      <c r="F65" s="3"/>
      <c r="G65" s="5" t="s">
        <v>80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3" t="s">
        <v>53</v>
      </c>
      <c r="B66" s="54">
        <f>+E35*C42</f>
        <v>377.86239999999998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3" t="s">
        <v>12</v>
      </c>
      <c r="B67" s="54">
        <f>+H61*H62</f>
        <v>140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3" t="str">
        <f>+A54</f>
        <v>Placas</v>
      </c>
      <c r="B68" s="54">
        <f>+B54*H63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3" t="str">
        <f>+A55</f>
        <v>Mensajeria</v>
      </c>
      <c r="B69" s="54">
        <f>+B55*H62</f>
        <v>0</v>
      </c>
      <c r="C69" s="63"/>
      <c r="F69" s="64" t="s">
        <v>72</v>
      </c>
      <c r="G69" s="32">
        <f>+B60</f>
        <v>12.987151515151515</v>
      </c>
      <c r="H69" s="65">
        <f>+G69*B48</f>
        <v>428.57600000000002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5.75" x14ac:dyDescent="0.3">
      <c r="A70" s="53" t="str">
        <f>+A56</f>
        <v>Listón</v>
      </c>
      <c r="B70" s="54">
        <f>+B56*H63</f>
        <v>0</v>
      </c>
      <c r="C70" s="66"/>
      <c r="F70" s="64" t="s">
        <v>74</v>
      </c>
      <c r="G70" s="32">
        <f>+C72</f>
        <v>15.6928</v>
      </c>
      <c r="H70" s="65">
        <f>+G70*B48</f>
        <v>517.86239999999998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5.75" x14ac:dyDescent="0.3">
      <c r="A71" s="53"/>
      <c r="B71" s="54"/>
      <c r="C71" s="66"/>
      <c r="F71" s="67" t="s">
        <v>75</v>
      </c>
      <c r="G71" s="68">
        <f>+G70-G69</f>
        <v>2.705648484848485</v>
      </c>
      <c r="H71" s="65">
        <f>+G71*B48</f>
        <v>89.2864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2" t="s">
        <v>57</v>
      </c>
      <c r="B72" s="57">
        <f>SUM(B65:B71)</f>
        <v>517.86239999999998</v>
      </c>
      <c r="C72" s="68">
        <f>+B72/B48</f>
        <v>15.6928</v>
      </c>
      <c r="D72" s="5" t="s">
        <v>124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x14ac:dyDescent="0.3">
      <c r="B76" s="69"/>
      <c r="C76" s="70"/>
    </row>
    <row r="80" spans="1:24" x14ac:dyDescent="0.3">
      <c r="J80" s="71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95"/>
  <sheetViews>
    <sheetView topLeftCell="A30" zoomScale="80" zoomScaleNormal="80" workbookViewId="0">
      <selection activeCell="A57" sqref="A5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4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5" customFormat="1" ht="15" x14ac:dyDescent="0.25">
      <c r="A9" s="5" t="s">
        <v>6</v>
      </c>
      <c r="C9" s="5" t="str">
        <f>+'cartón caja'!C9</f>
        <v>09 de mayo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6.5" thickBot="1" x14ac:dyDescent="0.35">
      <c r="A11" s="5" t="s">
        <v>8</v>
      </c>
      <c r="C11" s="1" t="str">
        <f>+'cartón caja'!C11</f>
        <v>Promsite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5.75" x14ac:dyDescent="0.3">
      <c r="A13" s="5" t="s">
        <v>10</v>
      </c>
      <c r="C13" s="1" t="str">
        <f>+'cartón cartera'!C13</f>
        <v>Caja de Vino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5.75" x14ac:dyDescent="0.3">
      <c r="A15" s="5" t="s">
        <v>11</v>
      </c>
      <c r="C15" s="19" t="s">
        <v>166</v>
      </c>
      <c r="D15" s="18"/>
      <c r="E15" s="18"/>
      <c r="F15" s="72" t="s">
        <v>87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5.75" x14ac:dyDescent="0.3">
      <c r="C16" s="17" t="s">
        <v>180</v>
      </c>
      <c r="D16" s="18"/>
      <c r="E16" s="18"/>
      <c r="F16" s="46">
        <f>+Desarrollo!C11</f>
        <v>32.5</v>
      </c>
      <c r="G16" s="73" t="s">
        <v>81</v>
      </c>
      <c r="H16" s="74">
        <f>+Desarrollo!D11</f>
        <v>26.5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5.75" x14ac:dyDescent="0.3">
      <c r="C17" s="17"/>
      <c r="D17" s="18"/>
      <c r="E17" s="18"/>
      <c r="F17" s="72">
        <v>1</v>
      </c>
      <c r="G17" s="75" t="s">
        <v>82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5.75" x14ac:dyDescent="0.3">
      <c r="C18" s="17"/>
      <c r="D18" s="18"/>
      <c r="E18" s="18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5.75" x14ac:dyDescent="0.3">
      <c r="C19" s="20"/>
      <c r="D19" s="18"/>
      <c r="E19" s="18"/>
      <c r="F19" s="46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5.75" x14ac:dyDescent="0.3">
      <c r="C20" s="18"/>
      <c r="D20" s="18"/>
      <c r="E20" s="18"/>
      <c r="F20" s="72"/>
      <c r="G20" s="75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5.75" x14ac:dyDescent="0.3">
      <c r="A23" s="4" t="s">
        <v>13</v>
      </c>
      <c r="C23" s="21" t="s">
        <v>166</v>
      </c>
      <c r="D23" s="5" t="s">
        <v>14</v>
      </c>
      <c r="E23" s="22" t="s">
        <v>167</v>
      </c>
      <c r="F23" s="1" t="s">
        <v>168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5.75" x14ac:dyDescent="0.3">
      <c r="A25" s="4" t="s">
        <v>15</v>
      </c>
      <c r="C25" s="23">
        <v>120</v>
      </c>
      <c r="D25" s="22" t="s">
        <v>16</v>
      </c>
      <c r="E25" s="24">
        <v>240</v>
      </c>
      <c r="F25" s="25">
        <f>+C25</f>
        <v>120</v>
      </c>
      <c r="G25" s="26" t="s">
        <v>16</v>
      </c>
      <c r="H25" s="26">
        <f>+E25</f>
        <v>240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5.75" x14ac:dyDescent="0.3">
      <c r="A26" s="4" t="s">
        <v>17</v>
      </c>
      <c r="B26" s="3"/>
      <c r="C26" s="27">
        <f>+F16</f>
        <v>32.5</v>
      </c>
      <c r="D26" s="28" t="s">
        <v>16</v>
      </c>
      <c r="E26" s="27">
        <f>+H16</f>
        <v>26.5</v>
      </c>
      <c r="F26" s="29">
        <f>+E26</f>
        <v>26.5</v>
      </c>
      <c r="G26" s="29" t="s">
        <v>16</v>
      </c>
      <c r="H26" s="29">
        <f>+C26</f>
        <v>32.5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6.5" thickBot="1" x14ac:dyDescent="0.35">
      <c r="A27" s="3" t="s">
        <v>18</v>
      </c>
      <c r="B27" s="31"/>
      <c r="C27" s="32">
        <f>+C25/C26</f>
        <v>3.6923076923076925</v>
      </c>
      <c r="D27" s="33"/>
      <c r="E27" s="32">
        <f>+E25/E26</f>
        <v>9.0566037735849054</v>
      </c>
      <c r="F27" s="32">
        <f>+F25/F26</f>
        <v>4.5283018867924527</v>
      </c>
      <c r="G27" s="33"/>
      <c r="H27" s="32">
        <f>+H25/H26</f>
        <v>7.384615384615385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6.5" thickBot="1" x14ac:dyDescent="0.35">
      <c r="A28" s="3" t="s">
        <v>19</v>
      </c>
      <c r="B28" s="34"/>
      <c r="C28" s="35"/>
      <c r="D28" s="36">
        <v>27</v>
      </c>
      <c r="E28" s="37"/>
      <c r="F28" s="38"/>
      <c r="G28" s="39">
        <v>28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5.75" x14ac:dyDescent="0.3">
      <c r="A30" s="25" t="s">
        <v>21</v>
      </c>
      <c r="B30" s="25"/>
      <c r="D30" s="41" t="s">
        <v>22</v>
      </c>
      <c r="E30" s="42">
        <v>190</v>
      </c>
      <c r="F30" s="121">
        <v>170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5.75" x14ac:dyDescent="0.3">
      <c r="D32" s="44" t="s">
        <v>25</v>
      </c>
      <c r="E32" s="45">
        <f>+E30-E31</f>
        <v>190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5.75" x14ac:dyDescent="0.3">
      <c r="D34" s="41" t="s">
        <v>29</v>
      </c>
      <c r="E34" s="47">
        <f>+E32</f>
        <v>190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5.75" x14ac:dyDescent="0.3">
      <c r="D35" s="41" t="s">
        <v>30</v>
      </c>
      <c r="E35" s="47">
        <f>+E34*1.15</f>
        <v>218.49999999999997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6.5" thickBot="1" x14ac:dyDescent="0.35">
      <c r="A38" s="4" t="s">
        <v>34</v>
      </c>
      <c r="C38" s="48">
        <v>30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5.75" x14ac:dyDescent="0.3">
      <c r="A40" s="4" t="s">
        <v>38</v>
      </c>
      <c r="B40" s="5"/>
      <c r="C40" s="50">
        <f>+B48/F17</f>
        <v>66</v>
      </c>
      <c r="D40" s="24">
        <f>+'cartón cartera'!D40*2</f>
        <v>30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5.75" x14ac:dyDescent="0.3">
      <c r="A41" s="4" t="s">
        <v>40</v>
      </c>
      <c r="C41" s="34">
        <f>+C40+D40</f>
        <v>96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5.75" x14ac:dyDescent="0.3">
      <c r="A42" s="4" t="s">
        <v>42</v>
      </c>
      <c r="C42" s="34">
        <f>+C41/C38</f>
        <v>3.2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5.75" x14ac:dyDescent="0.3">
      <c r="A43" s="4"/>
      <c r="C43" s="21"/>
      <c r="F43" s="41" t="s">
        <v>44</v>
      </c>
      <c r="G43" s="23">
        <f>+C40/1000</f>
        <v>6.6000000000000003E-2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5.75" x14ac:dyDescent="0.3">
      <c r="A44" s="4"/>
      <c r="C44" s="51"/>
      <c r="F44" s="44" t="s">
        <v>45</v>
      </c>
      <c r="G44" s="48">
        <f>+C41</f>
        <v>96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5.75" x14ac:dyDescent="0.3">
      <c r="A46" s="4" t="s">
        <v>46</v>
      </c>
      <c r="C46" s="25">
        <f>+C42*C38</f>
        <v>96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ht="15.75" x14ac:dyDescent="0.3">
      <c r="A48" s="4" t="s">
        <v>76</v>
      </c>
      <c r="B48" s="21">
        <f>+C48*2</f>
        <v>66</v>
      </c>
      <c r="C48" s="21">
        <f>+Desarrollo!B7</f>
        <v>33</v>
      </c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89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ht="15.75" x14ac:dyDescent="0.3">
      <c r="A50" s="53" t="s">
        <v>53</v>
      </c>
      <c r="B50" s="54">
        <f>+E34*C42</f>
        <v>608</v>
      </c>
      <c r="C50" s="3"/>
      <c r="D50" s="21">
        <v>0</v>
      </c>
      <c r="E50" s="21">
        <v>0</v>
      </c>
      <c r="F50" s="21" t="s">
        <v>90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5.75" x14ac:dyDescent="0.3">
      <c r="A51" s="53" t="s">
        <v>12</v>
      </c>
      <c r="B51" s="54">
        <f>+H61</f>
        <v>1040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ht="15.75" x14ac:dyDescent="0.3">
      <c r="A52" s="53"/>
      <c r="B52" s="54"/>
      <c r="C52" s="3"/>
      <c r="D52" s="21">
        <v>1</v>
      </c>
      <c r="E52" s="21">
        <v>1</v>
      </c>
      <c r="F52" s="21" t="s">
        <v>98</v>
      </c>
      <c r="G52" s="30">
        <v>200</v>
      </c>
      <c r="H52" s="30">
        <f t="shared" ref="H52:H59" si="0">+G52*E52</f>
        <v>200</v>
      </c>
      <c r="I52" s="30">
        <f>+(B72/100)*2</f>
        <v>54.303999999999995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6.5" x14ac:dyDescent="0.3">
      <c r="A53" s="53" t="s">
        <v>26</v>
      </c>
      <c r="B53" s="54">
        <v>400</v>
      </c>
      <c r="C53" s="3"/>
      <c r="D53" s="21">
        <v>1</v>
      </c>
      <c r="E53" s="21">
        <v>1</v>
      </c>
      <c r="F53" s="21" t="s">
        <v>78</v>
      </c>
      <c r="G53" s="30">
        <v>145</v>
      </c>
      <c r="H53" s="30">
        <f t="shared" si="0"/>
        <v>145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x14ac:dyDescent="0.3">
      <c r="A54" s="56" t="s">
        <v>84</v>
      </c>
      <c r="B54" s="54">
        <v>0</v>
      </c>
      <c r="C54" s="3"/>
      <c r="D54" s="21">
        <v>1</v>
      </c>
      <c r="E54" s="21">
        <v>1</v>
      </c>
      <c r="F54" s="21" t="s">
        <v>79</v>
      </c>
      <c r="G54" s="30">
        <v>145</v>
      </c>
      <c r="H54" s="30">
        <f t="shared" si="0"/>
        <v>145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ht="15.75" x14ac:dyDescent="0.3">
      <c r="A55" s="56" t="s">
        <v>85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ht="15.75" x14ac:dyDescent="0.3">
      <c r="A56" s="56" t="s">
        <v>86</v>
      </c>
      <c r="B56" s="54">
        <v>0</v>
      </c>
      <c r="D56" s="21">
        <v>1</v>
      </c>
      <c r="E56" s="21">
        <v>0</v>
      </c>
      <c r="F56" s="21" t="s">
        <v>54</v>
      </c>
      <c r="G56" s="30">
        <v>1.5</v>
      </c>
      <c r="H56" s="30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ht="15.75" x14ac:dyDescent="0.3">
      <c r="A57" s="56"/>
      <c r="B57" s="56"/>
      <c r="D57" s="21">
        <v>1</v>
      </c>
      <c r="E57" s="21">
        <v>1</v>
      </c>
      <c r="F57" s="21" t="s">
        <v>174</v>
      </c>
      <c r="G57" s="30">
        <f>+G81</f>
        <v>550</v>
      </c>
      <c r="H57" s="30">
        <f t="shared" si="0"/>
        <v>550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2" t="s">
        <v>57</v>
      </c>
      <c r="B58" s="57">
        <f>SUM(B50:B57)</f>
        <v>2048</v>
      </c>
      <c r="C58" s="3"/>
      <c r="D58" s="21">
        <v>0</v>
      </c>
      <c r="E58" s="21">
        <v>0</v>
      </c>
      <c r="F58" s="3" t="s">
        <v>58</v>
      </c>
      <c r="G58" s="30">
        <v>600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2">
        <f>+B58/C48</f>
        <v>62.060606060606062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1040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62</v>
      </c>
      <c r="H62" s="76">
        <v>1.4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64</v>
      </c>
      <c r="B63" s="3"/>
      <c r="C63" s="3"/>
      <c r="E63" s="32">
        <f>+B72/C40</f>
        <v>41.139393939393933</v>
      </c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2" t="s">
        <v>70</v>
      </c>
      <c r="B65" s="53"/>
      <c r="C65" s="3"/>
      <c r="D65" s="3">
        <f>+B72*C68</f>
        <v>0</v>
      </c>
      <c r="E65" s="3"/>
      <c r="F65" s="3"/>
      <c r="G65" s="5" t="s">
        <v>80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3" t="s">
        <v>53</v>
      </c>
      <c r="B66" s="54">
        <f>+E35*C42</f>
        <v>699.19999999999993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3" t="s">
        <v>12</v>
      </c>
      <c r="B67" s="54">
        <f>+H61*H62</f>
        <v>1456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3" t="str">
        <f>+A54</f>
        <v>Placas</v>
      </c>
      <c r="B68" s="54">
        <f>+B53*H62</f>
        <v>560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3" t="str">
        <f>+A55</f>
        <v>Mensajeria</v>
      </c>
      <c r="B69" s="54">
        <f>+B55*H62</f>
        <v>0</v>
      </c>
      <c r="C69" s="63"/>
      <c r="F69" s="64" t="s">
        <v>72</v>
      </c>
      <c r="G69" s="32">
        <f>+B60</f>
        <v>62.060606060606062</v>
      </c>
      <c r="H69" s="65">
        <f>+G69*C48</f>
        <v>2048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5.75" x14ac:dyDescent="0.3">
      <c r="A70" s="53" t="str">
        <f>+A56</f>
        <v>Listón</v>
      </c>
      <c r="B70" s="54">
        <f>+B56*H63</f>
        <v>0</v>
      </c>
      <c r="C70" s="66"/>
      <c r="F70" s="64" t="s">
        <v>74</v>
      </c>
      <c r="G70" s="32">
        <f>+C72</f>
        <v>82.278787878787867</v>
      </c>
      <c r="H70" s="65">
        <f>+G70*C48</f>
        <v>2715.2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5.75" x14ac:dyDescent="0.3">
      <c r="A71" s="53"/>
      <c r="B71" s="54"/>
      <c r="C71" s="66"/>
      <c r="F71" s="67" t="s">
        <v>75</v>
      </c>
      <c r="G71" s="68">
        <f>+G70-G69</f>
        <v>20.218181818181804</v>
      </c>
      <c r="H71" s="65">
        <f>+G71*C48</f>
        <v>667.19999999999959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2" t="s">
        <v>57</v>
      </c>
      <c r="B72" s="57">
        <f>SUM(B65:B71)</f>
        <v>2715.2</v>
      </c>
      <c r="C72" s="68">
        <f>+B72/C48</f>
        <v>82.278787878787867</v>
      </c>
      <c r="D72" s="5" t="s">
        <v>169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ht="15" thickBot="1" x14ac:dyDescent="0.35">
      <c r="A76" s="5" t="s">
        <v>9</v>
      </c>
    </row>
    <row r="77" spans="1:24" x14ac:dyDescent="0.3">
      <c r="A77" s="11" t="s">
        <v>101</v>
      </c>
      <c r="B77" s="12"/>
      <c r="C77" s="12"/>
      <c r="D77" s="12"/>
      <c r="E77" s="12"/>
      <c r="F77" s="12"/>
      <c r="G77" s="13"/>
    </row>
    <row r="78" spans="1:24" x14ac:dyDescent="0.3">
      <c r="A78" s="46">
        <f>+F16</f>
        <v>32.5</v>
      </c>
      <c r="B78" s="73">
        <f>+H16</f>
        <v>26.5</v>
      </c>
      <c r="C78" s="7" t="s">
        <v>100</v>
      </c>
      <c r="D78" s="73" t="s">
        <v>102</v>
      </c>
      <c r="E78" s="7" t="s">
        <v>103</v>
      </c>
      <c r="F78" s="92" t="s">
        <v>122</v>
      </c>
      <c r="G78" s="122">
        <v>550</v>
      </c>
    </row>
    <row r="79" spans="1:24" x14ac:dyDescent="0.3">
      <c r="A79" s="46">
        <f>0.463*0.503*C40</f>
        <v>15.370674000000001</v>
      </c>
      <c r="B79" s="78">
        <v>4</v>
      </c>
      <c r="C79" s="78">
        <f>+A79*B79</f>
        <v>61.482696000000004</v>
      </c>
      <c r="D79" s="78">
        <v>0</v>
      </c>
      <c r="E79" s="123">
        <f>+C79+D79</f>
        <v>61.482696000000004</v>
      </c>
      <c r="F79" s="75" t="s">
        <v>172</v>
      </c>
      <c r="G79" s="8"/>
    </row>
    <row r="80" spans="1:24" x14ac:dyDescent="0.3">
      <c r="A80" s="6"/>
      <c r="B80" s="78"/>
      <c r="C80" s="78"/>
      <c r="D80" s="78"/>
      <c r="E80" s="78"/>
      <c r="F80" s="7"/>
      <c r="G80" s="8"/>
      <c r="J80" s="71"/>
    </row>
    <row r="81" spans="1:18" x14ac:dyDescent="0.3">
      <c r="A81" s="46">
        <f>+A78</f>
        <v>32.5</v>
      </c>
      <c r="B81" s="73">
        <f>+B78</f>
        <v>26.5</v>
      </c>
      <c r="C81" s="7" t="s">
        <v>100</v>
      </c>
      <c r="D81" s="73" t="s">
        <v>102</v>
      </c>
      <c r="E81" s="7" t="s">
        <v>103</v>
      </c>
      <c r="F81" s="92" t="s">
        <v>122</v>
      </c>
      <c r="G81" s="124">
        <v>550</v>
      </c>
    </row>
    <row r="82" spans="1:18" x14ac:dyDescent="0.3">
      <c r="A82" s="46">
        <f>0.254*0.294*C41</f>
        <v>7.1688959999999993</v>
      </c>
      <c r="B82" s="78">
        <f>4.1*2</f>
        <v>8.1999999999999993</v>
      </c>
      <c r="C82" s="78">
        <f>+A82*B82</f>
        <v>58.784947199999991</v>
      </c>
      <c r="D82" s="78">
        <v>0</v>
      </c>
      <c r="E82" s="123">
        <f>+C82+D82</f>
        <v>58.784947199999991</v>
      </c>
      <c r="F82" s="75" t="s">
        <v>171</v>
      </c>
      <c r="G82" s="8"/>
    </row>
    <row r="83" spans="1:18" x14ac:dyDescent="0.3">
      <c r="A83" s="6"/>
      <c r="B83" s="7"/>
      <c r="C83" s="78"/>
      <c r="D83" s="78"/>
      <c r="E83" s="78"/>
      <c r="F83" s="78"/>
      <c r="G83" s="8"/>
    </row>
    <row r="84" spans="1:18" ht="15" thickBot="1" x14ac:dyDescent="0.35">
      <c r="A84" s="14"/>
      <c r="B84" s="15"/>
      <c r="C84" s="15"/>
      <c r="D84" s="15"/>
      <c r="E84" s="15"/>
      <c r="F84" s="15"/>
      <c r="G84" s="16"/>
    </row>
    <row r="86" spans="1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6"/>
  <sheetViews>
    <sheetView topLeftCell="A29" zoomScale="80" zoomScaleNormal="80" workbookViewId="0">
      <selection activeCell="B54" sqref="B5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6</v>
      </c>
      <c r="C9" s="5" t="str">
        <f>+'cartón caja'!C9</f>
        <v>09 de mayo de 2017.</v>
      </c>
      <c r="H9" s="5" t="s">
        <v>7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8</v>
      </c>
      <c r="C11" s="1" t="str">
        <f>+'cartón caja'!C11</f>
        <v>Promsite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</row>
    <row r="13" spans="1:21" ht="15.75" x14ac:dyDescent="0.3">
      <c r="A13" s="5" t="s">
        <v>10</v>
      </c>
      <c r="C13" s="1" t="str">
        <f>+'espuma base'!C13</f>
        <v>Caja de Vino</v>
      </c>
      <c r="F13" s="6"/>
      <c r="G13" s="7"/>
      <c r="H13" s="8"/>
      <c r="J13"/>
      <c r="K13"/>
      <c r="L13"/>
      <c r="M13"/>
      <c r="N1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</row>
    <row r="15" spans="1:21" ht="15.75" x14ac:dyDescent="0.3">
      <c r="A15" s="5" t="s">
        <v>11</v>
      </c>
      <c r="C15" s="19" t="s">
        <v>181</v>
      </c>
      <c r="D15" s="18"/>
      <c r="E15" s="18"/>
      <c r="F15" s="72" t="s">
        <v>5</v>
      </c>
      <c r="G15" s="7"/>
      <c r="H15" s="8"/>
      <c r="J15"/>
      <c r="K15"/>
      <c r="L15"/>
      <c r="M15"/>
      <c r="N15"/>
      <c r="O15"/>
      <c r="P15"/>
      <c r="Q15"/>
      <c r="R15"/>
    </row>
    <row r="16" spans="1:21" ht="15.75" x14ac:dyDescent="0.3">
      <c r="C16" s="17" t="s">
        <v>189</v>
      </c>
      <c r="D16" s="18"/>
      <c r="E16" s="18"/>
      <c r="F16" s="46">
        <f>+Desarrollo!C35</f>
        <v>48</v>
      </c>
      <c r="G16" s="73" t="s">
        <v>81</v>
      </c>
      <c r="H16" s="74">
        <f>+Desarrollo!E35</f>
        <v>42</v>
      </c>
      <c r="J16"/>
      <c r="K16"/>
      <c r="L16"/>
      <c r="M16"/>
      <c r="N16"/>
      <c r="O16"/>
      <c r="P16"/>
      <c r="Q16"/>
      <c r="R16"/>
    </row>
    <row r="17" spans="1:19" ht="15.75" x14ac:dyDescent="0.3">
      <c r="C17" s="17" t="s">
        <v>93</v>
      </c>
      <c r="D17" s="18"/>
      <c r="E17" s="18"/>
      <c r="F17" s="72">
        <v>1</v>
      </c>
      <c r="G17" s="75" t="s">
        <v>82</v>
      </c>
      <c r="H17" s="8"/>
      <c r="J17"/>
      <c r="K17"/>
      <c r="L17"/>
      <c r="M17"/>
      <c r="N17"/>
      <c r="O17"/>
      <c r="P17"/>
      <c r="Q17"/>
      <c r="R17"/>
    </row>
    <row r="18" spans="1:19" ht="15.75" x14ac:dyDescent="0.3">
      <c r="C18" s="17" t="s">
        <v>182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19" ht="15.75" x14ac:dyDescent="0.3">
      <c r="C19" s="18" t="s">
        <v>183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19" ht="15.75" x14ac:dyDescent="0.3">
      <c r="C20" s="18" t="s">
        <v>170</v>
      </c>
      <c r="D20" s="18"/>
      <c r="E20" s="18"/>
      <c r="F20" s="46">
        <f>+Desarrollo!C32</f>
        <v>46</v>
      </c>
      <c r="G20" s="73" t="s">
        <v>81</v>
      </c>
      <c r="H20" s="74">
        <f>+Desarrollo!E32</f>
        <v>40</v>
      </c>
      <c r="J20"/>
      <c r="K20"/>
      <c r="L20"/>
      <c r="M20"/>
      <c r="N20"/>
      <c r="O20"/>
      <c r="P20"/>
      <c r="Q20"/>
      <c r="R20"/>
    </row>
    <row r="21" spans="1:19" ht="15.75" x14ac:dyDescent="0.3">
      <c r="C21" s="18" t="s">
        <v>136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9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</row>
    <row r="23" spans="1:19" ht="15.75" x14ac:dyDescent="0.3">
      <c r="A23" s="4" t="s">
        <v>13</v>
      </c>
      <c r="C23" s="80" t="str">
        <f>+Desarrollo!A34</f>
        <v xml:space="preserve">Rainbow Azul </v>
      </c>
      <c r="D23" s="5" t="s">
        <v>14</v>
      </c>
      <c r="E23" s="22" t="str">
        <f>+Desarrollo!B34</f>
        <v>papel</v>
      </c>
      <c r="J23"/>
      <c r="K23"/>
      <c r="L23"/>
      <c r="M23"/>
      <c r="N23"/>
      <c r="O23"/>
      <c r="P23"/>
      <c r="Q23"/>
      <c r="R23"/>
    </row>
    <row r="24" spans="1:19" ht="15.75" x14ac:dyDescent="0.3">
      <c r="J24"/>
      <c r="K24"/>
      <c r="L24"/>
      <c r="M24"/>
      <c r="N24"/>
      <c r="O24"/>
      <c r="P24"/>
      <c r="Q24"/>
      <c r="R24"/>
    </row>
    <row r="25" spans="1:19" ht="15.75" x14ac:dyDescent="0.3">
      <c r="A25" s="4" t="s">
        <v>15</v>
      </c>
      <c r="C25" s="23">
        <f>+Desarrollo!C34</f>
        <v>100</v>
      </c>
      <c r="D25" s="22" t="s">
        <v>16</v>
      </c>
      <c r="E25" s="24">
        <f>+Desarrollo!E34</f>
        <v>130</v>
      </c>
      <c r="F25" s="25">
        <f>+C25</f>
        <v>100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</row>
    <row r="26" spans="1:19" ht="15.75" x14ac:dyDescent="0.3">
      <c r="A26" s="4" t="s">
        <v>17</v>
      </c>
      <c r="B26" s="3"/>
      <c r="C26" s="27">
        <f>+F16</f>
        <v>48</v>
      </c>
      <c r="D26" s="28" t="s">
        <v>16</v>
      </c>
      <c r="E26" s="27">
        <f>+H16</f>
        <v>42</v>
      </c>
      <c r="F26" s="29">
        <f>+E26</f>
        <v>42</v>
      </c>
      <c r="G26" s="29" t="s">
        <v>16</v>
      </c>
      <c r="H26" s="29">
        <f>+C26</f>
        <v>48</v>
      </c>
      <c r="I26" s="30"/>
      <c r="J26"/>
      <c r="K26"/>
      <c r="L26"/>
      <c r="M26"/>
      <c r="N26"/>
      <c r="O26"/>
      <c r="P26"/>
      <c r="Q26"/>
      <c r="R26"/>
    </row>
    <row r="27" spans="1:19" ht="16.5" thickBot="1" x14ac:dyDescent="0.35">
      <c r="A27" s="3" t="s">
        <v>18</v>
      </c>
      <c r="B27" s="31"/>
      <c r="C27" s="32">
        <f>+C25/C26</f>
        <v>2.0833333333333335</v>
      </c>
      <c r="D27" s="33"/>
      <c r="E27" s="32">
        <f>+E25/E26</f>
        <v>3.0952380952380953</v>
      </c>
      <c r="F27" s="32">
        <f>+F25/F26</f>
        <v>2.3809523809523809</v>
      </c>
      <c r="G27" s="33"/>
      <c r="H27" s="32">
        <f>+H25/H26</f>
        <v>2.7083333333333335</v>
      </c>
      <c r="I27" s="30"/>
      <c r="J27"/>
      <c r="K27"/>
      <c r="L27"/>
      <c r="M27"/>
      <c r="N27"/>
      <c r="O27"/>
      <c r="P27"/>
      <c r="Q27"/>
      <c r="R27"/>
    </row>
    <row r="28" spans="1:19" ht="16.5" thickBot="1" x14ac:dyDescent="0.35">
      <c r="A28" s="3" t="s">
        <v>19</v>
      </c>
      <c r="B28" s="34"/>
      <c r="C28" s="35"/>
      <c r="D28" s="36">
        <v>6</v>
      </c>
      <c r="E28" s="37"/>
      <c r="F28" s="38"/>
      <c r="G28" s="39">
        <v>4</v>
      </c>
      <c r="H28" s="40" t="s">
        <v>20</v>
      </c>
      <c r="J28"/>
      <c r="K28"/>
      <c r="L28"/>
      <c r="M28"/>
      <c r="N28"/>
      <c r="O28"/>
      <c r="P28"/>
      <c r="Q28"/>
      <c r="R28"/>
    </row>
    <row r="29" spans="1:19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</row>
    <row r="30" spans="1:19" ht="15.75" x14ac:dyDescent="0.3">
      <c r="A30" s="25" t="s">
        <v>21</v>
      </c>
      <c r="B30" s="125" t="s">
        <v>184</v>
      </c>
      <c r="D30" s="41" t="s">
        <v>22</v>
      </c>
      <c r="E30" s="42">
        <f>+Desarrollo!F34</f>
        <v>54</v>
      </c>
      <c r="F30" s="120"/>
      <c r="G30" s="1" t="s">
        <v>23</v>
      </c>
      <c r="H30" s="43">
        <v>0.15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4" t="s">
        <v>24</v>
      </c>
      <c r="E31" s="42">
        <f>+H30*E30</f>
        <v>8.1</v>
      </c>
      <c r="H31" s="43"/>
      <c r="I31" s="30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4" t="s">
        <v>25</v>
      </c>
      <c r="E32" s="45">
        <f>+E30-E31</f>
        <v>45.9</v>
      </c>
      <c r="I32" s="30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1" t="s">
        <v>29</v>
      </c>
      <c r="E34" s="47">
        <f>+E32</f>
        <v>45.9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1" t="s">
        <v>30</v>
      </c>
      <c r="E35" s="47">
        <f>+E34*1.1</f>
        <v>50.49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34</v>
      </c>
      <c r="C38" s="48">
        <v>6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38</v>
      </c>
      <c r="B40" s="5"/>
      <c r="C40" s="50">
        <f>+B48/F17</f>
        <v>33</v>
      </c>
      <c r="D40" s="24">
        <f>+Desarrollo!D7</f>
        <v>15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40</v>
      </c>
      <c r="C41" s="34">
        <f>+C40+D40</f>
        <v>48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42</v>
      </c>
      <c r="C42" s="34">
        <f>+C41/C38</f>
        <v>8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91</v>
      </c>
      <c r="C43" s="21">
        <f>+(C42*C38)*F17</f>
        <v>48</v>
      </c>
      <c r="F43" s="41" t="s">
        <v>44</v>
      </c>
      <c r="G43" s="23">
        <f>+C40/1000</f>
        <v>3.3000000000000002E-2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1"/>
      <c r="F44" s="44" t="s">
        <v>45</v>
      </c>
      <c r="G44" s="48">
        <f>+C41</f>
        <v>48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46</v>
      </c>
      <c r="C46" s="25">
        <f>+C42*C38</f>
        <v>48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</row>
    <row r="48" spans="1:19" ht="15.75" x14ac:dyDescent="0.3">
      <c r="A48" s="4" t="s">
        <v>76</v>
      </c>
      <c r="B48" s="21">
        <f>+'cartón caja'!B48</f>
        <v>33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</row>
    <row r="49" spans="1:23" ht="15.75" x14ac:dyDescent="0.3">
      <c r="A49" s="52" t="s">
        <v>52</v>
      </c>
      <c r="B49" s="53"/>
      <c r="C49" s="3"/>
      <c r="D49" s="21">
        <v>0</v>
      </c>
      <c r="E49" s="21">
        <v>0</v>
      </c>
      <c r="F49" s="21" t="s">
        <v>185</v>
      </c>
      <c r="G49" s="30">
        <f>120+115</f>
        <v>235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</row>
    <row r="50" spans="1:23" ht="15.75" x14ac:dyDescent="0.3">
      <c r="A50" s="53" t="s">
        <v>53</v>
      </c>
      <c r="B50" s="54">
        <f>+E34*C42</f>
        <v>367.2</v>
      </c>
      <c r="C50" s="3"/>
      <c r="D50" s="21">
        <v>0</v>
      </c>
      <c r="E50" s="21">
        <v>0</v>
      </c>
      <c r="F50" s="21" t="s">
        <v>77</v>
      </c>
      <c r="G50" s="30">
        <v>200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</row>
    <row r="51" spans="1:23" ht="15.75" x14ac:dyDescent="0.3">
      <c r="A51" s="53" t="s">
        <v>12</v>
      </c>
      <c r="B51" s="54">
        <f>+H61</f>
        <v>890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3" ht="15.75" x14ac:dyDescent="0.3">
      <c r="A52" s="53"/>
      <c r="B52" s="54"/>
      <c r="C52" s="3"/>
      <c r="D52" s="21">
        <v>1</v>
      </c>
      <c r="E52" s="21">
        <v>1</v>
      </c>
      <c r="F52" s="21" t="s">
        <v>98</v>
      </c>
      <c r="G52" s="30">
        <v>50</v>
      </c>
      <c r="H52" s="30">
        <f t="shared" ref="H52:H59" si="0">+G52*E52</f>
        <v>50</v>
      </c>
      <c r="I52" s="63">
        <f>+(B73/100)*2</f>
        <v>34.778400000000005</v>
      </c>
      <c r="Q52"/>
      <c r="R52"/>
      <c r="S52"/>
    </row>
    <row r="53" spans="1:23" ht="16.5" x14ac:dyDescent="0.3">
      <c r="A53" s="53" t="s">
        <v>26</v>
      </c>
      <c r="B53" s="54">
        <v>0</v>
      </c>
      <c r="C53" s="3"/>
      <c r="D53" s="21">
        <v>1</v>
      </c>
      <c r="E53" s="21">
        <v>1</v>
      </c>
      <c r="F53" s="21" t="s">
        <v>78</v>
      </c>
      <c r="G53" s="30">
        <v>145</v>
      </c>
      <c r="H53" s="30">
        <f t="shared" si="0"/>
        <v>145</v>
      </c>
      <c r="I53" s="55"/>
      <c r="Q53"/>
      <c r="R53"/>
      <c r="S53"/>
    </row>
    <row r="54" spans="1:23" ht="15.75" x14ac:dyDescent="0.3">
      <c r="A54" s="56" t="s">
        <v>121</v>
      </c>
      <c r="B54" s="54">
        <v>0</v>
      </c>
      <c r="C54" s="3"/>
      <c r="D54" s="21">
        <v>1</v>
      </c>
      <c r="E54" s="21">
        <v>1</v>
      </c>
      <c r="F54" s="21" t="s">
        <v>79</v>
      </c>
      <c r="G54" s="30">
        <v>145</v>
      </c>
      <c r="H54" s="30">
        <f t="shared" si="0"/>
        <v>145</v>
      </c>
      <c r="Q54"/>
      <c r="R54"/>
      <c r="S54"/>
    </row>
    <row r="55" spans="1:23" ht="15.75" x14ac:dyDescent="0.3">
      <c r="A55" s="56" t="s">
        <v>97</v>
      </c>
      <c r="B55" s="54">
        <v>0</v>
      </c>
      <c r="D55" s="21">
        <v>0</v>
      </c>
      <c r="E55" s="21">
        <v>0</v>
      </c>
      <c r="F55" s="21" t="s">
        <v>95</v>
      </c>
      <c r="G55" s="30">
        <v>120</v>
      </c>
      <c r="H55" s="30">
        <f>+G55*E55</f>
        <v>0</v>
      </c>
      <c r="Q55"/>
      <c r="R55"/>
      <c r="S55"/>
    </row>
    <row r="56" spans="1:23" x14ac:dyDescent="0.3">
      <c r="A56" s="56" t="s">
        <v>96</v>
      </c>
      <c r="B56" s="54">
        <v>0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</row>
    <row r="57" spans="1:23" ht="15.75" x14ac:dyDescent="0.3">
      <c r="A57" s="56"/>
      <c r="B57" s="56"/>
      <c r="D57" s="21">
        <v>1</v>
      </c>
      <c r="E57" s="21">
        <v>1</v>
      </c>
      <c r="F57" s="21" t="s">
        <v>105</v>
      </c>
      <c r="G57" s="30">
        <f>+G82</f>
        <v>550</v>
      </c>
      <c r="H57" s="30">
        <f t="shared" ref="H57" si="1">+G57*E57</f>
        <v>550</v>
      </c>
      <c r="Q57"/>
      <c r="R57"/>
      <c r="S57"/>
      <c r="T57"/>
      <c r="U57"/>
      <c r="V57"/>
      <c r="W57"/>
    </row>
    <row r="58" spans="1:23" ht="15.75" x14ac:dyDescent="0.3">
      <c r="A58" s="52" t="s">
        <v>57</v>
      </c>
      <c r="B58" s="57">
        <f>SUM(B50:B57)</f>
        <v>1257.2</v>
      </c>
      <c r="C58" s="3"/>
      <c r="D58" s="21">
        <v>0</v>
      </c>
      <c r="E58" s="21">
        <v>0</v>
      </c>
      <c r="F58" s="3" t="s">
        <v>58</v>
      </c>
      <c r="G58" s="30">
        <f>+E80</f>
        <v>44.714688000000002</v>
      </c>
      <c r="H58" s="30">
        <f t="shared" si="0"/>
        <v>0</v>
      </c>
      <c r="Q58"/>
      <c r="R58"/>
      <c r="S58"/>
      <c r="T58"/>
      <c r="U58"/>
      <c r="V58"/>
      <c r="W58"/>
    </row>
    <row r="59" spans="1:23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2">
        <f>+B58/B48</f>
        <v>38.096969696969701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890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62</v>
      </c>
      <c r="H62" s="76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64</v>
      </c>
      <c r="B63" s="3"/>
      <c r="C63" s="3"/>
      <c r="E63" s="32">
        <f>+B73/C40</f>
        <v>52.694545454545455</v>
      </c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2" t="s">
        <v>70</v>
      </c>
      <c r="B65" s="53"/>
      <c r="C65" s="3"/>
      <c r="D65" s="3">
        <f>+B73*C69</f>
        <v>0</v>
      </c>
      <c r="E65" s="3"/>
      <c r="F65" s="3"/>
      <c r="G65" s="5" t="s">
        <v>80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3" t="s">
        <v>53</v>
      </c>
      <c r="B66" s="54">
        <f>+E35*C42</f>
        <v>403.92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3" t="s">
        <v>12</v>
      </c>
      <c r="B67" s="54">
        <f>+H61*H62</f>
        <v>1335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3" t="str">
        <f>+A53</f>
        <v>Tabla de suaje</v>
      </c>
      <c r="B68" s="54">
        <f>+B53*H62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3" t="str">
        <f>+A54</f>
        <v>Pruebas de color</v>
      </c>
      <c r="B69" s="54">
        <f>+B54*H62</f>
        <v>0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3" t="str">
        <f>+A55</f>
        <v>Imán</v>
      </c>
      <c r="B70" s="54">
        <f>+B55*H62</f>
        <v>0</v>
      </c>
      <c r="C70" s="63"/>
      <c r="F70" s="64" t="s">
        <v>72</v>
      </c>
      <c r="G70" s="32">
        <f>+B60</f>
        <v>38.096969696969701</v>
      </c>
      <c r="H70" s="65">
        <f>+G70*B48</f>
        <v>1257.2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3" t="str">
        <f>+A56</f>
        <v>Encuadernación</v>
      </c>
      <c r="B71" s="54">
        <f>+B56*1.2</f>
        <v>0</v>
      </c>
      <c r="C71" s="66"/>
      <c r="F71" s="64" t="s">
        <v>74</v>
      </c>
      <c r="G71" s="32">
        <f>+C73</f>
        <v>52.694545454545455</v>
      </c>
      <c r="H71" s="65">
        <f>+G71*B48</f>
        <v>1738.92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53"/>
      <c r="B72" s="54"/>
      <c r="C72" s="66"/>
      <c r="F72" s="67" t="s">
        <v>75</v>
      </c>
      <c r="G72" s="68">
        <f>+G71-G70</f>
        <v>14.597575757575754</v>
      </c>
      <c r="H72" s="82">
        <f>+G72*B48</f>
        <v>481.71999999999991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x14ac:dyDescent="0.3">
      <c r="A73" s="52" t="s">
        <v>57</v>
      </c>
      <c r="B73" s="57">
        <f>SUM(B65:B72)</f>
        <v>1738.92</v>
      </c>
      <c r="C73" s="68">
        <f>+B73/B48</f>
        <v>52.694545454545455</v>
      </c>
      <c r="D73" s="5" t="s">
        <v>173</v>
      </c>
    </row>
    <row r="74" spans="1:23" x14ac:dyDescent="0.3">
      <c r="C74" s="77"/>
      <c r="D74" s="5"/>
    </row>
    <row r="75" spans="1:23" x14ac:dyDescent="0.3">
      <c r="C75" s="77"/>
      <c r="D75" s="5"/>
    </row>
    <row r="76" spans="1:23" x14ac:dyDescent="0.3">
      <c r="A76" s="5"/>
      <c r="C76" s="65"/>
      <c r="D76" s="5"/>
    </row>
    <row r="77" spans="1:23" ht="15" thickBot="1" x14ac:dyDescent="0.35">
      <c r="A77" s="5" t="s">
        <v>175</v>
      </c>
    </row>
    <row r="78" spans="1:23" x14ac:dyDescent="0.3">
      <c r="A78" s="11" t="s">
        <v>101</v>
      </c>
      <c r="B78" s="12"/>
      <c r="C78" s="12"/>
      <c r="D78" s="12"/>
      <c r="E78" s="12"/>
      <c r="F78" s="12"/>
      <c r="G78" s="13"/>
    </row>
    <row r="79" spans="1:23" x14ac:dyDescent="0.3">
      <c r="A79" s="46">
        <f>+F16</f>
        <v>48</v>
      </c>
      <c r="B79" s="73">
        <f>+H16</f>
        <v>42</v>
      </c>
      <c r="C79" s="7" t="s">
        <v>100</v>
      </c>
      <c r="D79" s="73" t="s">
        <v>102</v>
      </c>
      <c r="E79" s="7" t="s">
        <v>103</v>
      </c>
      <c r="F79" s="92" t="s">
        <v>122</v>
      </c>
      <c r="G79" s="122">
        <v>550</v>
      </c>
    </row>
    <row r="80" spans="1:23" x14ac:dyDescent="0.3">
      <c r="A80" s="46">
        <f>0.463*0.503*C41</f>
        <v>11.178672000000001</v>
      </c>
      <c r="B80" s="78">
        <v>4</v>
      </c>
      <c r="C80" s="78">
        <f>+A80*B80</f>
        <v>44.714688000000002</v>
      </c>
      <c r="D80" s="78">
        <v>0</v>
      </c>
      <c r="E80" s="123">
        <f>+C80+D80</f>
        <v>44.714688000000002</v>
      </c>
      <c r="F80" s="75" t="s">
        <v>172</v>
      </c>
      <c r="G80" s="8"/>
    </row>
    <row r="81" spans="1:18" x14ac:dyDescent="0.3">
      <c r="A81" s="6"/>
      <c r="B81" s="78"/>
      <c r="C81" s="78"/>
      <c r="D81" s="78"/>
      <c r="E81" s="78"/>
      <c r="F81" s="7"/>
      <c r="G81" s="8"/>
      <c r="J81" s="71"/>
    </row>
    <row r="82" spans="1:18" x14ac:dyDescent="0.3">
      <c r="A82" s="46">
        <f>+A79</f>
        <v>48</v>
      </c>
      <c r="B82" s="73">
        <f>+B79</f>
        <v>42</v>
      </c>
      <c r="C82" s="7" t="s">
        <v>100</v>
      </c>
      <c r="D82" s="73" t="s">
        <v>102</v>
      </c>
      <c r="E82" s="7" t="s">
        <v>103</v>
      </c>
      <c r="F82" s="92" t="s">
        <v>122</v>
      </c>
      <c r="G82" s="124">
        <v>550</v>
      </c>
    </row>
    <row r="83" spans="1:18" x14ac:dyDescent="0.3">
      <c r="A83" s="46">
        <f>0.463*0.503*C41</f>
        <v>11.178672000000001</v>
      </c>
      <c r="B83" s="78">
        <f>4.1*2</f>
        <v>8.1999999999999993</v>
      </c>
      <c r="C83" s="78">
        <f>+A83*B83</f>
        <v>91.665110400000003</v>
      </c>
      <c r="D83" s="78">
        <v>0</v>
      </c>
      <c r="E83" s="123">
        <f>+C83+D83</f>
        <v>91.665110400000003</v>
      </c>
      <c r="F83" s="75" t="s">
        <v>171</v>
      </c>
      <c r="G83" s="8"/>
    </row>
    <row r="84" spans="1:18" x14ac:dyDescent="0.3">
      <c r="A84" s="6"/>
      <c r="B84" s="7"/>
      <c r="C84" s="78"/>
      <c r="D84" s="78"/>
      <c r="E84" s="78"/>
      <c r="F84" s="78"/>
      <c r="G84" s="8"/>
    </row>
    <row r="85" spans="1:18" ht="15" thickBot="1" x14ac:dyDescent="0.35">
      <c r="A85" s="14"/>
      <c r="B85" s="15"/>
      <c r="C85" s="15"/>
      <c r="D85" s="15"/>
      <c r="E85" s="15"/>
      <c r="F85" s="15"/>
      <c r="G85" s="16"/>
    </row>
    <row r="87" spans="1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topLeftCell="A38" zoomScale="80" zoomScaleNormal="80" workbookViewId="0">
      <selection activeCell="B53" sqref="B5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+'cartón caja'!C9</f>
        <v>09 de mayo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+'cartón caja'!C11</f>
        <v>Promsite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C13" s="1" t="str">
        <f>+'espuma base'!C13</f>
        <v>Caja de Vino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181</v>
      </c>
      <c r="D15" s="18"/>
      <c r="E15" s="18"/>
      <c r="F15" s="72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189</v>
      </c>
      <c r="D16" s="18"/>
      <c r="E16" s="18"/>
      <c r="F16" s="46">
        <f>+Desarrollo!C42</f>
        <v>53.5</v>
      </c>
      <c r="G16" s="73" t="s">
        <v>81</v>
      </c>
      <c r="H16" s="74">
        <f>+Desarrollo!E42</f>
        <v>47.5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 t="s">
        <v>93</v>
      </c>
      <c r="D17" s="18"/>
      <c r="E17" s="18"/>
      <c r="F17" s="72">
        <v>1</v>
      </c>
      <c r="G17" s="75" t="s">
        <v>82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 t="s">
        <v>182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8" t="s">
        <v>183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 t="s">
        <v>170</v>
      </c>
      <c r="D20" s="18"/>
      <c r="E20" s="18"/>
      <c r="F20" s="46">
        <f>+Desarrollo!C39</f>
        <v>49.5</v>
      </c>
      <c r="G20" s="73" t="s">
        <v>81</v>
      </c>
      <c r="H20" s="74">
        <f>+Desarrollo!E39</f>
        <v>43.5</v>
      </c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 t="s">
        <v>136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80" t="str">
        <f>+Desarrollo!A34</f>
        <v xml:space="preserve">Rainbow Azul </v>
      </c>
      <c r="D23" s="5" t="s">
        <v>14</v>
      </c>
      <c r="E23" s="22" t="str">
        <f>+Desarrollo!B34</f>
        <v>papel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f>+Desarrollo!C41</f>
        <v>100</v>
      </c>
      <c r="D25" s="22" t="s">
        <v>16</v>
      </c>
      <c r="E25" s="24">
        <f>+Desarrollo!E41</f>
        <v>130</v>
      </c>
      <c r="F25" s="25">
        <f>+C25</f>
        <v>100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53.5</v>
      </c>
      <c r="D26" s="28" t="s">
        <v>16</v>
      </c>
      <c r="E26" s="27">
        <f>+H16</f>
        <v>47.5</v>
      </c>
      <c r="F26" s="29">
        <f>+E26</f>
        <v>47.5</v>
      </c>
      <c r="G26" s="29" t="s">
        <v>16</v>
      </c>
      <c r="H26" s="29">
        <f>+C26</f>
        <v>53.5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1.8691588785046729</v>
      </c>
      <c r="D27" s="33"/>
      <c r="E27" s="32">
        <f>+E25/E26</f>
        <v>2.736842105263158</v>
      </c>
      <c r="F27" s="32">
        <f>+F25/F26</f>
        <v>2.1052631578947367</v>
      </c>
      <c r="G27" s="33"/>
      <c r="H27" s="32">
        <f>+H25/H26</f>
        <v>2.4299065420560746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2</v>
      </c>
      <c r="E28" s="37"/>
      <c r="F28" s="38"/>
      <c r="G28" s="39">
        <v>4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125" t="s">
        <v>184</v>
      </c>
      <c r="D30" s="41" t="s">
        <v>22</v>
      </c>
      <c r="E30" s="42">
        <f>+Desarrollo!F41</f>
        <v>54</v>
      </c>
      <c r="F30" s="120">
        <v>0</v>
      </c>
      <c r="G30" s="1" t="s">
        <v>23</v>
      </c>
      <c r="H30" s="43">
        <v>0.15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8.1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45.9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45.9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</f>
        <v>50.49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4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33</v>
      </c>
      <c r="D40" s="24">
        <f>+'empalme caja INT'!D40</f>
        <v>15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48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12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 t="s">
        <v>91</v>
      </c>
      <c r="C43" s="21">
        <f>+(C42*C38)*F17</f>
        <v>48</v>
      </c>
      <c r="F43" s="41" t="s">
        <v>44</v>
      </c>
      <c r="G43" s="23">
        <f>+C40/1000</f>
        <v>3.3000000000000002E-2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48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48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76</v>
      </c>
      <c r="B48" s="21">
        <f>+'cartón caja'!B48</f>
        <v>33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0</v>
      </c>
      <c r="E49" s="21">
        <v>0</v>
      </c>
      <c r="F49" s="21" t="s">
        <v>185</v>
      </c>
      <c r="G49" s="30">
        <f>120+115</f>
        <v>235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53</v>
      </c>
      <c r="B50" s="54">
        <f>+E34*C42</f>
        <v>550.79999999999995</v>
      </c>
      <c r="C50" s="3"/>
      <c r="D50" s="21">
        <v>0</v>
      </c>
      <c r="E50" s="21">
        <v>0</v>
      </c>
      <c r="F50" s="21" t="s">
        <v>77</v>
      </c>
      <c r="G50" s="30">
        <v>200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390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98</v>
      </c>
      <c r="G52" s="30">
        <v>100</v>
      </c>
      <c r="H52" s="30">
        <f t="shared" ref="H52:H54" si="0">+G52*E52</f>
        <v>100</v>
      </c>
      <c r="I52" s="63">
        <f>+(B73/100)*2</f>
        <v>79.377600000000015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400</v>
      </c>
      <c r="C53" s="3"/>
      <c r="D53" s="21">
        <v>1</v>
      </c>
      <c r="E53" s="21">
        <v>1</v>
      </c>
      <c r="F53" s="21" t="s">
        <v>78</v>
      </c>
      <c r="G53" s="30">
        <v>145</v>
      </c>
      <c r="H53" s="30">
        <f t="shared" si="0"/>
        <v>145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121</v>
      </c>
      <c r="B54" s="54">
        <v>0</v>
      </c>
      <c r="C54" s="3"/>
      <c r="D54" s="21">
        <v>1</v>
      </c>
      <c r="E54" s="21">
        <v>1</v>
      </c>
      <c r="F54" s="21" t="s">
        <v>79</v>
      </c>
      <c r="G54" s="30">
        <v>145</v>
      </c>
      <c r="H54" s="30">
        <f t="shared" si="0"/>
        <v>145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97</v>
      </c>
      <c r="B55" s="54">
        <v>0</v>
      </c>
      <c r="D55" s="21">
        <v>0</v>
      </c>
      <c r="E55" s="21">
        <v>0</v>
      </c>
      <c r="F55" s="21" t="s">
        <v>95</v>
      </c>
      <c r="G55" s="30">
        <v>120</v>
      </c>
      <c r="H55" s="30">
        <f>+G55*E55</f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96</v>
      </c>
      <c r="B56" s="54">
        <f>+((40*B48)*1.1)</f>
        <v>1452.0000000000002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105</v>
      </c>
      <c r="G57" s="30">
        <v>300</v>
      </c>
      <c r="H57" s="30">
        <f t="shared" ref="H57" si="1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57</v>
      </c>
      <c r="B58" s="57">
        <f>SUM(B50:B57)</f>
        <v>2792.8</v>
      </c>
      <c r="C58" s="3"/>
      <c r="D58" s="21">
        <v>0</v>
      </c>
      <c r="E58" s="21">
        <v>0</v>
      </c>
      <c r="F58" s="3" t="s">
        <v>58</v>
      </c>
      <c r="G58" s="30">
        <f>+E80</f>
        <v>55.496448000000001</v>
      </c>
      <c r="H58" s="30">
        <f t="shared" ref="H58" si="2">+G58*E58</f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ref="H59" si="3">+G59*E59</f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84.63030303030304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390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62</v>
      </c>
      <c r="H62" s="76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64</v>
      </c>
      <c r="B63" s="3"/>
      <c r="C63" s="3"/>
      <c r="E63" s="32">
        <f>+B73/C40</f>
        <v>120.26909090909092</v>
      </c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70</v>
      </c>
      <c r="B65" s="53"/>
      <c r="C65" s="3"/>
      <c r="D65" s="3">
        <f>+B73*C69</f>
        <v>0</v>
      </c>
      <c r="E65" s="3"/>
      <c r="F65" s="3"/>
      <c r="G65" s="5" t="s">
        <v>80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53</v>
      </c>
      <c r="B66" s="54">
        <f>+E35*C42</f>
        <v>605.88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585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+A53</f>
        <v>Tabla de suaje</v>
      </c>
      <c r="B68" s="54">
        <f>+B53*H62</f>
        <v>600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+A54</f>
        <v>Pruebas de color</v>
      </c>
      <c r="B69" s="54">
        <f>+B54*H62</f>
        <v>0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+A55</f>
        <v>Imán</v>
      </c>
      <c r="B70" s="54">
        <f>+B55*H62</f>
        <v>0</v>
      </c>
      <c r="C70" s="63"/>
      <c r="F70" s="64" t="s">
        <v>72</v>
      </c>
      <c r="G70" s="32">
        <f>+B60</f>
        <v>84.63030303030304</v>
      </c>
      <c r="H70" s="65">
        <f>+G70*B48</f>
        <v>2792.8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3" t="str">
        <f>+A56</f>
        <v>Encuadernación</v>
      </c>
      <c r="B71" s="54">
        <f>+B56*H62</f>
        <v>2178.0000000000005</v>
      </c>
      <c r="C71" s="66"/>
      <c r="F71" s="64" t="s">
        <v>74</v>
      </c>
      <c r="G71" s="32">
        <f>+C73</f>
        <v>120.26909090909092</v>
      </c>
      <c r="H71" s="65">
        <f>+G71*B48</f>
        <v>3968.8800000000006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3"/>
      <c r="B72" s="54"/>
      <c r="C72" s="66"/>
      <c r="F72" s="67" t="s">
        <v>75</v>
      </c>
      <c r="G72" s="68">
        <f>+G71-G70</f>
        <v>35.63878787878788</v>
      </c>
      <c r="H72" s="82">
        <f>+G72*B48</f>
        <v>1176.0800000000002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2" t="s">
        <v>57</v>
      </c>
      <c r="B73" s="57">
        <f>SUM(B65:B72)</f>
        <v>3968.8800000000006</v>
      </c>
      <c r="C73" s="68">
        <f>+B73/B48</f>
        <v>120.26909090909092</v>
      </c>
      <c r="D73" s="5" t="s">
        <v>125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x14ac:dyDescent="0.3">
      <c r="C74" s="77"/>
      <c r="D74" s="5"/>
    </row>
    <row r="75" spans="1:22" x14ac:dyDescent="0.3">
      <c r="C75" s="77"/>
      <c r="D75" s="5"/>
    </row>
    <row r="76" spans="1:22" x14ac:dyDescent="0.3">
      <c r="A76" s="5"/>
      <c r="C76" s="65"/>
      <c r="D76" s="5"/>
    </row>
    <row r="77" spans="1:22" ht="15" thickBot="1" x14ac:dyDescent="0.35">
      <c r="A77" s="5" t="s">
        <v>175</v>
      </c>
    </row>
    <row r="78" spans="1:22" x14ac:dyDescent="0.3">
      <c r="A78" s="11" t="s">
        <v>101</v>
      </c>
      <c r="B78" s="12"/>
      <c r="C78" s="12"/>
      <c r="D78" s="12"/>
      <c r="E78" s="12"/>
      <c r="F78" s="12"/>
      <c r="G78" s="13"/>
    </row>
    <row r="79" spans="1:22" x14ac:dyDescent="0.3">
      <c r="A79" s="46">
        <f>+F16</f>
        <v>53.5</v>
      </c>
      <c r="B79" s="73">
        <f>+H16</f>
        <v>47.5</v>
      </c>
      <c r="C79" s="7" t="s">
        <v>100</v>
      </c>
      <c r="D79" s="73" t="s">
        <v>102</v>
      </c>
      <c r="E79" s="7" t="s">
        <v>103</v>
      </c>
      <c r="F79" s="92" t="s">
        <v>122</v>
      </c>
      <c r="G79" s="122">
        <v>550</v>
      </c>
    </row>
    <row r="80" spans="1:22" x14ac:dyDescent="0.3">
      <c r="A80" s="46">
        <f>0.518*0.558*C41</f>
        <v>13.874112</v>
      </c>
      <c r="B80" s="78">
        <v>4</v>
      </c>
      <c r="C80" s="78">
        <f>+A80*B80</f>
        <v>55.496448000000001</v>
      </c>
      <c r="D80" s="78">
        <v>0</v>
      </c>
      <c r="E80" s="123">
        <f>+C80+D80</f>
        <v>55.496448000000001</v>
      </c>
      <c r="F80" s="75" t="s">
        <v>172</v>
      </c>
      <c r="G80" s="8"/>
    </row>
    <row r="81" spans="1:18" x14ac:dyDescent="0.3">
      <c r="A81" s="6"/>
      <c r="B81" s="78"/>
      <c r="C81" s="78"/>
      <c r="D81" s="78"/>
      <c r="E81" s="78"/>
      <c r="F81" s="7"/>
      <c r="G81" s="8"/>
      <c r="J81" s="71"/>
    </row>
    <row r="82" spans="1:18" x14ac:dyDescent="0.3">
      <c r="A82" s="46">
        <f>+A79</f>
        <v>53.5</v>
      </c>
      <c r="B82" s="73">
        <f>+B79</f>
        <v>47.5</v>
      </c>
      <c r="C82" s="7" t="s">
        <v>100</v>
      </c>
      <c r="D82" s="73" t="s">
        <v>102</v>
      </c>
      <c r="E82" s="7" t="s">
        <v>103</v>
      </c>
      <c r="F82" s="92" t="s">
        <v>122</v>
      </c>
      <c r="G82" s="122">
        <v>550</v>
      </c>
    </row>
    <row r="83" spans="1:18" x14ac:dyDescent="0.3">
      <c r="A83" s="46">
        <f>0.463*0.503*C41</f>
        <v>11.178672000000001</v>
      </c>
      <c r="B83" s="78">
        <f>4.1*2</f>
        <v>8.1999999999999993</v>
      </c>
      <c r="C83" s="78">
        <f>+A83*B83</f>
        <v>91.665110400000003</v>
      </c>
      <c r="D83" s="78">
        <v>0</v>
      </c>
      <c r="E83" s="123">
        <f>+C83+D83</f>
        <v>91.665110400000003</v>
      </c>
      <c r="F83" s="75" t="s">
        <v>171</v>
      </c>
      <c r="G83" s="8"/>
    </row>
    <row r="84" spans="1:18" x14ac:dyDescent="0.3">
      <c r="A84" s="6"/>
      <c r="B84" s="7"/>
      <c r="C84" s="78"/>
      <c r="D84" s="78"/>
      <c r="E84" s="78"/>
      <c r="F84" s="78"/>
      <c r="G84" s="8"/>
    </row>
    <row r="85" spans="1:18" ht="15" thickBot="1" x14ac:dyDescent="0.35">
      <c r="A85" s="14"/>
      <c r="B85" s="15"/>
      <c r="C85" s="15"/>
      <c r="D85" s="15"/>
      <c r="E85" s="15"/>
      <c r="F85" s="15"/>
      <c r="G85" s="16"/>
    </row>
    <row r="87" spans="1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topLeftCell="A69" zoomScale="80" zoomScaleNormal="80" workbookViewId="0">
      <selection activeCell="H69" sqref="H6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2.5703125" style="1" customWidth="1"/>
    <col min="9" max="9" width="9.71093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+'cartón caja'!C9</f>
        <v>09 de mayo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+'cartón caja'!C11</f>
        <v>Promsite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C13" s="1" t="str">
        <f>+'espuma base'!C13</f>
        <v>Caja de Vino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181</v>
      </c>
      <c r="D15" s="18"/>
      <c r="E15" s="18"/>
      <c r="F15" s="72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189</v>
      </c>
      <c r="D16" s="18"/>
      <c r="E16" s="18"/>
      <c r="F16" s="46">
        <f>+Desarrollo!C88</f>
        <v>49</v>
      </c>
      <c r="G16" s="73" t="s">
        <v>81</v>
      </c>
      <c r="H16" s="74">
        <f>+(Desarrollo!E88)*1</f>
        <v>28.5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 t="s">
        <v>93</v>
      </c>
      <c r="D17" s="18"/>
      <c r="E17" s="18"/>
      <c r="F17" s="72">
        <v>1</v>
      </c>
      <c r="G17" s="75" t="s">
        <v>82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 t="s">
        <v>182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8" t="s">
        <v>183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 t="s">
        <v>170</v>
      </c>
      <c r="D20" s="18"/>
      <c r="E20" s="18"/>
      <c r="F20" s="46">
        <f>+Desarrollo!C85</f>
        <v>47</v>
      </c>
      <c r="G20" s="73" t="s">
        <v>81</v>
      </c>
      <c r="H20" s="74">
        <f>+Desarrollo!E85</f>
        <v>26.5</v>
      </c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 t="s">
        <v>136</v>
      </c>
      <c r="D21" s="18"/>
      <c r="E21" s="18"/>
      <c r="F21" s="72">
        <v>1</v>
      </c>
      <c r="G21" s="75" t="s">
        <v>82</v>
      </c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80" t="str">
        <f>+Desarrollo!A87</f>
        <v xml:space="preserve">Rainbow Azul </v>
      </c>
      <c r="D23" s="5" t="s">
        <v>14</v>
      </c>
      <c r="E23" s="22" t="str">
        <f>+Desarrollo!B87</f>
        <v>papel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f>+Desarrollo!C94</f>
        <v>100</v>
      </c>
      <c r="D25" s="22" t="s">
        <v>16</v>
      </c>
      <c r="E25" s="24">
        <f>+Desarrollo!E87</f>
        <v>130</v>
      </c>
      <c r="F25" s="25">
        <f>+C25</f>
        <v>100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49</v>
      </c>
      <c r="D26" s="28" t="s">
        <v>16</v>
      </c>
      <c r="E26" s="27">
        <f>+H16</f>
        <v>28.5</v>
      </c>
      <c r="F26" s="29">
        <f>+E26</f>
        <v>28.5</v>
      </c>
      <c r="G26" s="29" t="s">
        <v>16</v>
      </c>
      <c r="H26" s="29">
        <f>+C26</f>
        <v>49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2.0408163265306123</v>
      </c>
      <c r="D27" s="33"/>
      <c r="E27" s="32">
        <f>+E25/E26</f>
        <v>4.5614035087719298</v>
      </c>
      <c r="F27" s="32">
        <f>+F25/F26</f>
        <v>3.5087719298245612</v>
      </c>
      <c r="G27" s="33"/>
      <c r="H27" s="32">
        <f>+H25/H26</f>
        <v>2.6530612244897958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8</v>
      </c>
      <c r="E28" s="37"/>
      <c r="F28" s="38"/>
      <c r="G28" s="39">
        <v>6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125" t="s">
        <v>184</v>
      </c>
      <c r="D30" s="41" t="s">
        <v>22</v>
      </c>
      <c r="E30" s="42">
        <f>+Desarrollo!F87</f>
        <v>54</v>
      </c>
      <c r="F30" s="120">
        <v>0</v>
      </c>
      <c r="G30" s="1" t="s">
        <v>23</v>
      </c>
      <c r="H30" s="43">
        <v>0.15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8.1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45.9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45.9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</f>
        <v>50.49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8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33</v>
      </c>
      <c r="D40" s="24">
        <f>+'forro caja EXT'!D40</f>
        <v>15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48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6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 t="s">
        <v>91</v>
      </c>
      <c r="C43" s="21">
        <f>+(C42*C38)*F17</f>
        <v>48</v>
      </c>
      <c r="F43" s="41" t="s">
        <v>44</v>
      </c>
      <c r="G43" s="23">
        <f>+C40/1000</f>
        <v>3.3000000000000002E-2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48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48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76</v>
      </c>
      <c r="B48" s="21">
        <f>+'cartón caja'!B48</f>
        <v>33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0</v>
      </c>
      <c r="E49" s="21">
        <v>0</v>
      </c>
      <c r="F49" s="21" t="s">
        <v>185</v>
      </c>
      <c r="G49" s="30">
        <f>120+115</f>
        <v>235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53</v>
      </c>
      <c r="B50" s="54">
        <f>+E34*C42</f>
        <v>275.39999999999998</v>
      </c>
      <c r="C50" s="3"/>
      <c r="D50" s="21">
        <v>0</v>
      </c>
      <c r="E50" s="21">
        <v>0</v>
      </c>
      <c r="F50" s="21" t="s">
        <v>77</v>
      </c>
      <c r="G50" s="30">
        <v>200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100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98</v>
      </c>
      <c r="G52" s="30">
        <v>100</v>
      </c>
      <c r="H52" s="30">
        <f t="shared" ref="H52:H59" si="0">+G52*E52</f>
        <v>100</v>
      </c>
      <c r="I52" s="63">
        <f>+(B73/100)*2</f>
        <v>9.0587999999999997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0</v>
      </c>
      <c r="C53" s="3"/>
      <c r="D53" s="21">
        <v>0</v>
      </c>
      <c r="E53" s="21">
        <v>0</v>
      </c>
      <c r="F53" s="21" t="s">
        <v>78</v>
      </c>
      <c r="G53" s="30">
        <v>145</v>
      </c>
      <c r="H53" s="30">
        <f t="shared" si="0"/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121</v>
      </c>
      <c r="B54" s="54">
        <v>0</v>
      </c>
      <c r="C54" s="3"/>
      <c r="D54" s="21">
        <v>0</v>
      </c>
      <c r="E54" s="21">
        <v>0</v>
      </c>
      <c r="F54" s="21" t="s">
        <v>79</v>
      </c>
      <c r="G54" s="30">
        <v>145</v>
      </c>
      <c r="H54" s="30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97</v>
      </c>
      <c r="B55" s="54">
        <v>0</v>
      </c>
      <c r="D55" s="21">
        <v>0</v>
      </c>
      <c r="E55" s="21">
        <v>0</v>
      </c>
      <c r="F55" s="21" t="s">
        <v>95</v>
      </c>
      <c r="G55" s="30">
        <v>120</v>
      </c>
      <c r="H55" s="30">
        <f>+G55*E55</f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96</v>
      </c>
      <c r="B56" s="54">
        <v>0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105</v>
      </c>
      <c r="G57" s="30">
        <f>+E83</f>
        <v>91.665110400000003</v>
      </c>
      <c r="H57" s="30">
        <f t="shared" ref="H57" si="1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57</v>
      </c>
      <c r="B58" s="57">
        <f>SUM(B50:B57)</f>
        <v>375.4</v>
      </c>
      <c r="C58" s="3"/>
      <c r="D58" s="21">
        <v>0</v>
      </c>
      <c r="E58" s="21">
        <v>0</v>
      </c>
      <c r="F58" s="3" t="s">
        <v>58</v>
      </c>
      <c r="G58" s="30">
        <f>+E80</f>
        <v>56.004480000000001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11.375757575757575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100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62</v>
      </c>
      <c r="H62" s="76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64</v>
      </c>
      <c r="B63" s="3"/>
      <c r="C63" s="3"/>
      <c r="E63" s="32">
        <f>+B73/C40</f>
        <v>13.725454545454545</v>
      </c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70</v>
      </c>
      <c r="B65" s="53"/>
      <c r="C65" s="3"/>
      <c r="D65" s="3">
        <f>+B73*C69</f>
        <v>0</v>
      </c>
      <c r="E65" s="3"/>
      <c r="F65" s="3"/>
      <c r="G65" s="5" t="s">
        <v>80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53</v>
      </c>
      <c r="B66" s="54">
        <f>+E35*C42</f>
        <v>302.94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150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+A53</f>
        <v>Tabla de suaje</v>
      </c>
      <c r="B68" s="54">
        <f>+B53*H62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+A54</f>
        <v>Pruebas de color</v>
      </c>
      <c r="B69" s="54">
        <f>+B54*H62</f>
        <v>0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+A55</f>
        <v>Imán</v>
      </c>
      <c r="B70" s="54">
        <f>+B55*H62</f>
        <v>0</v>
      </c>
      <c r="C70" s="63"/>
      <c r="F70" s="64" t="s">
        <v>72</v>
      </c>
      <c r="G70" s="32">
        <f>+B60</f>
        <v>11.375757575757575</v>
      </c>
      <c r="H70" s="65">
        <f>+G70*B48</f>
        <v>375.4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3" t="str">
        <f>+A56</f>
        <v>Encuadernación</v>
      </c>
      <c r="B71" s="54">
        <f>+B56*H62</f>
        <v>0</v>
      </c>
      <c r="C71" s="66"/>
      <c r="F71" s="64" t="s">
        <v>74</v>
      </c>
      <c r="G71" s="32">
        <f>+C73</f>
        <v>13.725454545454545</v>
      </c>
      <c r="H71" s="65">
        <f>+G71*B48</f>
        <v>452.94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3"/>
      <c r="B72" s="54"/>
      <c r="C72" s="66"/>
      <c r="F72" s="67" t="s">
        <v>75</v>
      </c>
      <c r="G72" s="68">
        <f>+G71-G70</f>
        <v>2.3496969696969696</v>
      </c>
      <c r="H72" s="82">
        <f>+G72*B48</f>
        <v>77.539999999999992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2" t="s">
        <v>57</v>
      </c>
      <c r="B73" s="57">
        <f>SUM(B65:B72)</f>
        <v>452.94</v>
      </c>
      <c r="C73" s="68">
        <f>+B73/B48</f>
        <v>13.725454545454545</v>
      </c>
      <c r="D73" s="5" t="s">
        <v>106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x14ac:dyDescent="0.3">
      <c r="C74" s="77"/>
      <c r="D74" s="5"/>
    </row>
    <row r="75" spans="1:22" x14ac:dyDescent="0.3">
      <c r="C75" s="77"/>
      <c r="D75" s="5"/>
    </row>
    <row r="76" spans="1:22" x14ac:dyDescent="0.3">
      <c r="A76" s="5"/>
      <c r="C76" s="65"/>
      <c r="D76" s="5"/>
    </row>
    <row r="77" spans="1:22" ht="15" thickBot="1" x14ac:dyDescent="0.35">
      <c r="A77" s="5" t="s">
        <v>175</v>
      </c>
    </row>
    <row r="78" spans="1:22" x14ac:dyDescent="0.3">
      <c r="A78" s="11" t="s">
        <v>101</v>
      </c>
      <c r="B78" s="12"/>
      <c r="C78" s="12"/>
      <c r="D78" s="12"/>
      <c r="E78" s="12"/>
      <c r="F78" s="12"/>
      <c r="G78" s="13"/>
    </row>
    <row r="79" spans="1:22" x14ac:dyDescent="0.3">
      <c r="A79" s="46">
        <f>+F16</f>
        <v>49</v>
      </c>
      <c r="B79" s="73">
        <f>+H16</f>
        <v>28.5</v>
      </c>
      <c r="C79" s="7" t="s">
        <v>100</v>
      </c>
      <c r="D79" s="73" t="s">
        <v>102</v>
      </c>
      <c r="E79" s="7" t="s">
        <v>103</v>
      </c>
      <c r="F79" s="92" t="s">
        <v>122</v>
      </c>
      <c r="G79" s="122">
        <v>550</v>
      </c>
    </row>
    <row r="80" spans="1:22" x14ac:dyDescent="0.3">
      <c r="A80" s="46">
        <f>0.463*0.63*C41</f>
        <v>14.00112</v>
      </c>
      <c r="B80" s="78">
        <v>4</v>
      </c>
      <c r="C80" s="78">
        <f>+A80*B80</f>
        <v>56.004480000000001</v>
      </c>
      <c r="D80" s="78">
        <v>0</v>
      </c>
      <c r="E80" s="123">
        <f>+C80+D80</f>
        <v>56.004480000000001</v>
      </c>
      <c r="F80" s="75" t="s">
        <v>172</v>
      </c>
      <c r="G80" s="8"/>
    </row>
    <row r="81" spans="1:18" x14ac:dyDescent="0.3">
      <c r="A81" s="6"/>
      <c r="B81" s="78"/>
      <c r="C81" s="78"/>
      <c r="D81" s="78"/>
      <c r="E81" s="78"/>
      <c r="F81" s="7"/>
      <c r="G81" s="8"/>
      <c r="J81" s="71"/>
    </row>
    <row r="82" spans="1:18" x14ac:dyDescent="0.3">
      <c r="A82" s="46">
        <f>+A79</f>
        <v>49</v>
      </c>
      <c r="B82" s="73">
        <f>+B79</f>
        <v>28.5</v>
      </c>
      <c r="C82" s="7" t="s">
        <v>100</v>
      </c>
      <c r="D82" s="73" t="s">
        <v>102</v>
      </c>
      <c r="E82" s="7" t="s">
        <v>103</v>
      </c>
      <c r="F82" s="92" t="s">
        <v>122</v>
      </c>
      <c r="G82" s="122">
        <v>550</v>
      </c>
    </row>
    <row r="83" spans="1:18" x14ac:dyDescent="0.3">
      <c r="A83" s="46">
        <f>0.463*0.503*C41</f>
        <v>11.178672000000001</v>
      </c>
      <c r="B83" s="78">
        <f>4.1*2</f>
        <v>8.1999999999999993</v>
      </c>
      <c r="C83" s="78">
        <f>+A83*B83</f>
        <v>91.665110400000003</v>
      </c>
      <c r="D83" s="78">
        <v>0</v>
      </c>
      <c r="E83" s="123">
        <f>+C83+D83</f>
        <v>91.665110400000003</v>
      </c>
      <c r="F83" s="75" t="s">
        <v>171</v>
      </c>
      <c r="G83" s="8"/>
    </row>
    <row r="84" spans="1:18" x14ac:dyDescent="0.3">
      <c r="A84" s="6"/>
      <c r="B84" s="7"/>
      <c r="C84" s="78"/>
      <c r="D84" s="78"/>
      <c r="E84" s="78"/>
      <c r="F84" s="78"/>
      <c r="G84" s="8"/>
    </row>
    <row r="85" spans="1:18" ht="15" thickBot="1" x14ac:dyDescent="0.35">
      <c r="A85" s="14"/>
      <c r="B85" s="15"/>
      <c r="C85" s="15"/>
      <c r="D85" s="15"/>
      <c r="E85" s="15"/>
      <c r="F85" s="15"/>
      <c r="G85" s="16"/>
    </row>
    <row r="87" spans="1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2"/>
  <sheetViews>
    <sheetView zoomScale="80" zoomScaleNormal="80" workbookViewId="0">
      <selection activeCell="A5" sqref="A5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4.42578125" style="1" customWidth="1"/>
    <col min="7" max="7" width="13.42578125" style="1" customWidth="1"/>
    <col min="8" max="8" width="14.5703125" style="1" customWidth="1"/>
    <col min="9" max="9" width="13.7109375" style="1" customWidth="1"/>
    <col min="10" max="10" width="12" style="1" customWidth="1"/>
    <col min="11" max="11" width="15.85546875" style="1" customWidth="1"/>
    <col min="12" max="12" width="16.85546875" style="1" customWidth="1"/>
    <col min="13" max="13" width="14.140625" style="1" customWidth="1"/>
    <col min="14" max="14" width="11.42578125" style="1"/>
    <col min="15" max="15" width="12.5703125" style="1" customWidth="1"/>
    <col min="16" max="16384" width="11.42578125" style="1"/>
  </cols>
  <sheetData>
    <row r="1" spans="1:21" ht="18.75" x14ac:dyDescent="0.3">
      <c r="J1" s="2"/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/>
      <c r="P2" s="3"/>
    </row>
    <row r="3" spans="1:21" ht="15.75" x14ac:dyDescent="0.3">
      <c r="J3"/>
      <c r="P3"/>
      <c r="Q3"/>
      <c r="R3"/>
      <c r="S3" s="3"/>
      <c r="T3" s="3"/>
      <c r="U3" s="3"/>
    </row>
    <row r="4" spans="1:21" ht="15.75" x14ac:dyDescent="0.3">
      <c r="J4"/>
      <c r="P4"/>
      <c r="Q4"/>
      <c r="R4"/>
    </row>
    <row r="5" spans="1:21" ht="15.75" x14ac:dyDescent="0.3">
      <c r="A5" s="5"/>
      <c r="J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P6"/>
      <c r="Q6"/>
      <c r="R6"/>
    </row>
    <row r="7" spans="1:21" ht="15.75" x14ac:dyDescent="0.3">
      <c r="J7"/>
      <c r="P7"/>
      <c r="Q7"/>
      <c r="R7"/>
    </row>
    <row r="8" spans="1:21" ht="15.75" x14ac:dyDescent="0.3">
      <c r="J8"/>
      <c r="P8"/>
      <c r="Q8"/>
      <c r="R8"/>
    </row>
    <row r="9" spans="1:21" s="5" customFormat="1" ht="15.75" x14ac:dyDescent="0.3">
      <c r="A9" s="5" t="s">
        <v>6</v>
      </c>
      <c r="C9" s="5" t="str">
        <f>+'cartón caja'!C9</f>
        <v>09 de mayo de 2017.</v>
      </c>
      <c r="H9" s="5" t="s">
        <v>7</v>
      </c>
      <c r="J9"/>
      <c r="P9"/>
      <c r="Q9"/>
      <c r="R9"/>
      <c r="S9" s="1"/>
      <c r="T9" s="1"/>
      <c r="U9" s="1"/>
    </row>
    <row r="10" spans="1:21" ht="15.75" x14ac:dyDescent="0.3">
      <c r="J10"/>
      <c r="P10"/>
      <c r="Q10"/>
      <c r="R10"/>
    </row>
    <row r="11" spans="1:21" ht="16.5" thickBot="1" x14ac:dyDescent="0.35">
      <c r="A11" s="5" t="s">
        <v>8</v>
      </c>
      <c r="C11" s="1" t="str">
        <f>+'cartón caja'!C11</f>
        <v>Promsite</v>
      </c>
      <c r="F11" s="5" t="s">
        <v>0</v>
      </c>
      <c r="J11"/>
      <c r="P11"/>
      <c r="Q11"/>
      <c r="R11"/>
    </row>
    <row r="12" spans="1:21" ht="15.75" x14ac:dyDescent="0.3">
      <c r="A12" s="5"/>
      <c r="F12" s="11"/>
      <c r="G12" s="12"/>
      <c r="H12" s="13"/>
      <c r="J12"/>
      <c r="P12"/>
      <c r="Q12"/>
      <c r="R12"/>
    </row>
    <row r="13" spans="1:21" ht="15.75" x14ac:dyDescent="0.3">
      <c r="A13" s="5" t="s">
        <v>10</v>
      </c>
      <c r="C13" s="1" t="str">
        <f>+'espuma base'!C13</f>
        <v>Caja de Vino</v>
      </c>
      <c r="F13" s="6"/>
      <c r="G13" s="7"/>
      <c r="H13" s="8"/>
      <c r="J13"/>
      <c r="P13"/>
      <c r="Q13"/>
      <c r="R13"/>
    </row>
    <row r="14" spans="1:21" ht="15.75" x14ac:dyDescent="0.3">
      <c r="A14" s="5"/>
      <c r="F14" s="6"/>
      <c r="G14" s="7"/>
      <c r="H14" s="8"/>
      <c r="J14"/>
      <c r="P14"/>
      <c r="Q14"/>
      <c r="R14"/>
    </row>
    <row r="15" spans="1:21" ht="15.75" x14ac:dyDescent="0.3">
      <c r="A15" s="5" t="s">
        <v>11</v>
      </c>
      <c r="C15" s="19" t="s">
        <v>181</v>
      </c>
      <c r="D15" s="18"/>
      <c r="E15" s="18"/>
      <c r="F15" s="72" t="s">
        <v>5</v>
      </c>
      <c r="G15" s="7"/>
      <c r="H15" s="8"/>
      <c r="J15"/>
      <c r="P15"/>
      <c r="Q15"/>
      <c r="R15"/>
    </row>
    <row r="16" spans="1:21" ht="15.75" x14ac:dyDescent="0.3">
      <c r="C16" s="17" t="s">
        <v>189</v>
      </c>
      <c r="D16" s="18"/>
      <c r="E16" s="18"/>
      <c r="F16" s="46">
        <f>2+F20+2</f>
        <v>54.5</v>
      </c>
      <c r="G16" s="73" t="s">
        <v>81</v>
      </c>
      <c r="H16" s="74">
        <f>2+H20+2</f>
        <v>34</v>
      </c>
      <c r="J16"/>
      <c r="P16"/>
      <c r="Q16"/>
      <c r="R16"/>
    </row>
    <row r="17" spans="1:22" ht="15.75" x14ac:dyDescent="0.3">
      <c r="C17" s="17" t="s">
        <v>93</v>
      </c>
      <c r="D17" s="18"/>
      <c r="E17" s="18"/>
      <c r="F17" s="72">
        <v>1</v>
      </c>
      <c r="G17" s="75" t="s">
        <v>82</v>
      </c>
      <c r="H17" s="8"/>
      <c r="J17"/>
      <c r="P17"/>
      <c r="Q17"/>
      <c r="R17"/>
    </row>
    <row r="18" spans="1:22" ht="15.75" x14ac:dyDescent="0.3">
      <c r="C18" s="17" t="s">
        <v>182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22" ht="15.75" x14ac:dyDescent="0.3">
      <c r="C19" s="18" t="s">
        <v>183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22" ht="15.75" x14ac:dyDescent="0.3">
      <c r="C20" s="18" t="s">
        <v>170</v>
      </c>
      <c r="D20" s="18"/>
      <c r="E20" s="18"/>
      <c r="F20" s="46">
        <f>+Desarrollo!C92</f>
        <v>50.5</v>
      </c>
      <c r="G20" s="73" t="s">
        <v>81</v>
      </c>
      <c r="H20" s="74">
        <f>+Desarrollo!E92</f>
        <v>30</v>
      </c>
      <c r="J20"/>
      <c r="K20"/>
      <c r="L20"/>
      <c r="M20"/>
      <c r="N20"/>
      <c r="O20"/>
      <c r="P20"/>
      <c r="Q20"/>
      <c r="R20"/>
    </row>
    <row r="21" spans="1:22" ht="15.75" x14ac:dyDescent="0.3">
      <c r="C21" s="18" t="s">
        <v>136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22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</row>
    <row r="23" spans="1:22" ht="15.75" x14ac:dyDescent="0.3">
      <c r="A23" s="4" t="s">
        <v>13</v>
      </c>
      <c r="C23" s="80" t="str">
        <f>+Desarrollo!A94</f>
        <v xml:space="preserve">Rainbow Azul </v>
      </c>
      <c r="D23" s="5" t="s">
        <v>14</v>
      </c>
      <c r="E23" s="22" t="str">
        <f>+Desarrollo!B94</f>
        <v>papel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f>+Desarrollo!C94</f>
        <v>100</v>
      </c>
      <c r="D25" s="22" t="s">
        <v>16</v>
      </c>
      <c r="E25" s="24">
        <f>+Desarrollo!E94</f>
        <v>130</v>
      </c>
      <c r="F25" s="25">
        <f>+C25</f>
        <v>100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54.5</v>
      </c>
      <c r="D26" s="28" t="s">
        <v>16</v>
      </c>
      <c r="E26" s="27">
        <f>+H16</f>
        <v>34</v>
      </c>
      <c r="F26" s="29">
        <f>+E26</f>
        <v>34</v>
      </c>
      <c r="G26" s="29" t="s">
        <v>16</v>
      </c>
      <c r="H26" s="29">
        <f>+C26</f>
        <v>54.5</v>
      </c>
      <c r="I26" s="30"/>
      <c r="J26"/>
      <c r="K26"/>
      <c r="L26"/>
      <c r="M26"/>
      <c r="N26"/>
      <c r="O26"/>
      <c r="P26"/>
      <c r="Q26"/>
      <c r="R26"/>
    </row>
    <row r="27" spans="1:22" ht="16.5" thickBot="1" x14ac:dyDescent="0.35">
      <c r="A27" s="3" t="s">
        <v>18</v>
      </c>
      <c r="B27" s="31"/>
      <c r="C27" s="32">
        <f>+C25/C26</f>
        <v>1.834862385321101</v>
      </c>
      <c r="D27" s="33"/>
      <c r="E27" s="32">
        <f>+E25/E26</f>
        <v>3.8235294117647061</v>
      </c>
      <c r="F27" s="32">
        <f>+F25/F26</f>
        <v>2.9411764705882355</v>
      </c>
      <c r="G27" s="33"/>
      <c r="H27" s="32">
        <f>+H25/H26</f>
        <v>2.3853211009174311</v>
      </c>
      <c r="I27" s="30"/>
      <c r="J27"/>
      <c r="K27"/>
      <c r="L27"/>
      <c r="M27"/>
      <c r="N27"/>
      <c r="O27"/>
      <c r="P27"/>
      <c r="Q27"/>
      <c r="R27"/>
    </row>
    <row r="28" spans="1:22" ht="16.5" thickBot="1" x14ac:dyDescent="0.35">
      <c r="A28" s="3" t="s">
        <v>19</v>
      </c>
      <c r="B28" s="34"/>
      <c r="C28" s="35"/>
      <c r="D28" s="36">
        <v>3</v>
      </c>
      <c r="E28" s="37"/>
      <c r="F28" s="38"/>
      <c r="G28" s="39">
        <v>4</v>
      </c>
      <c r="H28" s="40" t="s">
        <v>20</v>
      </c>
      <c r="J28"/>
      <c r="K28"/>
      <c r="L28"/>
      <c r="M28"/>
      <c r="N28"/>
      <c r="O28"/>
      <c r="P28"/>
      <c r="Q28"/>
      <c r="R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</row>
    <row r="30" spans="1:22" ht="15.75" x14ac:dyDescent="0.3">
      <c r="A30" s="25" t="s">
        <v>21</v>
      </c>
      <c r="B30" s="125" t="s">
        <v>184</v>
      </c>
      <c r="D30" s="41" t="s">
        <v>22</v>
      </c>
      <c r="E30" s="42">
        <f>+Desarrollo!F94</f>
        <v>54</v>
      </c>
      <c r="F30" s="120">
        <v>0</v>
      </c>
      <c r="G30" s="1" t="s">
        <v>23</v>
      </c>
      <c r="H30" s="43">
        <v>0.15</v>
      </c>
      <c r="J30"/>
      <c r="K30"/>
      <c r="L30"/>
      <c r="M30"/>
      <c r="N30"/>
      <c r="O30"/>
      <c r="P30"/>
      <c r="Q30"/>
      <c r="R30"/>
    </row>
    <row r="31" spans="1:22" ht="15.75" x14ac:dyDescent="0.3">
      <c r="A31" s="3"/>
      <c r="B31" s="3"/>
      <c r="C31" s="3"/>
      <c r="D31" s="44" t="s">
        <v>24</v>
      </c>
      <c r="E31" s="42">
        <f>+H30*E30</f>
        <v>8.1</v>
      </c>
      <c r="H31" s="43"/>
      <c r="I31" s="30"/>
      <c r="J31"/>
      <c r="K31"/>
      <c r="L31"/>
      <c r="M31"/>
      <c r="N31"/>
      <c r="O31"/>
      <c r="P31"/>
      <c r="Q31"/>
      <c r="R31"/>
    </row>
    <row r="32" spans="1:22" ht="15.75" x14ac:dyDescent="0.3">
      <c r="D32" s="44" t="s">
        <v>25</v>
      </c>
      <c r="E32" s="45">
        <f>+E30-E31</f>
        <v>45.9</v>
      </c>
      <c r="I32" s="30"/>
      <c r="J32"/>
      <c r="K32"/>
      <c r="L32"/>
      <c r="M32"/>
      <c r="N32"/>
      <c r="O32"/>
      <c r="P32"/>
      <c r="Q32"/>
      <c r="R32"/>
    </row>
    <row r="33" spans="1:19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</row>
    <row r="34" spans="1:19" ht="15.75" x14ac:dyDescent="0.3">
      <c r="D34" s="41" t="s">
        <v>29</v>
      </c>
      <c r="E34" s="47">
        <f>+E32</f>
        <v>45.9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</row>
    <row r="35" spans="1:19" ht="15.75" x14ac:dyDescent="0.3">
      <c r="D35" s="41" t="s">
        <v>30</v>
      </c>
      <c r="E35" s="47">
        <f>+E34*1.1</f>
        <v>50.49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</row>
    <row r="36" spans="1:19" ht="16.5" thickBot="1" x14ac:dyDescent="0.35">
      <c r="A36" s="3"/>
      <c r="G36" s="41"/>
      <c r="J36"/>
      <c r="K36"/>
      <c r="L36"/>
      <c r="M36"/>
      <c r="N36"/>
      <c r="O36"/>
      <c r="P36"/>
      <c r="Q36"/>
      <c r="R36"/>
    </row>
    <row r="37" spans="1:19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</row>
    <row r="38" spans="1:19" ht="16.5" thickBot="1" x14ac:dyDescent="0.35">
      <c r="A38" s="4" t="s">
        <v>34</v>
      </c>
      <c r="C38" s="48">
        <v>4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</row>
    <row r="39" spans="1:19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</row>
    <row r="40" spans="1:19" ht="15.75" x14ac:dyDescent="0.3">
      <c r="A40" s="4" t="s">
        <v>38</v>
      </c>
      <c r="B40" s="5"/>
      <c r="C40" s="50">
        <f>+B48/F17</f>
        <v>33</v>
      </c>
      <c r="D40" s="24">
        <f>+'forro cartera guarda'!D40</f>
        <v>15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</row>
    <row r="41" spans="1:19" ht="15.75" x14ac:dyDescent="0.3">
      <c r="A41" s="4" t="s">
        <v>40</v>
      </c>
      <c r="C41" s="34">
        <f>+C40+D40</f>
        <v>48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</row>
    <row r="42" spans="1:19" ht="15.75" x14ac:dyDescent="0.3">
      <c r="A42" s="4" t="s">
        <v>42</v>
      </c>
      <c r="C42" s="34">
        <f>+C41/C38</f>
        <v>12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</row>
    <row r="43" spans="1:19" ht="15.75" x14ac:dyDescent="0.3">
      <c r="A43" s="4" t="s">
        <v>91</v>
      </c>
      <c r="C43" s="21">
        <f>+(C42*C38)*F17</f>
        <v>48</v>
      </c>
      <c r="F43" s="41" t="s">
        <v>44</v>
      </c>
      <c r="G43" s="23">
        <f>+C40/100</f>
        <v>0.33</v>
      </c>
      <c r="H43" s="3"/>
      <c r="J43"/>
      <c r="K43"/>
      <c r="L43"/>
      <c r="M43"/>
      <c r="N43"/>
      <c r="O43"/>
      <c r="P43"/>
      <c r="Q43" s="7"/>
      <c r="R43" s="7"/>
    </row>
    <row r="44" spans="1:19" x14ac:dyDescent="0.3">
      <c r="A44" s="4"/>
      <c r="C44" s="51"/>
      <c r="F44" s="44" t="s">
        <v>45</v>
      </c>
      <c r="G44" s="48">
        <f>+C41</f>
        <v>48</v>
      </c>
      <c r="H44" s="3"/>
      <c r="M44" s="7"/>
      <c r="N44" s="10"/>
      <c r="O44" s="73"/>
      <c r="P44" s="73"/>
      <c r="Q44" s="7"/>
      <c r="R44" s="7"/>
    </row>
    <row r="45" spans="1:19" x14ac:dyDescent="0.3">
      <c r="A45" s="4"/>
      <c r="C45" s="21"/>
      <c r="E45" s="44"/>
      <c r="F45" s="44"/>
      <c r="G45" s="30"/>
      <c r="I45" s="3"/>
      <c r="M45" s="7"/>
      <c r="N45" s="10"/>
      <c r="O45" s="73"/>
      <c r="P45" s="73"/>
      <c r="Q45" s="7"/>
      <c r="R45" s="7"/>
    </row>
    <row r="46" spans="1:19" x14ac:dyDescent="0.3">
      <c r="A46" s="4" t="s">
        <v>46</v>
      </c>
      <c r="C46" s="25">
        <f>+C42*C38</f>
        <v>48</v>
      </c>
      <c r="F46" s="44"/>
      <c r="G46" s="30"/>
      <c r="H46" s="3"/>
      <c r="M46" s="7"/>
      <c r="N46" s="10"/>
      <c r="O46" s="73"/>
      <c r="P46" s="73"/>
      <c r="Q46" s="7"/>
      <c r="R46" s="7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</row>
    <row r="48" spans="1:19" ht="15.75" x14ac:dyDescent="0.3">
      <c r="A48" s="4" t="s">
        <v>76</v>
      </c>
      <c r="B48" s="21">
        <f>+'cartón caja'!B48</f>
        <v>33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</row>
    <row r="49" spans="1:21" ht="15.75" x14ac:dyDescent="0.3">
      <c r="A49" s="52" t="s">
        <v>52</v>
      </c>
      <c r="B49" s="53"/>
      <c r="C49" s="3"/>
      <c r="D49" s="21">
        <v>0</v>
      </c>
      <c r="E49" s="21">
        <v>0</v>
      </c>
      <c r="F49" s="21" t="s">
        <v>185</v>
      </c>
      <c r="G49" s="30">
        <f>120+115</f>
        <v>235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</row>
    <row r="50" spans="1:21" ht="15.75" x14ac:dyDescent="0.3">
      <c r="A50" s="53" t="s">
        <v>53</v>
      </c>
      <c r="B50" s="54">
        <f>+E34*C42</f>
        <v>550.79999999999995</v>
      </c>
      <c r="C50" s="3"/>
      <c r="D50" s="21">
        <v>1</v>
      </c>
      <c r="E50" s="21">
        <v>47</v>
      </c>
      <c r="F50" s="21" t="s">
        <v>190</v>
      </c>
      <c r="G50" s="30">
        <v>14</v>
      </c>
      <c r="H50" s="30">
        <f>+(D50*E50)*G50</f>
        <v>658</v>
      </c>
      <c r="J50"/>
      <c r="K50"/>
      <c r="L50"/>
      <c r="M50"/>
      <c r="N50"/>
      <c r="O50"/>
      <c r="P50"/>
      <c r="Q50"/>
      <c r="R50"/>
      <c r="S50"/>
    </row>
    <row r="51" spans="1:21" ht="15.75" x14ac:dyDescent="0.3">
      <c r="A51" s="53" t="s">
        <v>12</v>
      </c>
      <c r="B51" s="54">
        <f>+H64</f>
        <v>1048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1" ht="15.75" x14ac:dyDescent="0.3">
      <c r="A52" s="53"/>
      <c r="B52" s="54"/>
      <c r="C52" s="3"/>
      <c r="D52" s="21">
        <v>1</v>
      </c>
      <c r="E52" s="21">
        <v>1</v>
      </c>
      <c r="F52" s="21" t="s">
        <v>98</v>
      </c>
      <c r="G52" s="30">
        <v>100</v>
      </c>
      <c r="H52" s="30">
        <f t="shared" ref="H52:H54" si="0">+G52*E52</f>
        <v>100</v>
      </c>
      <c r="I52" s="30">
        <f>+(B75/100)*2</f>
        <v>81.549600000000012</v>
      </c>
      <c r="J52"/>
      <c r="K52"/>
      <c r="L52"/>
      <c r="M52"/>
      <c r="N52"/>
      <c r="O52"/>
      <c r="P52"/>
      <c r="Q52"/>
      <c r="R52"/>
      <c r="S52"/>
    </row>
    <row r="53" spans="1:21" ht="16.5" x14ac:dyDescent="0.3">
      <c r="A53" s="53" t="s">
        <v>129</v>
      </c>
      <c r="B53" s="54">
        <v>0</v>
      </c>
      <c r="C53" s="3"/>
      <c r="D53" s="21">
        <v>1</v>
      </c>
      <c r="E53" s="21">
        <v>1</v>
      </c>
      <c r="F53" s="21" t="s">
        <v>78</v>
      </c>
      <c r="G53" s="30">
        <v>145</v>
      </c>
      <c r="H53" s="30">
        <f t="shared" si="0"/>
        <v>145</v>
      </c>
      <c r="I53" s="55"/>
      <c r="J53"/>
      <c r="K53"/>
      <c r="L53"/>
      <c r="M53"/>
      <c r="N53"/>
      <c r="O53"/>
      <c r="P53"/>
      <c r="Q53"/>
      <c r="R53"/>
      <c r="S53"/>
    </row>
    <row r="54" spans="1:21" ht="15.75" x14ac:dyDescent="0.3">
      <c r="A54" s="56" t="s">
        <v>165</v>
      </c>
      <c r="B54" s="54">
        <f>+((4+4)*B48)*1.1</f>
        <v>290.40000000000003</v>
      </c>
      <c r="C54" s="3"/>
      <c r="D54" s="21">
        <v>1</v>
      </c>
      <c r="E54" s="21">
        <v>1</v>
      </c>
      <c r="F54" s="21" t="s">
        <v>79</v>
      </c>
      <c r="G54" s="30">
        <v>145</v>
      </c>
      <c r="H54" s="30">
        <f t="shared" si="0"/>
        <v>145</v>
      </c>
      <c r="J54"/>
      <c r="K54"/>
      <c r="L54"/>
      <c r="M54"/>
      <c r="N54"/>
      <c r="O54"/>
      <c r="P54"/>
      <c r="Q54"/>
      <c r="R54"/>
      <c r="S54"/>
    </row>
    <row r="55" spans="1:21" ht="15.75" x14ac:dyDescent="0.3">
      <c r="A55" s="56" t="s">
        <v>96</v>
      </c>
      <c r="B55" s="54">
        <f>(20*B48)*1.1</f>
        <v>726.00000000000011</v>
      </c>
      <c r="D55" s="21">
        <v>0</v>
      </c>
      <c r="E55" s="21">
        <v>0</v>
      </c>
      <c r="F55" s="21" t="s">
        <v>127</v>
      </c>
      <c r="G55" s="30">
        <v>295</v>
      </c>
      <c r="H55" s="30">
        <f>+G55*E55</f>
        <v>0</v>
      </c>
      <c r="J55"/>
      <c r="K55"/>
      <c r="L55"/>
      <c r="M55"/>
      <c r="N55"/>
      <c r="O55"/>
      <c r="P55"/>
      <c r="Q55"/>
      <c r="R55"/>
      <c r="S55"/>
    </row>
    <row r="56" spans="1:21" ht="15.75" x14ac:dyDescent="0.3">
      <c r="A56" s="56" t="s">
        <v>107</v>
      </c>
      <c r="B56" s="54">
        <v>100</v>
      </c>
      <c r="D56" s="21">
        <v>0</v>
      </c>
      <c r="E56" s="21">
        <v>0</v>
      </c>
      <c r="F56" s="21" t="s">
        <v>128</v>
      </c>
      <c r="G56" s="30">
        <v>200</v>
      </c>
      <c r="H56" s="30">
        <f>+G56*E56</f>
        <v>0</v>
      </c>
      <c r="J56"/>
      <c r="K56"/>
      <c r="L56"/>
      <c r="M56"/>
      <c r="N56"/>
      <c r="O56"/>
      <c r="P56"/>
      <c r="Q56"/>
      <c r="R56"/>
      <c r="S56"/>
    </row>
    <row r="57" spans="1:21" ht="15.75" x14ac:dyDescent="0.3">
      <c r="A57" s="56" t="s">
        <v>120</v>
      </c>
      <c r="B57" s="54">
        <v>150</v>
      </c>
      <c r="D57" s="21">
        <v>0</v>
      </c>
      <c r="E57" s="21">
        <v>0</v>
      </c>
      <c r="F57" s="21" t="s">
        <v>55</v>
      </c>
      <c r="G57" s="30">
        <v>1.5</v>
      </c>
      <c r="H57" s="30">
        <f t="shared" ref="H57:H58" si="1">+G57*E57</f>
        <v>0</v>
      </c>
      <c r="O57"/>
      <c r="P57"/>
      <c r="Q57"/>
    </row>
    <row r="58" spans="1:21" ht="15.75" x14ac:dyDescent="0.3">
      <c r="A58" s="52" t="s">
        <v>57</v>
      </c>
      <c r="B58" s="57">
        <f>SUM(B50:B56)</f>
        <v>2715.2000000000003</v>
      </c>
      <c r="C58" s="3"/>
      <c r="D58" s="21">
        <v>0</v>
      </c>
      <c r="E58" s="21">
        <v>0</v>
      </c>
      <c r="F58" s="3" t="s">
        <v>58</v>
      </c>
      <c r="G58" s="30">
        <f>+E107</f>
        <v>36.798720000000003</v>
      </c>
      <c r="H58" s="30">
        <f t="shared" si="1"/>
        <v>0</v>
      </c>
      <c r="O58"/>
      <c r="P58"/>
      <c r="Q58"/>
    </row>
    <row r="59" spans="1:21" ht="15.75" x14ac:dyDescent="0.3">
      <c r="A59" s="9"/>
      <c r="B59" s="58"/>
      <c r="C59" s="3"/>
      <c r="D59" s="21"/>
      <c r="E59" s="21"/>
      <c r="F59" s="3"/>
      <c r="G59" s="3"/>
      <c r="H59" s="30">
        <f t="shared" ref="H59" si="2">+G59*E59</f>
        <v>0</v>
      </c>
      <c r="O59"/>
      <c r="P59"/>
      <c r="Q59"/>
      <c r="S59"/>
      <c r="T59"/>
      <c r="U59"/>
    </row>
    <row r="60" spans="1:21" ht="15.75" x14ac:dyDescent="0.3">
      <c r="A60" s="9"/>
      <c r="B60" s="32">
        <f>+B58/B48</f>
        <v>82.278787878787881</v>
      </c>
      <c r="C60" s="4" t="s">
        <v>60</v>
      </c>
      <c r="D60" s="3"/>
      <c r="E60" s="3"/>
      <c r="F60" s="3"/>
      <c r="G60" s="3"/>
      <c r="O60"/>
      <c r="P60"/>
      <c r="Q60"/>
      <c r="S60"/>
      <c r="T60"/>
      <c r="U60"/>
    </row>
    <row r="61" spans="1:21" ht="15.75" x14ac:dyDescent="0.3">
      <c r="A61" s="3"/>
      <c r="B61" s="3"/>
      <c r="D61" s="3"/>
      <c r="E61" s="3"/>
      <c r="O61"/>
      <c r="P61"/>
      <c r="Q61"/>
      <c r="S61"/>
      <c r="T61"/>
      <c r="U61"/>
    </row>
    <row r="62" spans="1:21" ht="15.75" x14ac:dyDescent="0.3">
      <c r="A62" s="3"/>
      <c r="B62" s="3"/>
      <c r="D62" s="3"/>
      <c r="E62" s="3"/>
      <c r="O62"/>
      <c r="P62"/>
      <c r="Q62"/>
      <c r="S62"/>
      <c r="T62"/>
      <c r="U62"/>
    </row>
    <row r="63" spans="1:21" ht="15.75" x14ac:dyDescent="0.3">
      <c r="D63" s="3"/>
      <c r="E63" s="3"/>
      <c r="O63"/>
      <c r="P63"/>
      <c r="Q63"/>
      <c r="S63"/>
      <c r="T63"/>
      <c r="U63"/>
    </row>
    <row r="64" spans="1:21" ht="15.75" x14ac:dyDescent="0.3">
      <c r="A64" s="4" t="s">
        <v>64</v>
      </c>
      <c r="B64" s="3"/>
      <c r="C64" s="3"/>
      <c r="E64" s="32"/>
      <c r="F64" s="3"/>
      <c r="G64" s="61" t="s">
        <v>61</v>
      </c>
      <c r="H64" s="30">
        <f>SUM(H49:H60)</f>
        <v>1048</v>
      </c>
      <c r="O64"/>
      <c r="P64"/>
      <c r="Q64"/>
      <c r="S64"/>
      <c r="T64"/>
      <c r="U64"/>
    </row>
    <row r="65" spans="1:21" ht="15.75" x14ac:dyDescent="0.3">
      <c r="A65" s="3"/>
      <c r="B65" s="4" t="s">
        <v>67</v>
      </c>
      <c r="C65" s="25" t="s">
        <v>68</v>
      </c>
      <c r="D65" s="3"/>
      <c r="E65" s="3"/>
      <c r="G65" s="5" t="s">
        <v>62</v>
      </c>
      <c r="H65" s="76">
        <v>1.5</v>
      </c>
      <c r="O65"/>
      <c r="P65"/>
      <c r="Q65"/>
      <c r="S65"/>
      <c r="T65"/>
      <c r="U65"/>
    </row>
    <row r="66" spans="1:21" ht="15.75" x14ac:dyDescent="0.3">
      <c r="A66" s="52" t="s">
        <v>70</v>
      </c>
      <c r="B66" s="53"/>
      <c r="C66" s="3"/>
      <c r="D66" s="3"/>
      <c r="E66" s="3"/>
      <c r="G66" s="1" t="s">
        <v>65</v>
      </c>
      <c r="H66" s="62">
        <v>1.75</v>
      </c>
      <c r="O66"/>
      <c r="P66"/>
      <c r="Q66"/>
      <c r="S66"/>
      <c r="T66"/>
      <c r="U66"/>
    </row>
    <row r="67" spans="1:21" ht="15.75" x14ac:dyDescent="0.3">
      <c r="A67" s="53" t="s">
        <v>53</v>
      </c>
      <c r="B67" s="54">
        <f>+E35*C42</f>
        <v>605.88</v>
      </c>
      <c r="C67" s="63"/>
      <c r="F67" s="3"/>
      <c r="G67" s="1" t="s">
        <v>65</v>
      </c>
      <c r="H67" s="62">
        <v>2</v>
      </c>
      <c r="O67"/>
      <c r="P67"/>
      <c r="Q67"/>
      <c r="S67"/>
      <c r="T67"/>
      <c r="U67"/>
    </row>
    <row r="68" spans="1:21" ht="15.75" x14ac:dyDescent="0.3">
      <c r="A68" s="53" t="s">
        <v>12</v>
      </c>
      <c r="B68" s="54">
        <f>+H64*H65</f>
        <v>1572</v>
      </c>
      <c r="C68" s="63"/>
      <c r="F68" s="3"/>
      <c r="G68" s="5" t="s">
        <v>80</v>
      </c>
      <c r="H68" s="62">
        <v>2.5</v>
      </c>
      <c r="O68"/>
      <c r="P68"/>
      <c r="Q68"/>
      <c r="S68"/>
      <c r="T68"/>
      <c r="U68"/>
    </row>
    <row r="69" spans="1:21" ht="15.75" x14ac:dyDescent="0.3">
      <c r="A69" s="53" t="str">
        <f>+A53</f>
        <v>Tabla de suaje + Placa</v>
      </c>
      <c r="B69" s="54">
        <f>+B53*H65</f>
        <v>0</v>
      </c>
      <c r="C69" s="63"/>
      <c r="O69"/>
      <c r="P69"/>
      <c r="Q69"/>
      <c r="S69"/>
      <c r="T69"/>
      <c r="U69"/>
    </row>
    <row r="70" spans="1:21" ht="15.75" x14ac:dyDescent="0.3">
      <c r="A70" s="53" t="s">
        <v>165</v>
      </c>
      <c r="B70" s="54">
        <f>+C100</f>
        <v>435.6</v>
      </c>
      <c r="C70" s="63"/>
      <c r="O70"/>
      <c r="P70"/>
      <c r="Q70"/>
      <c r="S70"/>
      <c r="T70"/>
      <c r="U70"/>
    </row>
    <row r="71" spans="1:21" ht="15.75" x14ac:dyDescent="0.3">
      <c r="A71" s="53" t="str">
        <f>+A55</f>
        <v>Encuadernación</v>
      </c>
      <c r="B71" s="54">
        <f>+B55*H65</f>
        <v>1089.0000000000002</v>
      </c>
      <c r="C71" s="66"/>
      <c r="G71" s="64" t="s">
        <v>72</v>
      </c>
      <c r="H71" s="32">
        <f>+B60</f>
        <v>82.278787878787881</v>
      </c>
      <c r="I71" s="65">
        <f>+H71*B48</f>
        <v>2715.2000000000003</v>
      </c>
      <c r="O71"/>
      <c r="P71"/>
      <c r="Q71"/>
      <c r="S71"/>
      <c r="T71"/>
      <c r="U71"/>
    </row>
    <row r="72" spans="1:21" ht="15.75" x14ac:dyDescent="0.3">
      <c r="A72" s="53"/>
      <c r="B72" s="54"/>
      <c r="C72" s="66"/>
      <c r="G72" s="64" t="s">
        <v>74</v>
      </c>
      <c r="H72" s="32">
        <f>+C75</f>
        <v>123.56000000000002</v>
      </c>
      <c r="I72" s="65">
        <f>+H72*B48</f>
        <v>4077.4800000000005</v>
      </c>
      <c r="O72"/>
      <c r="P72"/>
      <c r="Q72"/>
      <c r="S72"/>
      <c r="T72"/>
      <c r="U72"/>
    </row>
    <row r="73" spans="1:21" ht="15.75" x14ac:dyDescent="0.3">
      <c r="A73" s="53" t="str">
        <f>+A56</f>
        <v>Empaque</v>
      </c>
      <c r="B73" s="54">
        <f>+B56*H65</f>
        <v>150</v>
      </c>
      <c r="C73" s="66"/>
      <c r="G73" s="67" t="s">
        <v>75</v>
      </c>
      <c r="H73" s="68">
        <f>+H72-H71</f>
        <v>41.281212121212135</v>
      </c>
      <c r="I73" s="82">
        <f>+H73*B48</f>
        <v>1362.2800000000004</v>
      </c>
      <c r="O73"/>
      <c r="P73"/>
      <c r="Q73"/>
      <c r="S73"/>
      <c r="T73"/>
      <c r="U73"/>
    </row>
    <row r="74" spans="1:21" ht="15.75" x14ac:dyDescent="0.3">
      <c r="A74" s="53" t="str">
        <f>+A57</f>
        <v>Envio</v>
      </c>
      <c r="B74" s="54">
        <f>+B57*H65</f>
        <v>225</v>
      </c>
      <c r="C74" s="68" t="s">
        <v>118</v>
      </c>
      <c r="D74" s="26"/>
      <c r="E74" s="26"/>
      <c r="F74" s="26" t="s">
        <v>72</v>
      </c>
      <c r="G74" s="129" t="s">
        <v>108</v>
      </c>
      <c r="H74" s="129"/>
      <c r="I74" s="85">
        <f>+(A82/100)*2.5</f>
        <v>354.70190000000002</v>
      </c>
      <c r="O74"/>
      <c r="P74"/>
      <c r="Q74"/>
      <c r="S74"/>
      <c r="T74"/>
      <c r="U74"/>
    </row>
    <row r="75" spans="1:21" ht="15.75" x14ac:dyDescent="0.3">
      <c r="A75" s="52" t="s">
        <v>57</v>
      </c>
      <c r="B75" s="57">
        <f>SUM(B66:B74)</f>
        <v>4077.4800000000005</v>
      </c>
      <c r="C75" s="68">
        <f>+B75/B48</f>
        <v>123.56000000000002</v>
      </c>
      <c r="D75" s="5" t="s">
        <v>126</v>
      </c>
      <c r="F75" s="77">
        <f>+B60</f>
        <v>82.278787878787881</v>
      </c>
      <c r="G75" s="7"/>
      <c r="O75"/>
      <c r="P75"/>
      <c r="Q75"/>
      <c r="S75"/>
      <c r="T75"/>
      <c r="U75"/>
    </row>
    <row r="76" spans="1:21" ht="15.75" x14ac:dyDescent="0.3">
      <c r="C76" s="77">
        <f>+'forro cartera guarda'!C73</f>
        <v>13.725454545454545</v>
      </c>
      <c r="D76" s="5" t="str">
        <f>+'forro cartera guarda'!D73</f>
        <v>forro guarda</v>
      </c>
      <c r="F76" s="77">
        <f>+'forro cartera guarda'!B60</f>
        <v>11.375757575757575</v>
      </c>
      <c r="O76"/>
      <c r="P76"/>
      <c r="Q76"/>
    </row>
    <row r="77" spans="1:21" ht="15.75" x14ac:dyDescent="0.3">
      <c r="C77" s="77">
        <f>+'forro caja EXT'!C73</f>
        <v>120.26909090909092</v>
      </c>
      <c r="D77" s="5" t="str">
        <f>+'forro caja EXT'!D73</f>
        <v>forro caja EXT</v>
      </c>
      <c r="E77" s="5"/>
      <c r="F77" s="77">
        <f>+'forro caja EXT'!B60</f>
        <v>84.63030303030304</v>
      </c>
      <c r="O77"/>
      <c r="P77"/>
      <c r="Q77"/>
    </row>
    <row r="78" spans="1:21" x14ac:dyDescent="0.3">
      <c r="A78" s="5"/>
      <c r="C78" s="77">
        <f>+'empalme caja INT'!C73</f>
        <v>52.694545454545455</v>
      </c>
      <c r="D78" s="5" t="str">
        <f>+'empalme caja INT'!D73</f>
        <v>EMPALME caja INT</v>
      </c>
      <c r="E78" s="5"/>
      <c r="F78" s="77">
        <f>+'empalme caja INT'!B60</f>
        <v>38.096969696969701</v>
      </c>
      <c r="J78" s="7"/>
    </row>
    <row r="79" spans="1:21" x14ac:dyDescent="0.3">
      <c r="A79" s="5"/>
      <c r="C79" s="77">
        <f>+'espuma base'!C72</f>
        <v>82.278787878787867</v>
      </c>
      <c r="D79" s="5" t="str">
        <f>+'espuma base'!D72</f>
        <v>espuma base</v>
      </c>
      <c r="E79" s="5"/>
      <c r="F79" s="77">
        <f>+'espuma base'!B60</f>
        <v>62.060606060606062</v>
      </c>
      <c r="J79" s="7"/>
    </row>
    <row r="80" spans="1:21" x14ac:dyDescent="0.3">
      <c r="B80" s="69"/>
      <c r="C80" s="77">
        <f>+'cartón cartera'!C72</f>
        <v>15.6928</v>
      </c>
      <c r="D80" s="5" t="str">
        <f>+'cartón cartera'!D72</f>
        <v>cartón cartera</v>
      </c>
      <c r="E80" s="5"/>
      <c r="F80" s="77">
        <f>+'cartón cartera'!B60</f>
        <v>12.987151515151515</v>
      </c>
    </row>
    <row r="81" spans="1:18" x14ac:dyDescent="0.3">
      <c r="C81" s="79">
        <f>+'cartón caja'!C72</f>
        <v>21.721018181818181</v>
      </c>
      <c r="D81" s="5" t="str">
        <f>+'cartón caja'!D72</f>
        <v>cartón caja</v>
      </c>
      <c r="E81" s="5"/>
      <c r="F81" s="79">
        <f>+'cartón caja'!B60</f>
        <v>17.96557575757576</v>
      </c>
    </row>
    <row r="82" spans="1:18" ht="15.75" customHeight="1" x14ac:dyDescent="0.3">
      <c r="A82" s="128">
        <f>+C82*B48</f>
        <v>14188.076000000001</v>
      </c>
      <c r="B82" s="128"/>
      <c r="C82" s="81">
        <f>SUM(C75:C81)</f>
        <v>429.94169696969698</v>
      </c>
      <c r="D82" s="5" t="s">
        <v>99</v>
      </c>
      <c r="F82" s="83">
        <f>SUM(F75:F81)</f>
        <v>309.39515151515161</v>
      </c>
      <c r="G82" s="84">
        <f>+F82*B48</f>
        <v>10210.040000000003</v>
      </c>
      <c r="I82" s="127">
        <f>+A82-G82</f>
        <v>3978.0359999999982</v>
      </c>
      <c r="J82" s="127"/>
    </row>
    <row r="84" spans="1:18" ht="15" thickBot="1" x14ac:dyDescent="0.35"/>
    <row r="85" spans="1:18" ht="16.5" x14ac:dyDescent="0.3">
      <c r="A85" s="5" t="s">
        <v>56</v>
      </c>
      <c r="F85" s="130" t="s">
        <v>138</v>
      </c>
      <c r="G85" s="131"/>
      <c r="H85" s="131"/>
      <c r="I85" s="131"/>
      <c r="J85" s="132"/>
    </row>
    <row r="86" spans="1:18" x14ac:dyDescent="0.3">
      <c r="C86" s="5"/>
      <c r="F86" s="99"/>
      <c r="G86" s="93" t="s">
        <v>130</v>
      </c>
      <c r="H86" s="93" t="s">
        <v>131</v>
      </c>
      <c r="I86" s="93" t="s">
        <v>134</v>
      </c>
      <c r="J86" s="100" t="s">
        <v>133</v>
      </c>
    </row>
    <row r="87" spans="1:18" ht="16.5" x14ac:dyDescent="0.3">
      <c r="B87" s="61" t="s">
        <v>59</v>
      </c>
      <c r="C87" s="107" t="s">
        <v>163</v>
      </c>
      <c r="D87" s="108"/>
      <c r="F87" s="101" t="str">
        <f t="shared" ref="F87:F93" si="3">+D75</f>
        <v>forro cartera</v>
      </c>
      <c r="G87" s="94" t="str">
        <f>+'forro cartera guarda'!C23</f>
        <v xml:space="preserve">Rainbow Azul </v>
      </c>
      <c r="H87" s="95">
        <f>+E34</f>
        <v>45.9</v>
      </c>
      <c r="I87" s="96">
        <v>12</v>
      </c>
      <c r="J87" s="102">
        <f>+H87*I87</f>
        <v>550.79999999999995</v>
      </c>
      <c r="M87" s="55"/>
      <c r="N87" s="55"/>
      <c r="O87" s="55"/>
      <c r="P87" s="55"/>
      <c r="Q87" s="55"/>
      <c r="R87" s="55"/>
    </row>
    <row r="88" spans="1:18" ht="16.5" x14ac:dyDescent="0.3">
      <c r="B88" s="41" t="s">
        <v>1</v>
      </c>
      <c r="C88" s="59"/>
      <c r="D88" s="60"/>
      <c r="F88" s="101" t="str">
        <f t="shared" si="3"/>
        <v>forro guarda</v>
      </c>
      <c r="G88" s="94" t="str">
        <f>+G87</f>
        <v xml:space="preserve">Rainbow Azul </v>
      </c>
      <c r="H88" s="95">
        <f>+H87</f>
        <v>45.9</v>
      </c>
      <c r="I88" s="96">
        <v>6</v>
      </c>
      <c r="J88" s="102">
        <f>+J87</f>
        <v>550.79999999999995</v>
      </c>
      <c r="M88" s="55"/>
      <c r="N88" s="55"/>
      <c r="O88" s="55"/>
      <c r="P88" s="55"/>
      <c r="Q88" s="55"/>
      <c r="R88" s="55"/>
    </row>
    <row r="89" spans="1:18" ht="16.5" x14ac:dyDescent="0.3">
      <c r="B89" s="41" t="s">
        <v>14</v>
      </c>
      <c r="C89" s="86" t="s">
        <v>164</v>
      </c>
      <c r="D89" s="60"/>
      <c r="F89" s="101" t="str">
        <f t="shared" si="3"/>
        <v>forro caja EXT</v>
      </c>
      <c r="G89" s="94" t="str">
        <f>+C23</f>
        <v xml:space="preserve">Rainbow Azul </v>
      </c>
      <c r="H89" s="95">
        <f>+H88</f>
        <v>45.9</v>
      </c>
      <c r="I89" s="96">
        <v>12</v>
      </c>
      <c r="J89" s="102">
        <f>+J88</f>
        <v>550.79999999999995</v>
      </c>
      <c r="M89" s="55"/>
      <c r="N89" s="55"/>
      <c r="O89" s="55"/>
      <c r="P89" s="55"/>
      <c r="Q89" s="55"/>
      <c r="R89" s="55"/>
    </row>
    <row r="90" spans="1:18" ht="16.5" x14ac:dyDescent="0.3">
      <c r="B90" s="41" t="s">
        <v>63</v>
      </c>
      <c r="C90" s="86"/>
      <c r="D90" s="60" t="s">
        <v>110</v>
      </c>
      <c r="F90" s="101" t="str">
        <f t="shared" si="3"/>
        <v>EMPALME caja INT</v>
      </c>
      <c r="G90" s="94" t="str">
        <f>+C23</f>
        <v xml:space="preserve">Rainbow Azul </v>
      </c>
      <c r="H90" s="95">
        <f>+H89</f>
        <v>45.9</v>
      </c>
      <c r="I90" s="96">
        <v>8</v>
      </c>
      <c r="J90" s="102">
        <f>+J89</f>
        <v>550.79999999999995</v>
      </c>
      <c r="K90" s="66"/>
      <c r="M90" s="55"/>
      <c r="N90" s="55"/>
      <c r="O90" s="55"/>
      <c r="P90" s="55"/>
      <c r="Q90" s="55"/>
      <c r="R90" s="55"/>
    </row>
    <row r="91" spans="1:18" ht="16.5" x14ac:dyDescent="0.3">
      <c r="B91" s="41" t="s">
        <v>66</v>
      </c>
      <c r="C91" s="86"/>
      <c r="D91" s="60"/>
      <c r="F91" s="101" t="str">
        <f t="shared" si="3"/>
        <v>espuma base</v>
      </c>
      <c r="G91" s="94" t="s">
        <v>191</v>
      </c>
      <c r="H91" s="95">
        <f>+'espuma base'!E34</f>
        <v>190</v>
      </c>
      <c r="I91" s="96">
        <v>3</v>
      </c>
      <c r="J91" s="102">
        <f>+H91*I91</f>
        <v>570</v>
      </c>
      <c r="M91" s="55"/>
      <c r="N91" s="55"/>
      <c r="O91" s="55"/>
      <c r="P91" s="55"/>
      <c r="Q91" s="55"/>
      <c r="R91" s="55"/>
    </row>
    <row r="92" spans="1:18" ht="16.5" x14ac:dyDescent="0.3">
      <c r="B92" s="41" t="s">
        <v>69</v>
      </c>
      <c r="C92" s="86">
        <f>+(B48*2)*1.1</f>
        <v>72.600000000000009</v>
      </c>
      <c r="D92" s="87">
        <f>+((B47*60)*2)</f>
        <v>0</v>
      </c>
      <c r="F92" s="101" t="str">
        <f t="shared" si="3"/>
        <v>cartón cartera</v>
      </c>
      <c r="G92" s="94" t="s">
        <v>132</v>
      </c>
      <c r="H92" s="95">
        <f>+'cartón cartera'!E34</f>
        <v>41.072000000000003</v>
      </c>
      <c r="I92" s="96">
        <v>8</v>
      </c>
      <c r="J92" s="102">
        <f>+H92*I92</f>
        <v>328.57600000000002</v>
      </c>
      <c r="M92" s="55"/>
      <c r="N92" s="55"/>
      <c r="O92" s="55"/>
      <c r="P92" s="55"/>
      <c r="Q92" s="55"/>
      <c r="R92" s="55"/>
    </row>
    <row r="93" spans="1:18" ht="16.5" x14ac:dyDescent="0.3">
      <c r="B93" s="41" t="s">
        <v>71</v>
      </c>
      <c r="C93" s="88">
        <v>4</v>
      </c>
      <c r="D93" s="60"/>
      <c r="F93" s="101" t="str">
        <f t="shared" si="3"/>
        <v>cartón caja</v>
      </c>
      <c r="G93" s="94" t="s">
        <v>132</v>
      </c>
      <c r="H93" s="95">
        <f>+'cartón caja'!E34</f>
        <v>41.072000000000003</v>
      </c>
      <c r="I93" s="96">
        <v>12</v>
      </c>
      <c r="J93" s="102">
        <f>+H93*I93</f>
        <v>492.86400000000003</v>
      </c>
      <c r="M93" s="55"/>
      <c r="N93" s="55"/>
      <c r="O93" s="55"/>
      <c r="P93" s="55"/>
      <c r="Q93" s="55"/>
      <c r="R93" s="55"/>
    </row>
    <row r="94" spans="1:18" ht="16.5" x14ac:dyDescent="0.3">
      <c r="B94" s="41" t="s">
        <v>111</v>
      </c>
      <c r="C94" s="88">
        <v>0</v>
      </c>
      <c r="D94" s="89" t="s">
        <v>112</v>
      </c>
      <c r="F94" s="101" t="str">
        <f>+A54</f>
        <v>Iman</v>
      </c>
      <c r="G94" s="94"/>
      <c r="H94" s="95">
        <v>4</v>
      </c>
      <c r="I94" s="96">
        <v>72</v>
      </c>
      <c r="J94" s="102">
        <f t="shared" ref="J94:J95" si="4">+H94*I94</f>
        <v>288</v>
      </c>
      <c r="M94" s="55"/>
      <c r="N94" s="55"/>
      <c r="O94" s="55"/>
      <c r="P94" s="55"/>
      <c r="Q94" s="55"/>
      <c r="R94" s="55"/>
    </row>
    <row r="95" spans="1:18" ht="16.5" x14ac:dyDescent="0.3">
      <c r="B95" s="41" t="s">
        <v>73</v>
      </c>
      <c r="C95" s="88">
        <f>+C93*C92</f>
        <v>290.40000000000003</v>
      </c>
      <c r="D95" s="60"/>
      <c r="F95" s="101" t="s">
        <v>137</v>
      </c>
      <c r="G95" s="94"/>
      <c r="H95" s="95">
        <f>+B53+'forro caja EXT'!B53</f>
        <v>400</v>
      </c>
      <c r="I95" s="96">
        <v>1</v>
      </c>
      <c r="J95" s="102">
        <f t="shared" si="4"/>
        <v>400</v>
      </c>
      <c r="M95" s="55"/>
      <c r="N95" s="55"/>
      <c r="O95" s="55"/>
      <c r="P95" s="55"/>
      <c r="Q95" s="55"/>
      <c r="R95" s="55"/>
    </row>
    <row r="96" spans="1:18" ht="17.25" thickBot="1" x14ac:dyDescent="0.35">
      <c r="B96" s="41" t="s">
        <v>109</v>
      </c>
      <c r="C96" s="88">
        <v>0</v>
      </c>
      <c r="D96" s="60"/>
      <c r="F96" s="103"/>
      <c r="G96" s="104"/>
      <c r="H96" s="104"/>
      <c r="I96" s="105"/>
      <c r="J96" s="106"/>
      <c r="M96" s="55"/>
      <c r="N96" s="55"/>
      <c r="O96" s="55"/>
      <c r="P96" s="55"/>
      <c r="Q96" s="55"/>
      <c r="R96" s="55"/>
    </row>
    <row r="97" spans="1:10" ht="16.5" thickBot="1" x14ac:dyDescent="0.35">
      <c r="B97" s="41" t="s">
        <v>113</v>
      </c>
      <c r="C97" s="88">
        <v>0</v>
      </c>
      <c r="D97" s="60"/>
      <c r="F97"/>
      <c r="G97"/>
      <c r="H97"/>
      <c r="I97" s="97" t="s">
        <v>133</v>
      </c>
      <c r="J97" s="98">
        <f>SUM(J87:J96)</f>
        <v>4282.6399999999994</v>
      </c>
    </row>
    <row r="98" spans="1:10" x14ac:dyDescent="0.3">
      <c r="B98" s="1" t="s">
        <v>114</v>
      </c>
      <c r="C98" s="88">
        <v>0</v>
      </c>
      <c r="D98" s="60"/>
    </row>
    <row r="99" spans="1:10" x14ac:dyDescent="0.3">
      <c r="B99" s="41" t="s">
        <v>115</v>
      </c>
      <c r="C99" s="90">
        <f>+C95</f>
        <v>290.40000000000003</v>
      </c>
      <c r="D99" s="91">
        <f>+C99/B48</f>
        <v>8.8000000000000007</v>
      </c>
      <c r="E99" s="1" t="s">
        <v>117</v>
      </c>
    </row>
    <row r="100" spans="1:10" x14ac:dyDescent="0.3">
      <c r="B100" s="41" t="s">
        <v>116</v>
      </c>
      <c r="C100" s="90">
        <f>+C99*1.5</f>
        <v>435.6</v>
      </c>
      <c r="D100" s="91">
        <f>+C100/B48</f>
        <v>13.200000000000001</v>
      </c>
      <c r="E100" s="1" t="s">
        <v>117</v>
      </c>
    </row>
    <row r="101" spans="1:10" x14ac:dyDescent="0.3">
      <c r="C101" s="59"/>
      <c r="D101" s="60"/>
    </row>
    <row r="102" spans="1:10" x14ac:dyDescent="0.3">
      <c r="C102" s="59"/>
      <c r="D102" s="60"/>
    </row>
    <row r="104" spans="1:10" ht="15" thickBot="1" x14ac:dyDescent="0.35">
      <c r="A104" s="5" t="s">
        <v>175</v>
      </c>
    </row>
    <row r="105" spans="1:10" x14ac:dyDescent="0.3">
      <c r="A105" s="11" t="s">
        <v>101</v>
      </c>
      <c r="B105" s="12"/>
      <c r="C105" s="12"/>
      <c r="D105" s="12"/>
      <c r="E105" s="12"/>
      <c r="F105" s="12"/>
      <c r="G105" s="13"/>
    </row>
    <row r="106" spans="1:10" x14ac:dyDescent="0.3">
      <c r="A106" s="46">
        <f>+F16</f>
        <v>54.5</v>
      </c>
      <c r="B106" s="73">
        <f>+H16</f>
        <v>34</v>
      </c>
      <c r="C106" s="7" t="s">
        <v>100</v>
      </c>
      <c r="D106" s="73" t="s">
        <v>102</v>
      </c>
      <c r="E106" s="7" t="s">
        <v>103</v>
      </c>
      <c r="F106" s="92" t="s">
        <v>122</v>
      </c>
      <c r="G106" s="122">
        <v>550</v>
      </c>
    </row>
    <row r="107" spans="1:10" x14ac:dyDescent="0.3">
      <c r="A107" s="46">
        <f>0.518*0.37*C41</f>
        <v>9.1996800000000007</v>
      </c>
      <c r="B107" s="78">
        <v>4</v>
      </c>
      <c r="C107" s="78">
        <f>+A107*B107</f>
        <v>36.798720000000003</v>
      </c>
      <c r="D107" s="78">
        <v>0</v>
      </c>
      <c r="E107" s="123">
        <f>+C107+D107</f>
        <v>36.798720000000003</v>
      </c>
      <c r="F107" s="75" t="s">
        <v>172</v>
      </c>
      <c r="G107" s="8"/>
    </row>
    <row r="108" spans="1:10" x14ac:dyDescent="0.3">
      <c r="A108" s="6"/>
      <c r="B108" s="78"/>
      <c r="C108" s="78"/>
      <c r="D108" s="78"/>
      <c r="E108" s="78"/>
      <c r="F108" s="7"/>
      <c r="G108" s="8"/>
      <c r="J108" s="71"/>
    </row>
    <row r="109" spans="1:10" x14ac:dyDescent="0.3">
      <c r="A109" s="46">
        <f>+A106</f>
        <v>54.5</v>
      </c>
      <c r="B109" s="73">
        <f>+B106</f>
        <v>34</v>
      </c>
      <c r="C109" s="7" t="s">
        <v>100</v>
      </c>
      <c r="D109" s="73" t="s">
        <v>102</v>
      </c>
      <c r="E109" s="7" t="s">
        <v>103</v>
      </c>
      <c r="F109" s="92" t="s">
        <v>122</v>
      </c>
      <c r="G109" s="122">
        <v>550</v>
      </c>
    </row>
    <row r="110" spans="1:10" x14ac:dyDescent="0.3">
      <c r="A110" s="46">
        <f>0.463*0.503*C71</f>
        <v>0</v>
      </c>
      <c r="B110" s="78">
        <f>4.1*2</f>
        <v>8.1999999999999993</v>
      </c>
      <c r="C110" s="78">
        <f>+A110*B110</f>
        <v>0</v>
      </c>
      <c r="D110" s="78">
        <v>0</v>
      </c>
      <c r="E110" s="123">
        <f>+C110+D110</f>
        <v>0</v>
      </c>
      <c r="F110" s="75" t="s">
        <v>171</v>
      </c>
      <c r="G110" s="8"/>
    </row>
    <row r="111" spans="1:10" x14ac:dyDescent="0.3">
      <c r="A111" s="6"/>
      <c r="B111" s="7"/>
      <c r="C111" s="78"/>
      <c r="D111" s="78"/>
      <c r="E111" s="78"/>
      <c r="F111" s="78"/>
      <c r="G111" s="8"/>
    </row>
    <row r="112" spans="1:10" ht="15" thickBot="1" x14ac:dyDescent="0.35">
      <c r="A112" s="14"/>
      <c r="B112" s="15"/>
      <c r="C112" s="15"/>
      <c r="D112" s="15"/>
      <c r="E112" s="15"/>
      <c r="F112" s="15"/>
      <c r="G112" s="16"/>
    </row>
  </sheetData>
  <mergeCells count="4">
    <mergeCell ref="I82:J82"/>
    <mergeCell ref="A82:B82"/>
    <mergeCell ref="G74:H74"/>
    <mergeCell ref="F85:J85"/>
  </mergeCells>
  <pageMargins left="0.70866141732283472" right="0.70866141732283472" top="0.74803149606299213" bottom="0.74803149606299213" header="0.31496062992125984" footer="0.31496062992125984"/>
  <pageSetup scale="70" fitToHeight="0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Desarrollo</vt:lpstr>
      <vt:lpstr>cartón caja</vt:lpstr>
      <vt:lpstr>cartón cartera</vt:lpstr>
      <vt:lpstr>espuma base</vt:lpstr>
      <vt:lpstr>empalme caja INT</vt:lpstr>
      <vt:lpstr>forro caja EXT</vt:lpstr>
      <vt:lpstr>forro cartera guarda</vt:lpstr>
      <vt:lpstr>forro cartera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2017-05-16T21:42:41Z</cp:lastPrinted>
  <dcterms:created xsi:type="dcterms:W3CDTF">2013-03-04T22:24:31Z</dcterms:created>
  <dcterms:modified xsi:type="dcterms:W3CDTF">2017-05-16T21:47:18Z</dcterms:modified>
</cp:coreProperties>
</file>