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firstSheet="1" activeTab="6"/>
  </bookViews>
  <sheets>
    <sheet name="cartón caja" sheetId="39" r:id="rId1"/>
    <sheet name="cartón cartera" sheetId="40" r:id="rId2"/>
    <sheet name="espuma suajada" sheetId="44" r:id="rId3"/>
    <sheet name="forro caja INT" sheetId="34" r:id="rId4"/>
    <sheet name="forro caja EXT" sheetId="42" r:id="rId5"/>
    <sheet name="forro cartera guarda " sheetId="43" r:id="rId6"/>
    <sheet name="forro cartera" sheetId="38" r:id="rId7"/>
  </sheets>
  <definedNames>
    <definedName name="_xlnm.Print_Area" localSheetId="6">'forro cartera'!$J$4:$P$20</definedName>
  </definedNames>
  <calcPr calcId="145621"/>
</workbook>
</file>

<file path=xl/calcChain.xml><?xml version="1.0" encoding="utf-8"?>
<calcChain xmlns="http://schemas.openxmlformats.org/spreadsheetml/2006/main">
  <c r="O15" i="38" l="1"/>
  <c r="M15" i="38"/>
  <c r="M13" i="38"/>
  <c r="M72" i="38"/>
  <c r="M71" i="38"/>
  <c r="L64" i="38"/>
  <c r="M64" i="38"/>
  <c r="L67" i="38"/>
  <c r="L71" i="38" s="1"/>
  <c r="O14" i="38"/>
  <c r="O13" i="38"/>
  <c r="N13" i="38"/>
  <c r="L13" i="38"/>
  <c r="K13" i="38"/>
  <c r="N12" i="38"/>
  <c r="M12" i="38"/>
  <c r="M11" i="38"/>
  <c r="L12" i="38"/>
  <c r="L11" i="38"/>
  <c r="O10" i="38"/>
  <c r="O9" i="38"/>
  <c r="O8" i="38"/>
  <c r="O7" i="38"/>
  <c r="M10" i="38"/>
  <c r="N10" i="38"/>
  <c r="N8" i="38"/>
  <c r="N9" i="38"/>
  <c r="M9" i="38"/>
  <c r="M7" i="38"/>
  <c r="N7" i="38"/>
  <c r="L10" i="38"/>
  <c r="L7" i="38"/>
  <c r="L8" i="38" s="1"/>
  <c r="K12" i="38"/>
  <c r="K11" i="38"/>
  <c r="K10" i="38"/>
  <c r="K9" i="38"/>
  <c r="K8" i="38"/>
  <c r="K7" i="38"/>
  <c r="J49" i="38"/>
  <c r="K49" i="38"/>
  <c r="J50" i="38"/>
  <c r="L50" i="38" s="1"/>
  <c r="N50" i="38" s="1"/>
  <c r="J52" i="38"/>
  <c r="K52" i="38"/>
  <c r="J53" i="38"/>
  <c r="L53" i="38" s="1"/>
  <c r="N53" i="38" s="1"/>
  <c r="O12" i="38"/>
  <c r="M8" i="38"/>
  <c r="L72" i="38" l="1"/>
  <c r="B54" i="34" l="1"/>
  <c r="B54" i="42"/>
  <c r="E32" i="38"/>
  <c r="E31" i="38"/>
  <c r="H26" i="38"/>
  <c r="E26" i="38"/>
  <c r="F26" i="38"/>
  <c r="C26" i="38"/>
  <c r="C27" i="38"/>
  <c r="H25" i="38"/>
  <c r="H27" i="38"/>
  <c r="F25" i="38"/>
  <c r="F27" i="38"/>
  <c r="H26" i="43"/>
  <c r="E26" i="43"/>
  <c r="F26" i="43"/>
  <c r="C26" i="43"/>
  <c r="C27" i="43"/>
  <c r="H25" i="43"/>
  <c r="H27" i="43"/>
  <c r="F25" i="43"/>
  <c r="F27" i="43"/>
  <c r="E26" i="42"/>
  <c r="E27" i="42"/>
  <c r="C26" i="42"/>
  <c r="C27" i="42"/>
  <c r="J50" i="34"/>
  <c r="E27" i="38"/>
  <c r="E27" i="43"/>
  <c r="E35" i="40"/>
  <c r="E35" i="39"/>
  <c r="D78" i="38"/>
  <c r="B54" i="44"/>
  <c r="B68" i="44"/>
  <c r="B70" i="44"/>
  <c r="A70" i="44"/>
  <c r="B69" i="44"/>
  <c r="A69" i="44"/>
  <c r="A68" i="44"/>
  <c r="H59" i="44"/>
  <c r="H58" i="44"/>
  <c r="H57" i="44"/>
  <c r="H56" i="44"/>
  <c r="H55" i="44"/>
  <c r="H54" i="44"/>
  <c r="H53" i="44"/>
  <c r="H52" i="44"/>
  <c r="H51" i="44"/>
  <c r="H50" i="44"/>
  <c r="H49" i="44"/>
  <c r="B48" i="44"/>
  <c r="C40" i="44"/>
  <c r="G43" i="44"/>
  <c r="E31" i="44"/>
  <c r="E32" i="44"/>
  <c r="E34" i="44"/>
  <c r="E26" i="44"/>
  <c r="E27" i="44"/>
  <c r="C26" i="44"/>
  <c r="H26" i="44"/>
  <c r="H25" i="44"/>
  <c r="H27" i="44"/>
  <c r="F25" i="44"/>
  <c r="C11" i="44"/>
  <c r="C9" i="44"/>
  <c r="B68" i="38"/>
  <c r="A68" i="38"/>
  <c r="B52" i="38"/>
  <c r="H61" i="44"/>
  <c r="B67" i="44"/>
  <c r="F26" i="44"/>
  <c r="F27" i="44"/>
  <c r="E35" i="44"/>
  <c r="C27" i="44"/>
  <c r="C41" i="44"/>
  <c r="E31" i="43"/>
  <c r="E31" i="42"/>
  <c r="E32" i="42"/>
  <c r="E34" i="42"/>
  <c r="E35" i="42"/>
  <c r="H25" i="42"/>
  <c r="F25" i="42"/>
  <c r="E31" i="34"/>
  <c r="E32" i="34"/>
  <c r="E34" i="34"/>
  <c r="E35" i="34"/>
  <c r="H49" i="34"/>
  <c r="H50" i="34"/>
  <c r="H49" i="42"/>
  <c r="H50" i="42"/>
  <c r="B69" i="42"/>
  <c r="E32" i="43"/>
  <c r="E34" i="43"/>
  <c r="E35" i="43"/>
  <c r="H49" i="43"/>
  <c r="H50" i="43"/>
  <c r="E34" i="38"/>
  <c r="E35" i="38"/>
  <c r="H49" i="38"/>
  <c r="H50" i="38"/>
  <c r="H55" i="38"/>
  <c r="H56" i="38"/>
  <c r="G58" i="38"/>
  <c r="H58" i="38" s="1"/>
  <c r="H61" i="38" s="1"/>
  <c r="B48" i="38"/>
  <c r="H55" i="42"/>
  <c r="H54" i="42"/>
  <c r="F16" i="38"/>
  <c r="H16" i="38"/>
  <c r="C11" i="38"/>
  <c r="G58" i="34"/>
  <c r="H58" i="34" s="1"/>
  <c r="G58" i="42"/>
  <c r="H58" i="42" s="1"/>
  <c r="G58" i="43"/>
  <c r="H58" i="43" s="1"/>
  <c r="F16" i="43"/>
  <c r="H16" i="43"/>
  <c r="C11" i="43"/>
  <c r="C11" i="42"/>
  <c r="H16" i="34"/>
  <c r="F16" i="34"/>
  <c r="C26" i="34"/>
  <c r="C11" i="34"/>
  <c r="C11" i="40"/>
  <c r="E26" i="39"/>
  <c r="F26" i="39"/>
  <c r="F27" i="39"/>
  <c r="C26" i="39"/>
  <c r="E26" i="34"/>
  <c r="E27" i="34"/>
  <c r="H16" i="42"/>
  <c r="F16" i="42"/>
  <c r="B48" i="43"/>
  <c r="B48" i="42"/>
  <c r="B48" i="34"/>
  <c r="C9" i="38"/>
  <c r="C9" i="43"/>
  <c r="C9" i="42"/>
  <c r="C9" i="34"/>
  <c r="C9" i="40"/>
  <c r="D80" i="38"/>
  <c r="D79" i="38"/>
  <c r="D77" i="38"/>
  <c r="D76" i="38"/>
  <c r="D75" i="38"/>
  <c r="A71" i="43"/>
  <c r="B70" i="43"/>
  <c r="A70" i="43"/>
  <c r="B69" i="43"/>
  <c r="A69" i="43"/>
  <c r="B68" i="43"/>
  <c r="A68" i="43"/>
  <c r="H59" i="43"/>
  <c r="H57" i="43"/>
  <c r="H56" i="43"/>
  <c r="B71" i="43"/>
  <c r="H55" i="43"/>
  <c r="H54" i="43"/>
  <c r="K53" i="43"/>
  <c r="H52" i="43"/>
  <c r="H51" i="43"/>
  <c r="K49" i="43"/>
  <c r="K52" i="43"/>
  <c r="J49" i="43"/>
  <c r="J52" i="43"/>
  <c r="C40" i="43"/>
  <c r="C41" i="43"/>
  <c r="J53" i="43"/>
  <c r="B56" i="42"/>
  <c r="B71" i="42"/>
  <c r="H59" i="42"/>
  <c r="H57" i="42"/>
  <c r="H56" i="42"/>
  <c r="K53" i="42"/>
  <c r="H52" i="42"/>
  <c r="H51" i="42"/>
  <c r="K49" i="42"/>
  <c r="K52" i="42"/>
  <c r="J49" i="42"/>
  <c r="J52" i="42"/>
  <c r="K53" i="34"/>
  <c r="H52" i="40"/>
  <c r="B73" i="38"/>
  <c r="B71" i="38"/>
  <c r="C40" i="34"/>
  <c r="C41" i="34"/>
  <c r="J53" i="34"/>
  <c r="C40" i="42"/>
  <c r="C41" i="42"/>
  <c r="A71" i="42"/>
  <c r="B70" i="42"/>
  <c r="A70" i="42"/>
  <c r="A69" i="42"/>
  <c r="B68" i="42"/>
  <c r="A68" i="42"/>
  <c r="G43" i="42"/>
  <c r="B71" i="34"/>
  <c r="K49" i="34"/>
  <c r="K52" i="34"/>
  <c r="J49" i="34"/>
  <c r="J52" i="34"/>
  <c r="G43" i="34"/>
  <c r="B48" i="40"/>
  <c r="B68" i="34"/>
  <c r="H52" i="34"/>
  <c r="C40" i="39"/>
  <c r="C41" i="39"/>
  <c r="G44" i="39"/>
  <c r="H51" i="38"/>
  <c r="H52" i="38"/>
  <c r="H53" i="38"/>
  <c r="H54" i="38"/>
  <c r="H57" i="38"/>
  <c r="H59" i="38"/>
  <c r="B72" i="38"/>
  <c r="A72" i="38"/>
  <c r="A71" i="38"/>
  <c r="A70" i="38"/>
  <c r="A73" i="38"/>
  <c r="A69" i="38"/>
  <c r="A68" i="34"/>
  <c r="E31" i="40"/>
  <c r="E32" i="40"/>
  <c r="E34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E31" i="39"/>
  <c r="E32" i="39"/>
  <c r="E34" i="39"/>
  <c r="H49" i="39"/>
  <c r="H50" i="39"/>
  <c r="H51" i="39"/>
  <c r="H52" i="39"/>
  <c r="H53" i="39"/>
  <c r="H54" i="39"/>
  <c r="H55" i="39"/>
  <c r="H56" i="39"/>
  <c r="H57" i="39"/>
  <c r="H58" i="39"/>
  <c r="H59" i="39"/>
  <c r="H61" i="39"/>
  <c r="B68" i="39"/>
  <c r="B69" i="39"/>
  <c r="B70" i="39"/>
  <c r="A70" i="39"/>
  <c r="A69" i="39"/>
  <c r="A68" i="39"/>
  <c r="H25" i="39"/>
  <c r="H26" i="39"/>
  <c r="H27" i="39"/>
  <c r="F25" i="39"/>
  <c r="H51" i="34"/>
  <c r="H54" i="34"/>
  <c r="H55" i="34"/>
  <c r="H56" i="34"/>
  <c r="H57" i="34"/>
  <c r="H59" i="34"/>
  <c r="B69" i="34"/>
  <c r="B70" i="34"/>
  <c r="A71" i="34"/>
  <c r="A70" i="34"/>
  <c r="A69" i="34"/>
  <c r="H25" i="34"/>
  <c r="F25" i="34"/>
  <c r="C40" i="40"/>
  <c r="C41" i="40"/>
  <c r="H61" i="40"/>
  <c r="B67" i="40"/>
  <c r="C27" i="39"/>
  <c r="B51" i="39"/>
  <c r="B67" i="39"/>
  <c r="G43" i="39"/>
  <c r="F26" i="40"/>
  <c r="F27" i="40"/>
  <c r="C27" i="40"/>
  <c r="F26" i="34"/>
  <c r="C42" i="39"/>
  <c r="B50" i="39"/>
  <c r="B58" i="39"/>
  <c r="B60" i="39"/>
  <c r="B51" i="40"/>
  <c r="B66" i="39"/>
  <c r="B72" i="39"/>
  <c r="F27" i="34"/>
  <c r="C40" i="38"/>
  <c r="B54" i="38"/>
  <c r="B70" i="38"/>
  <c r="B53" i="38"/>
  <c r="B69" i="38"/>
  <c r="B51" i="44"/>
  <c r="G44" i="44"/>
  <c r="C42" i="44"/>
  <c r="F26" i="42"/>
  <c r="F27" i="42"/>
  <c r="H26" i="42"/>
  <c r="H27" i="42"/>
  <c r="C27" i="34"/>
  <c r="H26" i="34"/>
  <c r="H27" i="34"/>
  <c r="C42" i="40"/>
  <c r="G44" i="40"/>
  <c r="C42" i="34"/>
  <c r="L53" i="34"/>
  <c r="N53" i="34"/>
  <c r="G53" i="34" s="1"/>
  <c r="H53" i="34" s="1"/>
  <c r="H61" i="34" s="1"/>
  <c r="L50" i="34"/>
  <c r="N50" i="34" s="1"/>
  <c r="G44" i="34"/>
  <c r="J50" i="42"/>
  <c r="L50" i="42" s="1"/>
  <c r="N50" i="42" s="1"/>
  <c r="G44" i="42"/>
  <c r="C42" i="42"/>
  <c r="N11" i="38" s="1"/>
  <c r="O11" i="38" s="1"/>
  <c r="J53" i="42"/>
  <c r="L53" i="42"/>
  <c r="N53" i="42" s="1"/>
  <c r="G53" i="42" s="1"/>
  <c r="H53" i="42" s="1"/>
  <c r="H61" i="42" s="1"/>
  <c r="J50" i="43"/>
  <c r="L50" i="43"/>
  <c r="N50" i="43"/>
  <c r="G44" i="43"/>
  <c r="C42" i="43"/>
  <c r="L53" i="43"/>
  <c r="N53" i="43"/>
  <c r="G53" i="43" s="1"/>
  <c r="H53" i="43" s="1"/>
  <c r="H61" i="43" s="1"/>
  <c r="B67" i="43" s="1"/>
  <c r="B73" i="43" s="1"/>
  <c r="C41" i="38"/>
  <c r="G43" i="38"/>
  <c r="C46" i="39"/>
  <c r="G43" i="40"/>
  <c r="G43" i="43"/>
  <c r="E63" i="39"/>
  <c r="I52" i="39"/>
  <c r="C72" i="39"/>
  <c r="D65" i="39"/>
  <c r="F80" i="38"/>
  <c r="H68" i="39"/>
  <c r="I68" i="39"/>
  <c r="E27" i="39"/>
  <c r="C46" i="44"/>
  <c r="B50" i="44"/>
  <c r="B58" i="44"/>
  <c r="B60" i="44"/>
  <c r="B66" i="44"/>
  <c r="B72" i="44"/>
  <c r="C42" i="38"/>
  <c r="G44" i="38"/>
  <c r="B66" i="43"/>
  <c r="C43" i="43"/>
  <c r="C46" i="43"/>
  <c r="B50" i="43"/>
  <c r="B66" i="42"/>
  <c r="C43" i="42"/>
  <c r="B50" i="42"/>
  <c r="C46" i="42"/>
  <c r="C43" i="34"/>
  <c r="C46" i="34"/>
  <c r="B66" i="34"/>
  <c r="B50" i="34"/>
  <c r="B66" i="40"/>
  <c r="B72" i="40"/>
  <c r="C46" i="40"/>
  <c r="B50" i="40"/>
  <c r="B58" i="40"/>
  <c r="B60" i="40"/>
  <c r="C80" i="38"/>
  <c r="H69" i="39"/>
  <c r="H68" i="44"/>
  <c r="I68" i="44"/>
  <c r="F78" i="38"/>
  <c r="C72" i="44"/>
  <c r="D65" i="44"/>
  <c r="I52" i="44"/>
  <c r="E63" i="44"/>
  <c r="C50" i="34"/>
  <c r="H68" i="40"/>
  <c r="I68" i="40"/>
  <c r="F79" i="38"/>
  <c r="I52" i="40"/>
  <c r="C72" i="40"/>
  <c r="D65" i="40"/>
  <c r="E63" i="40"/>
  <c r="B50" i="38"/>
  <c r="B66" i="38"/>
  <c r="C43" i="38"/>
  <c r="C46" i="38"/>
  <c r="I69" i="39"/>
  <c r="H70" i="39"/>
  <c r="I70" i="39"/>
  <c r="H69" i="44"/>
  <c r="H70" i="44"/>
  <c r="I70" i="44"/>
  <c r="C78" i="38"/>
  <c r="I69" i="44"/>
  <c r="C79" i="38"/>
  <c r="H69" i="40"/>
  <c r="I69" i="40"/>
  <c r="H70" i="40"/>
  <c r="I70" i="40"/>
  <c r="O17" i="38" l="1"/>
  <c r="B51" i="42"/>
  <c r="B58" i="42" s="1"/>
  <c r="B60" i="42" s="1"/>
  <c r="B67" i="42"/>
  <c r="B73" i="42" s="1"/>
  <c r="B67" i="38"/>
  <c r="B74" i="38" s="1"/>
  <c r="B51" i="38"/>
  <c r="B58" i="38" s="1"/>
  <c r="B60" i="38" s="1"/>
  <c r="B67" i="34"/>
  <c r="B73" i="34" s="1"/>
  <c r="B51" i="34"/>
  <c r="B58" i="34" s="1"/>
  <c r="B60" i="34" s="1"/>
  <c r="F77" i="38"/>
  <c r="H69" i="34"/>
  <c r="I69" i="34" s="1"/>
  <c r="I52" i="34"/>
  <c r="D65" i="34"/>
  <c r="C73" i="34"/>
  <c r="E63" i="34"/>
  <c r="B51" i="43"/>
  <c r="B58" i="43" s="1"/>
  <c r="B60" i="43" s="1"/>
  <c r="H69" i="43" s="1"/>
  <c r="I69" i="43" s="1"/>
  <c r="E63" i="43"/>
  <c r="C73" i="43"/>
  <c r="D65" i="43"/>
  <c r="I52" i="43"/>
  <c r="I52" i="42" l="1"/>
  <c r="C73" i="42"/>
  <c r="E63" i="42"/>
  <c r="D65" i="42"/>
  <c r="F76" i="38"/>
  <c r="H69" i="42"/>
  <c r="I69" i="42" s="1"/>
  <c r="E63" i="38"/>
  <c r="D65" i="38"/>
  <c r="C74" i="38"/>
  <c r="H71" i="38" s="1"/>
  <c r="I52" i="38"/>
  <c r="H70" i="38"/>
  <c r="I70" i="38" s="1"/>
  <c r="F74" i="38"/>
  <c r="C77" i="38"/>
  <c r="H70" i="34"/>
  <c r="F75" i="38"/>
  <c r="F81" i="38" s="1"/>
  <c r="G81" i="38" s="1"/>
  <c r="H70" i="43"/>
  <c r="C75" i="38"/>
  <c r="H70" i="42" l="1"/>
  <c r="C76" i="38"/>
  <c r="C81" i="38" s="1"/>
  <c r="A81" i="38" s="1"/>
  <c r="H72" i="38"/>
  <c r="I72" i="38" s="1"/>
  <c r="I71" i="38"/>
  <c r="H71" i="34"/>
  <c r="I71" i="34" s="1"/>
  <c r="I70" i="34"/>
  <c r="I70" i="43"/>
  <c r="H71" i="43"/>
  <c r="I71" i="43" s="1"/>
  <c r="I73" i="38" l="1"/>
  <c r="I81" i="38"/>
  <c r="I70" i="42"/>
  <c r="H71" i="42"/>
  <c r="I71" i="42" s="1"/>
</calcChain>
</file>

<file path=xl/sharedStrings.xml><?xml version="1.0" encoding="utf-8"?>
<sst xmlns="http://schemas.openxmlformats.org/spreadsheetml/2006/main" count="797" uniqueCount="172">
  <si>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</si>
  <si>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</si>
  <si>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</si>
  <si>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</si>
  <si>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</si>
  <si>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</si>
  <si>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</si>
  <si>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</si>
  <si>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</si>
  <si>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</si>
  <si>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</si>
  <si>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</si>
  <si>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</si>
  <si>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</si>
  <si>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</si>
  <si>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</si>
  <si>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</si>
  <si>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</si>
  <si>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</si>
  <si>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</si>
  <si>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</si>
  <si>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</si>
  <si>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</si>
  <si>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</si>
  <si>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</si>
  <si>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</si>
  <si>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</si>
  <si>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</si>
  <si>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</si>
  <si>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</si>
  <si>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</si>
  <si>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</si>
  <si>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</si>
  <si>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</si>
  <si>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</si>
  <si>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</si>
  <si>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</si>
  <si>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</si>
  <si>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</si>
  <si>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</si>
  <si>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</si>
  <si>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</si>
  <si>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</si>
  <si>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</si>
  <si>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</si>
  <si>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</si>
  <si>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</si>
  <si>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</si>
  <si>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</si>
  <si>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</si>
  <si>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</si>
  <si>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</si>
  <si>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</si>
  <si>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</si>
  <si>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</si>
  <si>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</si>
  <si>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</si>
  <si>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</si>
  <si>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</si>
  <si>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</si>
  <si>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</si>
  <si>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</si>
  <si>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</si>
  <si>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</si>
  <si>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</si>
  <si>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</si>
  <si>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</si>
  <si>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</si>
  <si>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</si>
  <si>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</si>
  <si>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</si>
  <si>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</si>
  <si>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</si>
  <si>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</si>
  <si>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</si>
  <si>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</si>
  <si>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</si>
  <si>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</si>
  <si>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</si>
  <si>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</si>
  <si>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</si>
  <si>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</si>
  <si>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</si>
  <si>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</si>
  <si>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</si>
  <si>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</si>
  <si>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</si>
  <si>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</si>
  <si>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</si>
  <si>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</si>
  <si>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</si>
  <si>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</si>
  <si>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</si>
  <si>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</si>
  <si>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</si>
  <si>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</si>
  <si>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#5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</si>
  <si>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</si>
  <si>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</si>
  <si>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</si>
  <si>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</si>
  <si>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</si>
  <si>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</si>
  <si>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</si>
  <si>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</si>
  <si>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</si>
  <si>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</si>
  <si>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minimo 1500.00</t>
  </si>
  <si>
    <t>uv brillante a registro</t>
  </si>
  <si>
    <t>Cartón Gris</t>
  </si>
  <si>
    <t>empalme</t>
  </si>
  <si>
    <t>Arreglo</t>
  </si>
  <si>
    <t>Empaque</t>
  </si>
  <si>
    <t>Comisiones</t>
  </si>
  <si>
    <t>Suajado</t>
  </si>
  <si>
    <t>mt</t>
  </si>
  <si>
    <t>Precio por Paquete</t>
  </si>
  <si>
    <t>Colocado</t>
  </si>
  <si>
    <t>Maquila Armado</t>
  </si>
  <si>
    <t>TT Costo</t>
  </si>
  <si>
    <t>TT Utilidad</t>
  </si>
  <si>
    <t>Unitario</t>
  </si>
  <si>
    <t>Venta</t>
  </si>
  <si>
    <t>Envio</t>
  </si>
  <si>
    <t>Pruebas de color</t>
  </si>
  <si>
    <t xml:space="preserve">minimo </t>
  </si>
  <si>
    <t>cartón caja</t>
  </si>
  <si>
    <t>cartón cartera</t>
  </si>
  <si>
    <t>forro caja INT</t>
  </si>
  <si>
    <t>forro caja EXT</t>
  </si>
  <si>
    <t>forro cartera</t>
  </si>
  <si>
    <t>Tabla de suaje + Placa</t>
  </si>
  <si>
    <t xml:space="preserve">Televisa </t>
  </si>
  <si>
    <t>Blim</t>
  </si>
  <si>
    <t>tamaño extendido 33 X 40.5 cm.</t>
  </si>
  <si>
    <t>21.5 X 29 X 5.75</t>
  </si>
  <si>
    <t>Tapa</t>
  </si>
  <si>
    <t>tamaño extendido 34 X 41. 5 cm.</t>
  </si>
  <si>
    <t>Caja Blim Blue Demond Suajada</t>
  </si>
  <si>
    <t>tamaño 22 X 29.5 X 6 cm.</t>
  </si>
  <si>
    <t>espuma suajada para sujetar accesorios</t>
  </si>
  <si>
    <t>Placa HS</t>
  </si>
  <si>
    <t>HS</t>
  </si>
  <si>
    <t>Espuma</t>
  </si>
  <si>
    <t>tamaño extendido 21.5 X 29 cm.</t>
  </si>
  <si>
    <t>Gris</t>
  </si>
  <si>
    <t>3 cm.</t>
  </si>
  <si>
    <t>Pegado</t>
  </si>
  <si>
    <t>espuma suajada</t>
  </si>
  <si>
    <t>sin impresión + laminado mate 1 cara</t>
  </si>
  <si>
    <t>impresa a 4 tintas + laminado mate + hot stamping 1 cara</t>
  </si>
  <si>
    <t xml:space="preserve">Couche </t>
  </si>
  <si>
    <t>Blanco</t>
  </si>
  <si>
    <t>150 gr.</t>
  </si>
  <si>
    <r>
      <rPr>
        <i/>
        <u/>
        <sz val="9"/>
        <rFont val="Century Gothic"/>
        <family val="2"/>
      </rPr>
      <t>caja:</t>
    </r>
    <r>
      <rPr>
        <sz val="9"/>
        <rFont val="Century Gothic"/>
        <family val="2"/>
      </rPr>
      <t xml:space="preserve"> forrada en papel couche blanco </t>
    </r>
  </si>
  <si>
    <r>
      <rPr>
        <i/>
        <u/>
        <sz val="9"/>
        <rFont val="Century Gothic"/>
        <family val="2"/>
      </rPr>
      <t xml:space="preserve">tapa: </t>
    </r>
    <r>
      <rPr>
        <sz val="9"/>
        <rFont val="Century Gothic"/>
        <family val="2"/>
      </rPr>
      <t xml:space="preserve">forrada en papel couche blanco </t>
    </r>
  </si>
  <si>
    <t>Pruebas de Color</t>
  </si>
  <si>
    <t xml:space="preserve">impresa a 4 tintas offset + laminado mate </t>
  </si>
  <si>
    <t>forro cartera guarda</t>
  </si>
  <si>
    <t>03 de noviembre de 2016.</t>
  </si>
  <si>
    <t>Material</t>
  </si>
  <si>
    <t>$ compra dcto</t>
  </si>
  <si>
    <t>Pliegos</t>
  </si>
  <si>
    <t>TT</t>
  </si>
  <si>
    <t>Partes Adicionales</t>
  </si>
  <si>
    <t>LAMINADOS Y BARNICES UV</t>
  </si>
  <si>
    <t>Espuma Gris 3 cm</t>
  </si>
  <si>
    <t>Cartón Gris #5</t>
  </si>
  <si>
    <t>imanes</t>
  </si>
  <si>
    <t>Imanes</t>
  </si>
  <si>
    <t>* Par</t>
  </si>
  <si>
    <t>Tabla de Suaje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</si>
</sst>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i/>
      <u/>
      <sz val="9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9" applyNumberFormat="0" applyAlignment="0" applyProtection="0"/>
    <xf numFmtId="0" fontId="15" fillId="6" borderId="20" applyNumberFormat="0" applyAlignment="0" applyProtection="0"/>
    <xf numFmtId="0" fontId="16" fillId="7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4" applyNumberFormat="0" applyFont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44" fontId="6" fillId="0" borderId="5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right"/>
    </xf>
    <xf numFmtId="0" fontId="27" fillId="0" borderId="29" xfId="0" applyFont="1" applyBorder="1" applyAlignment="1">
      <alignment horizontal="left"/>
    </xf>
    <xf numFmtId="44" fontId="27" fillId="0" borderId="29" xfId="0" applyNumberFormat="1" applyFont="1" applyBorder="1" applyAlignment="1">
      <alignment horizontal="center"/>
    </xf>
    <xf numFmtId="1" fontId="27" fillId="0" borderId="29" xfId="0" applyNumberFormat="1" applyFont="1" applyBorder="1" applyAlignment="1">
      <alignment horizontal="center"/>
    </xf>
    <xf numFmtId="44" fontId="27" fillId="0" borderId="30" xfId="0" applyNumberFormat="1" applyFont="1" applyBorder="1" applyAlignment="1">
      <alignment horizontal="center"/>
    </xf>
    <xf numFmtId="0" fontId="27" fillId="0" borderId="11" xfId="0" applyFont="1" applyBorder="1" applyAlignment="1">
      <alignment horizontal="right"/>
    </xf>
    <xf numFmtId="0" fontId="27" fillId="0" borderId="12" xfId="0" applyFont="1" applyBorder="1" applyAlignment="1">
      <alignment horizontal="left"/>
    </xf>
    <xf numFmtId="44" fontId="27" fillId="0" borderId="12" xfId="0" applyNumberFormat="1" applyFont="1" applyBorder="1" applyAlignment="1">
      <alignment horizontal="center"/>
    </xf>
    <xf numFmtId="1" fontId="27" fillId="0" borderId="12" xfId="0" applyNumberFormat="1" applyFont="1" applyBorder="1" applyAlignment="1">
      <alignment horizontal="center"/>
    </xf>
    <xf numFmtId="44" fontId="27" fillId="0" borderId="13" xfId="0" applyNumberFormat="1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6" fillId="0" borderId="31" xfId="0" applyFont="1" applyBorder="1"/>
    <xf numFmtId="44" fontId="26" fillId="0" borderId="32" xfId="0" applyNumberFormat="1" applyFont="1" applyBorder="1"/>
    <xf numFmtId="0" fontId="28" fillId="0" borderId="0" xfId="0" applyFont="1"/>
    <xf numFmtId="2" fontId="27" fillId="0" borderId="11" xfId="0" applyNumberFormat="1" applyFont="1" applyBorder="1" applyAlignment="1">
      <alignment horizontal="right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29" zoomScale="80" zoomScaleNormal="80" workbookViewId="0">
      <selection activeCell="C23" sqref="C2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">
        <v>159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">
        <v>132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">
        <v>133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93</v>
      </c>
      <c r="D15" s="18"/>
      <c r="E15" s="18"/>
      <c r="F15" s="73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134</v>
      </c>
      <c r="D16" s="18"/>
      <c r="E16" s="18"/>
      <c r="F16" s="46">
        <v>33</v>
      </c>
      <c r="G16" s="74" t="s">
        <v>82</v>
      </c>
      <c r="H16" s="75">
        <v>40.5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135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3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4"/>
      <c r="H19" s="75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3"/>
      <c r="G20" s="76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167</v>
      </c>
      <c r="D23" s="5" t="s">
        <v>14</v>
      </c>
      <c r="E23" s="22" t="s">
        <v>95</v>
      </c>
      <c r="F23" s="1" t="s">
        <v>96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33</v>
      </c>
      <c r="D26" s="28" t="s">
        <v>16</v>
      </c>
      <c r="E26" s="27">
        <f>+H16</f>
        <v>40.5</v>
      </c>
      <c r="F26" s="29">
        <f>+E26</f>
        <v>40.5</v>
      </c>
      <c r="G26" s="29" t="s">
        <v>16</v>
      </c>
      <c r="H26" s="29">
        <f>+C26</f>
        <v>33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2.7272727272727271</v>
      </c>
      <c r="D27" s="33"/>
      <c r="E27" s="32">
        <f>+E25/E26</f>
        <v>3.2098765432098766</v>
      </c>
      <c r="F27" s="32">
        <f>+F25/F26</f>
        <v>2.2222222222222223</v>
      </c>
      <c r="G27" s="33"/>
      <c r="H27" s="32">
        <f>+H25/H26</f>
        <v>3.9393939393939394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v>44.332000000000001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44.332000000000001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44.332000000000001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48.765200000000007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100</v>
      </c>
      <c r="D40" s="24"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140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23.333333333333332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1034.4133333333332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400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9" si="0">+G52*E52</f>
        <v>400</v>
      </c>
      <c r="I52" s="30">
        <f>+(B72/100)*2</f>
        <v>33.95709333333334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1434.4133333333332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14.344133333333332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400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+B72/C40</f>
        <v>16.97854666666667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1137.8546666666668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560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G68" s="64" t="s">
        <v>72</v>
      </c>
      <c r="H68" s="32">
        <f>+B60</f>
        <v>14.344133333333332</v>
      </c>
      <c r="I68" s="65">
        <f>+H68*B48</f>
        <v>1434.4133333333332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G69" s="64" t="s">
        <v>74</v>
      </c>
      <c r="H69" s="32">
        <f>+C72</f>
        <v>16.97854666666667</v>
      </c>
      <c r="I69" s="65">
        <f>+H69*B48</f>
        <v>1697.8546666666671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3" t="str">
        <f>+A56</f>
        <v>Listón</v>
      </c>
      <c r="B70" s="54">
        <f>+B56*H63</f>
        <v>0</v>
      </c>
      <c r="C70" s="66"/>
      <c r="G70" s="67" t="s">
        <v>75</v>
      </c>
      <c r="H70" s="68">
        <f>+H69-H68</f>
        <v>2.6344133333333382</v>
      </c>
      <c r="I70" s="65">
        <f>+H70*B48</f>
        <v>263.44133333333383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/>
      <c r="B71" s="54"/>
      <c r="C71" s="66"/>
      <c r="G71" s="69" t="s">
        <v>76</v>
      </c>
      <c r="H71" s="4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1697.8546666666668</v>
      </c>
      <c r="C72" s="68">
        <f>+B72/B48</f>
        <v>16.97854666666667</v>
      </c>
      <c r="D72" s="5" t="s">
        <v>126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x14ac:dyDescent="0.3">
      <c r="B76" s="70"/>
      <c r="C76" s="71"/>
    </row>
    <row r="80" spans="1:22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19" zoomScale="80" zoomScaleNormal="80" workbookViewId="0">
      <selection activeCell="D72" sqref="D7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03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136</v>
      </c>
      <c r="D15" s="18"/>
      <c r="E15" s="18"/>
      <c r="F15" s="73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137</v>
      </c>
      <c r="D16" s="18"/>
      <c r="E16" s="18"/>
      <c r="F16" s="46">
        <v>34</v>
      </c>
      <c r="G16" s="74" t="s">
        <v>82</v>
      </c>
      <c r="H16" s="75">
        <v>41.5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3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4"/>
      <c r="H19" s="75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3"/>
      <c r="G20" s="76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109</v>
      </c>
      <c r="D23" s="5" t="s">
        <v>14</v>
      </c>
      <c r="E23" s="22" t="s">
        <v>95</v>
      </c>
      <c r="F23" s="1" t="s">
        <v>96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34</v>
      </c>
      <c r="D26" s="28" t="s">
        <v>16</v>
      </c>
      <c r="E26" s="27">
        <f>+H16</f>
        <v>41.5</v>
      </c>
      <c r="F26" s="29">
        <f>+E26</f>
        <v>41.5</v>
      </c>
      <c r="G26" s="29" t="s">
        <v>16</v>
      </c>
      <c r="H26" s="29">
        <f>+C26</f>
        <v>34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2.6470588235294117</v>
      </c>
      <c r="D27" s="33"/>
      <c r="E27" s="32">
        <f>+E25/E26</f>
        <v>3.1325301204819276</v>
      </c>
      <c r="F27" s="32">
        <f>+F25/F26</f>
        <v>2.1686746987951806</v>
      </c>
      <c r="G27" s="33"/>
      <c r="H27" s="32">
        <f>+H25/H26</f>
        <v>3.8235294117647061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v>44.332000000000001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44.332000000000001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44.332000000000001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48.765200000000007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100</v>
      </c>
      <c r="D40" s="24"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140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23.333333333333332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1034.4133333333332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400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" si="0">+G52*E52</f>
        <v>400</v>
      </c>
      <c r="I52" s="30">
        <f>+(B72/100)*2</f>
        <v>33.95709333333334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1434.4133333333332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14.344133333333332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400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+B72/C40</f>
        <v>16.97854666666667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1137.8546666666668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560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G68" s="64" t="s">
        <v>72</v>
      </c>
      <c r="H68" s="32">
        <f>+B60</f>
        <v>14.344133333333332</v>
      </c>
      <c r="I68" s="65">
        <f>+H68*C46</f>
        <v>2008.1786666666665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G69" s="64" t="s">
        <v>74</v>
      </c>
      <c r="H69" s="32">
        <f>+C72</f>
        <v>16.97854666666667</v>
      </c>
      <c r="I69" s="65">
        <f>+H69*C46</f>
        <v>2376.9965333333339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3" t="str">
        <f>+A56</f>
        <v>Listón</v>
      </c>
      <c r="B70" s="54">
        <f>+B56*H63</f>
        <v>0</v>
      </c>
      <c r="C70" s="66"/>
      <c r="G70" s="67" t="s">
        <v>75</v>
      </c>
      <c r="H70" s="68">
        <f>+H69-H68</f>
        <v>2.6344133333333382</v>
      </c>
      <c r="I70" s="65">
        <f>+H70*C46</f>
        <v>368.81786666666733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/>
      <c r="B71" s="54"/>
      <c r="C71" s="66"/>
      <c r="G71" s="69" t="s">
        <v>76</v>
      </c>
      <c r="H71" s="4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1697.8546666666668</v>
      </c>
      <c r="C72" s="68">
        <f>+B72/B48</f>
        <v>16.97854666666667</v>
      </c>
      <c r="D72" s="5" t="s">
        <v>127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5" spans="1:22" x14ac:dyDescent="0.3">
      <c r="A75" s="5"/>
    </row>
    <row r="76" spans="1:22" x14ac:dyDescent="0.3">
      <c r="B76" s="70"/>
      <c r="C76" s="71"/>
    </row>
    <row r="80" spans="1:22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29" zoomScale="80" zoomScaleNormal="80" workbookViewId="0">
      <selection activeCell="B14" sqref="B1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03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143</v>
      </c>
      <c r="D15" s="18"/>
      <c r="E15" s="18"/>
      <c r="F15" s="73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144</v>
      </c>
      <c r="D16" s="18"/>
      <c r="E16" s="18"/>
      <c r="F16" s="46">
        <v>21.5</v>
      </c>
      <c r="G16" s="74" t="s">
        <v>82</v>
      </c>
      <c r="H16" s="75">
        <v>29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94</v>
      </c>
      <c r="D17" s="18"/>
      <c r="E17" s="18"/>
      <c r="F17" s="73">
        <v>0.5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3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4"/>
      <c r="H19" s="75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3"/>
      <c r="G20" s="76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143</v>
      </c>
      <c r="D23" s="5" t="s">
        <v>14</v>
      </c>
      <c r="E23" s="22" t="s">
        <v>145</v>
      </c>
      <c r="F23" s="1" t="s">
        <v>146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100</v>
      </c>
      <c r="D25" s="22" t="s">
        <v>16</v>
      </c>
      <c r="E25" s="24">
        <v>200</v>
      </c>
      <c r="F25" s="25">
        <f>+C25</f>
        <v>100</v>
      </c>
      <c r="G25" s="26" t="s">
        <v>16</v>
      </c>
      <c r="H25" s="26">
        <f>+E25</f>
        <v>200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21.5</v>
      </c>
      <c r="D26" s="28" t="s">
        <v>16</v>
      </c>
      <c r="E26" s="27">
        <f>+H16</f>
        <v>29</v>
      </c>
      <c r="F26" s="29">
        <f>+E26</f>
        <v>29</v>
      </c>
      <c r="G26" s="29" t="s">
        <v>16</v>
      </c>
      <c r="H26" s="29">
        <f>+C26</f>
        <v>21.5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4.6511627906976747</v>
      </c>
      <c r="D27" s="33"/>
      <c r="E27" s="32">
        <f>+E25/E26</f>
        <v>6.8965517241379306</v>
      </c>
      <c r="F27" s="32">
        <f>+F25/F26</f>
        <v>3.4482758620689653</v>
      </c>
      <c r="G27" s="33"/>
      <c r="H27" s="32">
        <f>+H25/H26</f>
        <v>9.3023255813953494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24</v>
      </c>
      <c r="E28" s="37"/>
      <c r="F28" s="38"/>
      <c r="G28" s="39">
        <v>27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v>300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300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300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345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24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200</v>
      </c>
      <c r="D40" s="24"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300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12.5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300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300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3750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770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500</v>
      </c>
      <c r="H52" s="30">
        <f t="shared" ref="H52:H59" si="0">+G52*E52</f>
        <v>500</v>
      </c>
      <c r="I52" s="30">
        <f>+(B72/100)*2</f>
        <v>128.6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400</v>
      </c>
      <c r="C53" s="3"/>
      <c r="D53" s="21">
        <v>1</v>
      </c>
      <c r="E53" s="21">
        <v>1</v>
      </c>
      <c r="F53" s="21" t="s">
        <v>79</v>
      </c>
      <c r="G53" s="30">
        <v>135</v>
      </c>
      <c r="H53" s="30">
        <f t="shared" si="0"/>
        <v>135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147</v>
      </c>
      <c r="B54" s="54">
        <f>+(5*B48)*1.1</f>
        <v>550</v>
      </c>
      <c r="C54" s="3"/>
      <c r="D54" s="21">
        <v>1</v>
      </c>
      <c r="E54" s="21">
        <v>1</v>
      </c>
      <c r="F54" s="21" t="s">
        <v>80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5470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54.7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770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+B72/C40</f>
        <v>32.15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4312.5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1155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Pegado</v>
      </c>
      <c r="B68" s="54">
        <f>+B54*H63</f>
        <v>962.5</v>
      </c>
      <c r="C68" s="63"/>
      <c r="G68" s="64" t="s">
        <v>72</v>
      </c>
      <c r="H68" s="32">
        <f>+B60</f>
        <v>54.7</v>
      </c>
      <c r="I68" s="65">
        <f>+H68*C46</f>
        <v>16410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G69" s="64" t="s">
        <v>74</v>
      </c>
      <c r="H69" s="32">
        <f>+C72</f>
        <v>64.3</v>
      </c>
      <c r="I69" s="65">
        <f>+H69*C46</f>
        <v>19290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3" t="str">
        <f>+A56</f>
        <v>Listón</v>
      </c>
      <c r="B70" s="54">
        <f>+B56*H63</f>
        <v>0</v>
      </c>
      <c r="C70" s="66"/>
      <c r="G70" s="67" t="s">
        <v>75</v>
      </c>
      <c r="H70" s="68">
        <f>+H69-H68</f>
        <v>9.5999999999999943</v>
      </c>
      <c r="I70" s="65">
        <f>+H70*C46</f>
        <v>2879.9999999999982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/>
      <c r="B71" s="54"/>
      <c r="C71" s="66"/>
      <c r="G71" s="69" t="s">
        <v>76</v>
      </c>
      <c r="H71" s="4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6430</v>
      </c>
      <c r="C72" s="68">
        <f>+B72/B48</f>
        <v>64.3</v>
      </c>
      <c r="D72" s="5" t="s">
        <v>148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70"/>
      <c r="C76" s="71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80" spans="1:22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35" zoomScale="80" zoomScaleNormal="80" workbookViewId="0">
      <selection activeCell="D41" sqref="D4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tr">
        <f>+'cartón caja'!C9</f>
        <v>03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11</v>
      </c>
      <c r="C15" s="19" t="s">
        <v>138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7" t="s">
        <v>139</v>
      </c>
      <c r="D16" s="18"/>
      <c r="E16" s="18"/>
      <c r="F16" s="46">
        <f>+F20</f>
        <v>33</v>
      </c>
      <c r="G16" s="74" t="s">
        <v>82</v>
      </c>
      <c r="H16" s="75">
        <f>+H20</f>
        <v>40.5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7" t="s">
        <v>154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7" t="s">
        <v>149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 t="s">
        <v>155</v>
      </c>
      <c r="D20" s="18"/>
      <c r="E20" s="18"/>
      <c r="F20" s="46">
        <v>33</v>
      </c>
      <c r="G20" s="74" t="s">
        <v>82</v>
      </c>
      <c r="H20" s="75">
        <v>40.5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8" t="s">
        <v>150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8" t="s">
        <v>140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13</v>
      </c>
      <c r="C23" s="81" t="s">
        <v>151</v>
      </c>
      <c r="D23" s="5" t="s">
        <v>14</v>
      </c>
      <c r="E23" s="22" t="s">
        <v>152</v>
      </c>
      <c r="F23" s="1" t="s">
        <v>153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15</v>
      </c>
      <c r="C25" s="23">
        <v>57</v>
      </c>
      <c r="D25" s="22" t="s">
        <v>16</v>
      </c>
      <c r="E25" s="24"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17</v>
      </c>
      <c r="B26" s="3"/>
      <c r="C26" s="27">
        <f>+F16</f>
        <v>33</v>
      </c>
      <c r="D26" s="28" t="s">
        <v>16</v>
      </c>
      <c r="E26" s="27">
        <f>+H16</f>
        <v>40.5</v>
      </c>
      <c r="F26" s="29">
        <f>+E26</f>
        <v>40.5</v>
      </c>
      <c r="G26" s="29" t="s">
        <v>16</v>
      </c>
      <c r="H26" s="29">
        <f>+C26</f>
        <v>33</v>
      </c>
      <c r="I26" s="30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18</v>
      </c>
      <c r="B27" s="31"/>
      <c r="C27" s="32">
        <f>+C25/C26</f>
        <v>1.7272727272727273</v>
      </c>
      <c r="D27" s="33"/>
      <c r="E27" s="32">
        <f>+E25/E26</f>
        <v>2.1481481481481484</v>
      </c>
      <c r="F27" s="32">
        <f>+F25/F26</f>
        <v>1.4074074074074074</v>
      </c>
      <c r="G27" s="33"/>
      <c r="H27" s="32">
        <f>+H25/H26</f>
        <v>2.6363636363636362</v>
      </c>
      <c r="I27" s="30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5" t="s">
        <v>21</v>
      </c>
      <c r="B30" s="25" t="s">
        <v>89</v>
      </c>
      <c r="D30" s="41" t="s">
        <v>22</v>
      </c>
      <c r="E30" s="42">
        <v>2.8490000000000002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1.4245000000000001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1.4245000000000001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1.4245000000000001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+E34*1.15</f>
        <v>1.6381749999999999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100</v>
      </c>
      <c r="D40" s="24"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200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100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92</v>
      </c>
      <c r="C43" s="21">
        <f>+(C42*C38)*F17</f>
        <v>200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200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200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" thickBot="1" x14ac:dyDescent="0.35">
      <c r="A47" s="3"/>
      <c r="B47" s="3"/>
      <c r="C47" s="3"/>
      <c r="D47" s="3"/>
      <c r="E47" s="3"/>
      <c r="H47" s="3"/>
      <c r="J47" s="5" t="s">
        <v>9</v>
      </c>
    </row>
    <row r="48" spans="1:19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 s="100" t="s">
        <v>103</v>
      </c>
      <c r="K48" s="101"/>
      <c r="L48" s="101"/>
      <c r="M48" s="101"/>
      <c r="N48" s="101"/>
      <c r="O48" s="101"/>
      <c r="P48" s="102"/>
      <c r="Q48"/>
      <c r="R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v>295</v>
      </c>
      <c r="H49" s="30">
        <f>+(D49*E49)*G49</f>
        <v>0</v>
      </c>
      <c r="J49" s="46">
        <f>+F16</f>
        <v>33</v>
      </c>
      <c r="K49" s="74">
        <f>+H16</f>
        <v>40.5</v>
      </c>
      <c r="L49" s="7" t="s">
        <v>102</v>
      </c>
      <c r="M49" s="74" t="s">
        <v>104</v>
      </c>
      <c r="N49" s="7" t="s">
        <v>105</v>
      </c>
      <c r="O49" s="93" t="s">
        <v>125</v>
      </c>
      <c r="P49" s="99">
        <v>500</v>
      </c>
      <c r="Q49"/>
      <c r="R49"/>
    </row>
    <row r="50" spans="1:22" ht="15.75" x14ac:dyDescent="0.3">
      <c r="A50" s="53" t="s">
        <v>54</v>
      </c>
      <c r="B50" s="54">
        <f>+E34*C42</f>
        <v>142.45000000000002</v>
      </c>
      <c r="C50" s="3">
        <f>+B50/2</f>
        <v>71.225000000000009</v>
      </c>
      <c r="D50" s="21">
        <v>0</v>
      </c>
      <c r="E50" s="21">
        <v>0</v>
      </c>
      <c r="F50" s="21" t="s">
        <v>78</v>
      </c>
      <c r="G50" s="30">
        <v>140</v>
      </c>
      <c r="H50" s="30">
        <f>+(D50*E50)*G50</f>
        <v>0</v>
      </c>
      <c r="J50" s="46">
        <f>0.33*0.405*C41</f>
        <v>26.730000000000004</v>
      </c>
      <c r="K50" s="79">
        <v>3.9</v>
      </c>
      <c r="L50" s="79">
        <f>+J50*K50</f>
        <v>104.24700000000001</v>
      </c>
      <c r="M50" s="79">
        <v>0</v>
      </c>
      <c r="N50" s="79">
        <f>+L50+M50</f>
        <v>104.24700000000001</v>
      </c>
      <c r="O50" s="76" t="s">
        <v>106</v>
      </c>
      <c r="P50" s="8"/>
      <c r="Q50"/>
      <c r="R50"/>
    </row>
    <row r="51" spans="1:22" ht="15.75" x14ac:dyDescent="0.3">
      <c r="A51" s="53" t="s">
        <v>12</v>
      </c>
      <c r="B51" s="54">
        <f>+H61</f>
        <v>1572.741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 s="6"/>
      <c r="K51" s="79"/>
      <c r="L51" s="79"/>
      <c r="M51" s="79"/>
      <c r="N51" s="79"/>
      <c r="O51" s="7"/>
      <c r="P51" s="8"/>
      <c r="Q51"/>
      <c r="R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9" si="0">+G52*E52</f>
        <v>400</v>
      </c>
      <c r="I52" s="30">
        <f>+(B73/100)*2</f>
        <v>55.670929999999998</v>
      </c>
      <c r="J52" s="46">
        <f>+J49</f>
        <v>33</v>
      </c>
      <c r="K52" s="74">
        <f>+K49</f>
        <v>40.5</v>
      </c>
      <c r="L52" s="7" t="s">
        <v>102</v>
      </c>
      <c r="M52" s="74" t="s">
        <v>104</v>
      </c>
      <c r="N52" s="7" t="s">
        <v>105</v>
      </c>
      <c r="O52" s="7" t="s">
        <v>107</v>
      </c>
      <c r="P52" s="8"/>
      <c r="Q52"/>
      <c r="R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110</v>
      </c>
      <c r="G53" s="30">
        <f>+N53</f>
        <v>672.74099999999999</v>
      </c>
      <c r="H53" s="30">
        <f t="shared" si="0"/>
        <v>672.74099999999999</v>
      </c>
      <c r="I53" s="55"/>
      <c r="J53" s="46">
        <f>0.33*0.405*C41</f>
        <v>26.730000000000004</v>
      </c>
      <c r="K53" s="79">
        <f>3.9*3</f>
        <v>11.7</v>
      </c>
      <c r="L53" s="79">
        <f>+J53*K53</f>
        <v>312.74100000000004</v>
      </c>
      <c r="M53" s="79">
        <v>360</v>
      </c>
      <c r="N53" s="79">
        <f>+L53+M53</f>
        <v>672.74099999999999</v>
      </c>
      <c r="O53" s="76" t="s">
        <v>108</v>
      </c>
      <c r="P53" s="8"/>
      <c r="Q53"/>
      <c r="R53"/>
    </row>
    <row r="54" spans="1:22" ht="15.75" x14ac:dyDescent="0.3">
      <c r="A54" s="56" t="s">
        <v>124</v>
      </c>
      <c r="B54" s="54">
        <f>+(F16*H16)*0.13</f>
        <v>173.745</v>
      </c>
      <c r="C54" s="3"/>
      <c r="D54" s="21">
        <v>0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J54" s="6"/>
      <c r="K54" s="7"/>
      <c r="L54" s="79"/>
      <c r="M54" s="79"/>
      <c r="N54" s="79"/>
      <c r="O54" s="79"/>
      <c r="P54" s="8"/>
      <c r="Q54"/>
      <c r="R54"/>
    </row>
    <row r="55" spans="1:22" ht="16.5" thickBot="1" x14ac:dyDescent="0.35">
      <c r="A55" s="56" t="s">
        <v>99</v>
      </c>
      <c r="B55" s="54">
        <v>0</v>
      </c>
      <c r="D55" s="21">
        <v>0</v>
      </c>
      <c r="E55" s="21">
        <v>0</v>
      </c>
      <c r="F55" s="21" t="s">
        <v>97</v>
      </c>
      <c r="G55" s="30">
        <v>120</v>
      </c>
      <c r="H55" s="30">
        <f>+G55*E55</f>
        <v>0</v>
      </c>
      <c r="J55" s="14"/>
      <c r="K55" s="15"/>
      <c r="L55" s="15"/>
      <c r="M55" s="15"/>
      <c r="N55" s="15"/>
      <c r="O55" s="15"/>
      <c r="P55" s="16"/>
      <c r="Q55"/>
      <c r="R55"/>
    </row>
    <row r="56" spans="1:22" ht="15.75" x14ac:dyDescent="0.3">
      <c r="A56" s="56" t="s">
        <v>98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Q56"/>
      <c r="R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1888.9360000000001</v>
      </c>
      <c r="C58" s="3"/>
      <c r="D58" s="21">
        <v>1</v>
      </c>
      <c r="E58" s="21">
        <v>1</v>
      </c>
      <c r="F58" s="3" t="s">
        <v>58</v>
      </c>
      <c r="G58" s="30">
        <f>+P49</f>
        <v>500</v>
      </c>
      <c r="H58" s="30">
        <f t="shared" si="0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18.88936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1572.741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+B73/C40</f>
        <v>27.835464999999999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163.8175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2359.1115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260.61750000000001</v>
      </c>
      <c r="C69" s="63"/>
      <c r="G69" s="64" t="s">
        <v>72</v>
      </c>
      <c r="H69" s="32">
        <f>+B60</f>
        <v>18.88936</v>
      </c>
      <c r="I69" s="65">
        <f>+H69*B48</f>
        <v>1888.9359999999999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G70" s="64" t="s">
        <v>74</v>
      </c>
      <c r="H70" s="32">
        <f>+C73</f>
        <v>27.835464999999999</v>
      </c>
      <c r="I70" s="65">
        <f>+H70*B48</f>
        <v>2783.5464999999999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 t="str">
        <f>+A56</f>
        <v>Encuadernación</v>
      </c>
      <c r="B71" s="54">
        <f>+B56*1.2</f>
        <v>0</v>
      </c>
      <c r="C71" s="66"/>
      <c r="G71" s="67" t="s">
        <v>75</v>
      </c>
      <c r="H71" s="68">
        <f>+H70-H69</f>
        <v>8.9461049999999993</v>
      </c>
      <c r="I71" s="83">
        <f>+H71*B48</f>
        <v>894.61049999999989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3"/>
      <c r="B72" s="54"/>
      <c r="C72" s="66"/>
      <c r="G72" s="69" t="s">
        <v>76</v>
      </c>
      <c r="H72" s="43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57</v>
      </c>
      <c r="B73" s="57">
        <f>SUM(B65:B72)</f>
        <v>2783.5464999999999</v>
      </c>
      <c r="C73" s="68">
        <f>+B73/B48</f>
        <v>27.835464999999999</v>
      </c>
      <c r="D73" s="5" t="s">
        <v>128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8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x14ac:dyDescent="0.3">
      <c r="C75" s="78"/>
      <c r="D75" s="5"/>
    </row>
    <row r="76" spans="1:22" x14ac:dyDescent="0.3">
      <c r="A76" s="5"/>
      <c r="C76" s="65"/>
      <c r="D76" s="5"/>
    </row>
    <row r="77" spans="1:22" x14ac:dyDescent="0.3">
      <c r="B77" s="70"/>
      <c r="C77" s="71"/>
    </row>
    <row r="81" spans="10:18" x14ac:dyDescent="0.3">
      <c r="J81" s="72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mergeCells count="1">
    <mergeCell ref="J48:P48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27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tr">
        <f>+'cartón caja'!C9</f>
        <v>03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11</v>
      </c>
      <c r="C15" s="19" t="s">
        <v>138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7" t="s">
        <v>139</v>
      </c>
      <c r="D16" s="18"/>
      <c r="E16" s="18"/>
      <c r="F16" s="46">
        <f>2+F20+2</f>
        <v>42</v>
      </c>
      <c r="G16" s="74" t="s">
        <v>82</v>
      </c>
      <c r="H16" s="75">
        <f>2+H20+2</f>
        <v>49.5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7" t="s">
        <v>154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7" t="s">
        <v>149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 t="s">
        <v>155</v>
      </c>
      <c r="D20" s="18"/>
      <c r="E20" s="18"/>
      <c r="F20" s="46">
        <v>38</v>
      </c>
      <c r="G20" s="74" t="s">
        <v>82</v>
      </c>
      <c r="H20" s="75">
        <v>45.5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8" t="s">
        <v>150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8" t="s">
        <v>140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13</v>
      </c>
      <c r="C23" s="81" t="s">
        <v>151</v>
      </c>
      <c r="D23" s="5" t="s">
        <v>14</v>
      </c>
      <c r="E23" s="22" t="s">
        <v>152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15</v>
      </c>
      <c r="C25" s="23">
        <v>57</v>
      </c>
      <c r="D25" s="22" t="s">
        <v>16</v>
      </c>
      <c r="E25" s="24"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17</v>
      </c>
      <c r="B26" s="3"/>
      <c r="C26" s="27">
        <f>+F16</f>
        <v>42</v>
      </c>
      <c r="D26" s="28" t="s">
        <v>16</v>
      </c>
      <c r="E26" s="27">
        <f>+H16</f>
        <v>49.5</v>
      </c>
      <c r="F26" s="29">
        <f>+E26</f>
        <v>49.5</v>
      </c>
      <c r="G26" s="29" t="s">
        <v>16</v>
      </c>
      <c r="H26" s="29">
        <f>+C26</f>
        <v>42</v>
      </c>
      <c r="I26" s="30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18</v>
      </c>
      <c r="B27" s="31"/>
      <c r="C27" s="32">
        <f>+C25/C26</f>
        <v>1.3571428571428572</v>
      </c>
      <c r="D27" s="33"/>
      <c r="E27" s="32">
        <f>+E25/E26</f>
        <v>1.7575757575757576</v>
      </c>
      <c r="F27" s="32">
        <f>+F25/F26</f>
        <v>1.1515151515151516</v>
      </c>
      <c r="G27" s="33"/>
      <c r="H27" s="32">
        <f>+H25/H26</f>
        <v>2.0714285714285716</v>
      </c>
      <c r="I27" s="30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19</v>
      </c>
      <c r="B28" s="34"/>
      <c r="C28" s="35"/>
      <c r="D28" s="36">
        <v>1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5" t="s">
        <v>21</v>
      </c>
      <c r="B30" s="25" t="s">
        <v>89</v>
      </c>
      <c r="D30" s="41" t="s">
        <v>22</v>
      </c>
      <c r="E30" s="42">
        <v>2.8490000000000002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1.4245000000000001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1.4245000000000001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1.4245000000000001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+E34*1.15</f>
        <v>1.6381749999999999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100</v>
      </c>
      <c r="D40" s="24">
        <v>400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500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250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92</v>
      </c>
      <c r="C43" s="21">
        <f>+(C42*C38)*F17</f>
        <v>500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500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500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" thickBot="1" x14ac:dyDescent="0.35">
      <c r="A47" s="3"/>
      <c r="B47" s="3"/>
      <c r="C47" s="3"/>
      <c r="D47" s="3"/>
      <c r="E47" s="3"/>
      <c r="H47" s="3"/>
      <c r="J47" s="5" t="s">
        <v>165</v>
      </c>
    </row>
    <row r="48" spans="1:19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 s="11" t="s">
        <v>103</v>
      </c>
      <c r="K48" s="12"/>
      <c r="L48" s="12"/>
      <c r="M48" s="12"/>
      <c r="N48" s="12"/>
      <c r="O48" s="12"/>
      <c r="P48" s="13"/>
      <c r="Q48"/>
      <c r="R48"/>
    </row>
    <row r="49" spans="1:18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v>295</v>
      </c>
      <c r="H49" s="30">
        <f>+(D49*E49)*G49</f>
        <v>1180</v>
      </c>
      <c r="J49" s="46">
        <f>+F16</f>
        <v>42</v>
      </c>
      <c r="K49" s="74">
        <f>+H16</f>
        <v>49.5</v>
      </c>
      <c r="L49" s="7" t="s">
        <v>102</v>
      </c>
      <c r="M49" s="74" t="s">
        <v>104</v>
      </c>
      <c r="N49" s="7" t="s">
        <v>105</v>
      </c>
      <c r="O49" s="93" t="s">
        <v>125</v>
      </c>
      <c r="P49" s="99">
        <v>500</v>
      </c>
      <c r="Q49"/>
      <c r="R49"/>
    </row>
    <row r="50" spans="1:18" ht="15.75" x14ac:dyDescent="0.3">
      <c r="A50" s="53" t="s">
        <v>54</v>
      </c>
      <c r="B50" s="54">
        <f>+E34*C42</f>
        <v>356.125</v>
      </c>
      <c r="C50" s="3"/>
      <c r="D50" s="21">
        <v>4</v>
      </c>
      <c r="E50" s="21">
        <v>1</v>
      </c>
      <c r="F50" s="21" t="s">
        <v>78</v>
      </c>
      <c r="G50" s="30">
        <v>140</v>
      </c>
      <c r="H50" s="30">
        <f>+(D50*E50)*G50</f>
        <v>560</v>
      </c>
      <c r="J50" s="46">
        <f>0.442*0.505*C41</f>
        <v>111.60499999999999</v>
      </c>
      <c r="K50" s="79">
        <v>3.9</v>
      </c>
      <c r="L50" s="79">
        <f>+J50*K50</f>
        <v>435.25949999999995</v>
      </c>
      <c r="M50" s="79">
        <v>0</v>
      </c>
      <c r="N50" s="79">
        <f>+L50+M50</f>
        <v>435.25949999999995</v>
      </c>
      <c r="O50" s="76" t="s">
        <v>106</v>
      </c>
      <c r="P50" s="8"/>
      <c r="Q50"/>
      <c r="R50"/>
    </row>
    <row r="51" spans="1:18" ht="15.75" x14ac:dyDescent="0.3">
      <c r="A51" s="53" t="s">
        <v>12</v>
      </c>
      <c r="B51" s="54">
        <f>+H61</f>
        <v>2910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 s="6"/>
      <c r="K51" s="79"/>
      <c r="L51" s="79"/>
      <c r="M51" s="79"/>
      <c r="N51" s="79"/>
      <c r="O51" s="7"/>
      <c r="P51" s="8"/>
      <c r="Q51"/>
      <c r="R51"/>
    </row>
    <row r="52" spans="1:18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9" si="0">+G52*E52</f>
        <v>400</v>
      </c>
      <c r="I52" s="30">
        <f>+(B73/100)*2</f>
        <v>184.51870499999998</v>
      </c>
      <c r="J52" s="46">
        <f>+J49</f>
        <v>42</v>
      </c>
      <c r="K52" s="74">
        <f>+K49</f>
        <v>49.5</v>
      </c>
      <c r="L52" s="7" t="s">
        <v>102</v>
      </c>
      <c r="M52" s="74" t="s">
        <v>104</v>
      </c>
      <c r="N52" s="7" t="s">
        <v>105</v>
      </c>
      <c r="O52" s="7" t="s">
        <v>107</v>
      </c>
      <c r="P52" s="8"/>
      <c r="Q52"/>
      <c r="R52"/>
    </row>
    <row r="53" spans="1:18" ht="16.5" x14ac:dyDescent="0.3">
      <c r="A53" s="53" t="s">
        <v>26</v>
      </c>
      <c r="B53" s="54">
        <v>700</v>
      </c>
      <c r="C53" s="3"/>
      <c r="D53" s="21">
        <v>0</v>
      </c>
      <c r="E53" s="21">
        <v>0</v>
      </c>
      <c r="F53" s="21" t="s">
        <v>110</v>
      </c>
      <c r="G53" s="30">
        <f>+N53</f>
        <v>892.35</v>
      </c>
      <c r="H53" s="30">
        <f t="shared" si="0"/>
        <v>0</v>
      </c>
      <c r="I53" s="55"/>
      <c r="J53" s="46">
        <f>0.28*0.325*C41</f>
        <v>45.500000000000007</v>
      </c>
      <c r="K53" s="79">
        <f>3.9*3</f>
        <v>11.7</v>
      </c>
      <c r="L53" s="79">
        <f>+J53*K53</f>
        <v>532.35</v>
      </c>
      <c r="M53" s="79">
        <v>360</v>
      </c>
      <c r="N53" s="79">
        <f>+L53+M53</f>
        <v>892.35</v>
      </c>
      <c r="O53" s="76" t="s">
        <v>108</v>
      </c>
      <c r="P53" s="8"/>
      <c r="Q53"/>
      <c r="R53"/>
    </row>
    <row r="54" spans="1:18" ht="15.75" x14ac:dyDescent="0.3">
      <c r="A54" s="56" t="s">
        <v>124</v>
      </c>
      <c r="B54" s="54">
        <f>+(F16*H16)*0.13</f>
        <v>270.27</v>
      </c>
      <c r="C54" s="3"/>
      <c r="D54" s="21">
        <v>1</v>
      </c>
      <c r="E54" s="21">
        <v>1</v>
      </c>
      <c r="F54" s="21" t="s">
        <v>79</v>
      </c>
      <c r="G54" s="30">
        <v>135</v>
      </c>
      <c r="H54" s="30">
        <f t="shared" si="0"/>
        <v>135</v>
      </c>
      <c r="J54" s="6"/>
      <c r="K54" s="7"/>
      <c r="L54" s="79"/>
      <c r="M54" s="79"/>
      <c r="N54" s="79"/>
      <c r="O54" s="79"/>
      <c r="P54" s="8"/>
      <c r="Q54"/>
      <c r="R54"/>
    </row>
    <row r="55" spans="1:18" ht="16.5" thickBot="1" x14ac:dyDescent="0.35">
      <c r="A55" s="56" t="s">
        <v>99</v>
      </c>
      <c r="B55" s="54">
        <v>0</v>
      </c>
      <c r="D55" s="21">
        <v>1</v>
      </c>
      <c r="E55" s="21">
        <v>1</v>
      </c>
      <c r="F55" s="21" t="s">
        <v>80</v>
      </c>
      <c r="G55" s="30">
        <v>135</v>
      </c>
      <c r="H55" s="30">
        <f t="shared" si="0"/>
        <v>135</v>
      </c>
      <c r="J55" s="14"/>
      <c r="K55" s="15"/>
      <c r="L55" s="15"/>
      <c r="M55" s="15"/>
      <c r="N55" s="15"/>
      <c r="O55" s="15"/>
      <c r="P55" s="16"/>
      <c r="Q55"/>
      <c r="R55"/>
    </row>
    <row r="56" spans="1:18" ht="15.75" x14ac:dyDescent="0.3">
      <c r="A56" s="56" t="s">
        <v>98</v>
      </c>
      <c r="B56" s="54">
        <f>+((20*B48)*1.1)</f>
        <v>2200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Q56"/>
      <c r="R56"/>
    </row>
    <row r="57" spans="1:18" customFormat="1" ht="15.75" x14ac:dyDescent="0.3">
      <c r="A57" s="56"/>
      <c r="B57" s="56"/>
      <c r="C57" s="1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I57" s="1"/>
    </row>
    <row r="58" spans="1:18" customFormat="1" ht="15.75" x14ac:dyDescent="0.3">
      <c r="A58" s="52" t="s">
        <v>57</v>
      </c>
      <c r="B58" s="57">
        <f>SUM(B50:B57)</f>
        <v>6436.3950000000004</v>
      </c>
      <c r="C58" s="3"/>
      <c r="D58" s="21">
        <v>1</v>
      </c>
      <c r="E58" s="21">
        <v>1</v>
      </c>
      <c r="F58" s="3" t="s">
        <v>58</v>
      </c>
      <c r="G58" s="30">
        <f>+P49</f>
        <v>500</v>
      </c>
      <c r="H58" s="30">
        <f t="shared" si="0"/>
        <v>500</v>
      </c>
      <c r="I58" s="1"/>
    </row>
    <row r="59" spans="1:18" customFormat="1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I59" s="1"/>
    </row>
    <row r="60" spans="1:18" customFormat="1" ht="15.75" x14ac:dyDescent="0.3">
      <c r="A60" s="9"/>
      <c r="B60" s="32">
        <f>+B58/B48</f>
        <v>64.363950000000003</v>
      </c>
      <c r="C60" s="4" t="s">
        <v>60</v>
      </c>
      <c r="D60" s="3"/>
      <c r="E60" s="3"/>
      <c r="F60" s="3"/>
      <c r="G60" s="3"/>
      <c r="H60" s="1"/>
      <c r="I60" s="1"/>
    </row>
    <row r="61" spans="1:18" customFormat="1" ht="15.75" x14ac:dyDescent="0.3">
      <c r="A61" s="3"/>
      <c r="B61" s="3"/>
      <c r="C61" s="1"/>
      <c r="D61" s="3"/>
      <c r="E61" s="3"/>
      <c r="F61" s="3"/>
      <c r="G61" s="61" t="s">
        <v>61</v>
      </c>
      <c r="H61" s="30">
        <f>SUM(H49:H60)</f>
        <v>2910</v>
      </c>
      <c r="I61" s="1"/>
    </row>
    <row r="62" spans="1:18" customFormat="1" ht="15.75" x14ac:dyDescent="0.3">
      <c r="A62" s="1"/>
      <c r="B62" s="1"/>
      <c r="C62" s="1"/>
      <c r="D62" s="3"/>
      <c r="E62" s="3"/>
      <c r="F62" s="1"/>
      <c r="G62" s="5" t="s">
        <v>62</v>
      </c>
      <c r="H62" s="77">
        <v>1.45</v>
      </c>
      <c r="I62" s="1"/>
    </row>
    <row r="63" spans="1:18" customFormat="1" ht="15.75" x14ac:dyDescent="0.3">
      <c r="A63" s="4" t="s">
        <v>64</v>
      </c>
      <c r="B63" s="3"/>
      <c r="C63" s="3"/>
      <c r="D63" s="1"/>
      <c r="E63" s="32">
        <f>+B73/C40</f>
        <v>92.259352499999991</v>
      </c>
      <c r="F63" s="1"/>
      <c r="G63" s="1" t="s">
        <v>65</v>
      </c>
      <c r="H63" s="62">
        <v>1.75</v>
      </c>
      <c r="I63" s="1"/>
    </row>
    <row r="64" spans="1:18" customFormat="1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I64" s="1"/>
    </row>
    <row r="65" spans="1:9" customFormat="1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I65" s="1"/>
    </row>
    <row r="66" spans="1:9" customFormat="1" ht="15.75" x14ac:dyDescent="0.3">
      <c r="A66" s="53" t="s">
        <v>54</v>
      </c>
      <c r="B66" s="54">
        <f>+E35*C42</f>
        <v>409.54374999999999</v>
      </c>
      <c r="C66" s="63"/>
      <c r="D66" s="1"/>
      <c r="E66" s="1"/>
      <c r="F66" s="1"/>
      <c r="G66" s="1"/>
      <c r="H66" s="1"/>
      <c r="I66" s="1"/>
    </row>
    <row r="67" spans="1:9" customFormat="1" ht="15.75" x14ac:dyDescent="0.3">
      <c r="A67" s="53" t="s">
        <v>12</v>
      </c>
      <c r="B67" s="54">
        <f>+H61*H62</f>
        <v>4219.5</v>
      </c>
      <c r="C67" s="63"/>
      <c r="D67" s="1"/>
      <c r="E67" s="1"/>
      <c r="F67" s="1"/>
      <c r="G67" s="1"/>
      <c r="H67" s="1"/>
      <c r="I67" s="1"/>
    </row>
    <row r="68" spans="1:9" customFormat="1" ht="15.75" x14ac:dyDescent="0.3">
      <c r="A68" s="53" t="str">
        <f>+A53</f>
        <v>Tabla de suaje</v>
      </c>
      <c r="B68" s="54">
        <f>+B53*H62</f>
        <v>1015</v>
      </c>
      <c r="C68" s="63"/>
      <c r="D68" s="1"/>
      <c r="E68" s="1"/>
      <c r="F68" s="1"/>
      <c r="G68" s="1"/>
      <c r="H68" s="1"/>
      <c r="I68" s="1"/>
    </row>
    <row r="69" spans="1:9" customFormat="1" ht="15.75" x14ac:dyDescent="0.3">
      <c r="A69" s="53" t="str">
        <f>+A54</f>
        <v>Pruebas de color</v>
      </c>
      <c r="B69" s="54">
        <f>+B54*H62</f>
        <v>391.89149999999995</v>
      </c>
      <c r="C69" s="63"/>
      <c r="D69" s="1"/>
      <c r="E69" s="1"/>
      <c r="F69" s="1"/>
      <c r="G69" s="64" t="s">
        <v>72</v>
      </c>
      <c r="H69" s="32">
        <f>+B60</f>
        <v>64.363950000000003</v>
      </c>
      <c r="I69" s="65">
        <f>+H69*B48</f>
        <v>6436.3950000000004</v>
      </c>
    </row>
    <row r="70" spans="1:9" customFormat="1" ht="15.75" x14ac:dyDescent="0.3">
      <c r="A70" s="53" t="str">
        <f>+A55</f>
        <v>Imán</v>
      </c>
      <c r="B70" s="54">
        <f>+B55*H62</f>
        <v>0</v>
      </c>
      <c r="C70" s="63"/>
      <c r="D70" s="1"/>
      <c r="E70" s="1"/>
      <c r="F70" s="1"/>
      <c r="G70" s="64" t="s">
        <v>74</v>
      </c>
      <c r="H70" s="32">
        <f>+C73</f>
        <v>92.259352499999991</v>
      </c>
      <c r="I70" s="65">
        <f>+H70*B48</f>
        <v>9225.9352499999986</v>
      </c>
    </row>
    <row r="71" spans="1:9" customFormat="1" ht="16.5" thickBot="1" x14ac:dyDescent="0.35">
      <c r="A71" s="53" t="str">
        <f>+A56</f>
        <v>Encuadernación</v>
      </c>
      <c r="B71" s="54">
        <f>+B56*H62</f>
        <v>3190</v>
      </c>
      <c r="C71" s="66"/>
      <c r="D71" s="1"/>
      <c r="E71" s="1"/>
      <c r="F71" s="1"/>
      <c r="G71" s="67" t="s">
        <v>75</v>
      </c>
      <c r="H71" s="68">
        <f>+H70-H69</f>
        <v>27.895402499999989</v>
      </c>
      <c r="I71" s="83">
        <f>+H71*B48</f>
        <v>2789.5402499999991</v>
      </c>
    </row>
    <row r="72" spans="1:9" customFormat="1" ht="16.5" thickBot="1" x14ac:dyDescent="0.35">
      <c r="A72" s="53"/>
      <c r="B72" s="54"/>
      <c r="C72" s="66"/>
      <c r="D72" s="1"/>
      <c r="E72" s="1"/>
      <c r="F72" s="1"/>
      <c r="G72" s="69" t="s">
        <v>76</v>
      </c>
      <c r="H72" s="43"/>
      <c r="I72" s="1"/>
    </row>
    <row r="73" spans="1:9" x14ac:dyDescent="0.3">
      <c r="A73" s="52" t="s">
        <v>57</v>
      </c>
      <c r="B73" s="57">
        <f>SUM(B65:B72)</f>
        <v>9225.9352499999986</v>
      </c>
      <c r="C73" s="68">
        <f>+B73/B48</f>
        <v>92.259352499999991</v>
      </c>
      <c r="D73" s="5" t="s">
        <v>129</v>
      </c>
    </row>
    <row r="74" spans="1:9" x14ac:dyDescent="0.3">
      <c r="C74" s="78"/>
      <c r="D74" s="5"/>
    </row>
    <row r="75" spans="1:9" x14ac:dyDescent="0.3">
      <c r="C75" s="78"/>
      <c r="D75" s="5"/>
    </row>
    <row r="76" spans="1:9" x14ac:dyDescent="0.3">
      <c r="A76" s="5"/>
      <c r="C76" s="65"/>
      <c r="D76" s="5"/>
    </row>
    <row r="77" spans="1:9" x14ac:dyDescent="0.3">
      <c r="B77" s="70"/>
      <c r="C77" s="71"/>
    </row>
    <row r="81" spans="10:18" x14ac:dyDescent="0.3">
      <c r="J81" s="72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B29" zoomScale="80" zoomScaleNormal="80" workbookViewId="0">
      <selection activeCell="J47" sqref="J4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03 de noviembre de 2016.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9" t="s">
        <v>138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139</v>
      </c>
      <c r="D16" s="18"/>
      <c r="E16" s="18"/>
      <c r="F16" s="46">
        <f>+F20</f>
        <v>34</v>
      </c>
      <c r="G16" s="74" t="s">
        <v>82</v>
      </c>
      <c r="H16" s="75">
        <f>+H20</f>
        <v>41.5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154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149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7" t="s">
        <v>155</v>
      </c>
      <c r="D20" s="18"/>
      <c r="E20" s="18"/>
      <c r="F20" s="46">
        <v>34</v>
      </c>
      <c r="G20" s="74" t="s">
        <v>82</v>
      </c>
      <c r="H20" s="75">
        <v>41.5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150</v>
      </c>
      <c r="D21" s="18"/>
      <c r="E21" s="18"/>
      <c r="F21" s="73">
        <v>1</v>
      </c>
      <c r="G21" s="76" t="s">
        <v>83</v>
      </c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 t="s">
        <v>140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13</v>
      </c>
      <c r="C23" s="81" t="s">
        <v>151</v>
      </c>
      <c r="D23" s="5" t="s">
        <v>14</v>
      </c>
      <c r="E23" s="22" t="s">
        <v>152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15</v>
      </c>
      <c r="C25" s="23">
        <v>57</v>
      </c>
      <c r="D25" s="22" t="s">
        <v>16</v>
      </c>
      <c r="E25" s="24"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17</v>
      </c>
      <c r="B26" s="3"/>
      <c r="C26" s="27">
        <f>+F16</f>
        <v>34</v>
      </c>
      <c r="D26" s="28" t="s">
        <v>16</v>
      </c>
      <c r="E26" s="27">
        <f>+H16</f>
        <v>41.5</v>
      </c>
      <c r="F26" s="29">
        <f>+E26</f>
        <v>41.5</v>
      </c>
      <c r="G26" s="29" t="s">
        <v>16</v>
      </c>
      <c r="H26" s="29">
        <f>+C26</f>
        <v>34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18</v>
      </c>
      <c r="B27" s="31"/>
      <c r="C27" s="32">
        <f>+C25/C26</f>
        <v>1.6764705882352942</v>
      </c>
      <c r="D27" s="33"/>
      <c r="E27" s="32">
        <f>+E25/E26</f>
        <v>2.0963855421686746</v>
      </c>
      <c r="F27" s="32">
        <f>+F25/F26</f>
        <v>1.3734939759036144</v>
      </c>
      <c r="G27" s="33"/>
      <c r="H27" s="32">
        <f>+H25/H26</f>
        <v>2.5588235294117645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21</v>
      </c>
      <c r="B30" s="25" t="s">
        <v>89</v>
      </c>
      <c r="D30" s="41" t="s">
        <v>22</v>
      </c>
      <c r="E30" s="42">
        <v>2.8490000000000002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24</v>
      </c>
      <c r="E31" s="42">
        <f>+H30*E30</f>
        <v>1.4245000000000001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25</v>
      </c>
      <c r="E32" s="45">
        <f>+E30-E31</f>
        <v>1.4245000000000001</v>
      </c>
      <c r="I32" s="30"/>
      <c r="J32"/>
      <c r="K32"/>
      <c r="L32"/>
      <c r="M32"/>
      <c r="N32"/>
      <c r="O32"/>
      <c r="P32"/>
      <c r="Q32"/>
      <c r="R32"/>
    </row>
    <row r="33" spans="1:18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8" ht="15.75" x14ac:dyDescent="0.3">
      <c r="D34" s="41" t="s">
        <v>29</v>
      </c>
      <c r="E34" s="47">
        <f>+E32</f>
        <v>1.4245000000000001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1" t="s">
        <v>30</v>
      </c>
      <c r="E35" s="47">
        <f>+E34*1.15</f>
        <v>1.6381749999999999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38</v>
      </c>
      <c r="B40" s="5"/>
      <c r="C40" s="50">
        <f>+B48/F17</f>
        <v>100</v>
      </c>
      <c r="D40" s="24">
        <v>400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40</v>
      </c>
      <c r="C41" s="34">
        <f>+C40+D40</f>
        <v>500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42</v>
      </c>
      <c r="C42" s="34">
        <f>+C41/C38</f>
        <v>250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92</v>
      </c>
      <c r="C43" s="21">
        <f>+(C42*C38)*F17</f>
        <v>500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1"/>
      <c r="F44" s="44" t="s">
        <v>45</v>
      </c>
      <c r="G44" s="48">
        <f>+C41</f>
        <v>500</v>
      </c>
      <c r="H44" s="3"/>
      <c r="J44"/>
      <c r="K44"/>
      <c r="L44"/>
      <c r="M44"/>
      <c r="N44"/>
      <c r="O44"/>
      <c r="P44"/>
      <c r="Q44"/>
      <c r="R44"/>
    </row>
    <row r="45" spans="1:18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</row>
    <row r="46" spans="1:18" ht="15.75" x14ac:dyDescent="0.3">
      <c r="A46" s="4" t="s">
        <v>46</v>
      </c>
      <c r="C46" s="25">
        <f>+C42*C38</f>
        <v>500</v>
      </c>
      <c r="F46" s="44"/>
      <c r="G46" s="30"/>
      <c r="H46" s="3"/>
      <c r="J46"/>
      <c r="K46"/>
      <c r="L46"/>
      <c r="M46"/>
      <c r="N46"/>
      <c r="O46"/>
      <c r="P46"/>
      <c r="Q46"/>
      <c r="R46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165</v>
      </c>
    </row>
    <row r="48" spans="1:18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 s="100" t="s">
        <v>103</v>
      </c>
      <c r="K48" s="101"/>
      <c r="L48" s="101"/>
      <c r="M48" s="101"/>
      <c r="N48" s="101"/>
      <c r="O48" s="101"/>
      <c r="P48" s="102"/>
      <c r="Q48"/>
      <c r="R48"/>
    </row>
    <row r="49" spans="1:22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v>295</v>
      </c>
      <c r="H49" s="30">
        <f>+(D49*E49)*G49</f>
        <v>1180</v>
      </c>
      <c r="J49" s="46">
        <f>+F16</f>
        <v>34</v>
      </c>
      <c r="K49" s="74">
        <f>+H16</f>
        <v>41.5</v>
      </c>
      <c r="L49" s="7" t="s">
        <v>102</v>
      </c>
      <c r="M49" s="74" t="s">
        <v>104</v>
      </c>
      <c r="N49" s="7" t="s">
        <v>105</v>
      </c>
      <c r="O49" s="93" t="s">
        <v>125</v>
      </c>
      <c r="P49" s="99">
        <v>500</v>
      </c>
      <c r="Q49"/>
      <c r="R49"/>
    </row>
    <row r="50" spans="1:22" ht="15.75" x14ac:dyDescent="0.3">
      <c r="A50" s="53" t="s">
        <v>54</v>
      </c>
      <c r="B50" s="54">
        <f>+E34*C42</f>
        <v>356.125</v>
      </c>
      <c r="C50" s="3"/>
      <c r="D50" s="21">
        <v>4</v>
      </c>
      <c r="E50" s="21">
        <v>1</v>
      </c>
      <c r="F50" s="21" t="s">
        <v>78</v>
      </c>
      <c r="G50" s="30">
        <v>140</v>
      </c>
      <c r="H50" s="30">
        <f>+(D50*E50)*G50</f>
        <v>560</v>
      </c>
      <c r="J50" s="46">
        <f>0.352*0.353*C41</f>
        <v>62.127999999999993</v>
      </c>
      <c r="K50" s="79">
        <v>3.9</v>
      </c>
      <c r="L50" s="79">
        <f>+J50*K50</f>
        <v>242.29919999999996</v>
      </c>
      <c r="M50" s="79">
        <v>0</v>
      </c>
      <c r="N50" s="79">
        <f>+L50+M50</f>
        <v>242.29919999999996</v>
      </c>
      <c r="O50" s="76" t="s">
        <v>106</v>
      </c>
      <c r="P50" s="8"/>
      <c r="Q50"/>
      <c r="R50"/>
    </row>
    <row r="51" spans="1:22" ht="15.75" x14ac:dyDescent="0.3">
      <c r="A51" s="53" t="s">
        <v>12</v>
      </c>
      <c r="B51" s="54">
        <f>+H61</f>
        <v>3325.4349999999999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 s="6"/>
      <c r="K51" s="79"/>
      <c r="L51" s="79"/>
      <c r="M51" s="79"/>
      <c r="N51" s="79"/>
      <c r="O51" s="7"/>
      <c r="P51" s="8"/>
      <c r="Q51"/>
      <c r="R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9" si="0">+G52*E52</f>
        <v>400</v>
      </c>
      <c r="I52" s="30">
        <f>+(B73/100)*2</f>
        <v>125.953925</v>
      </c>
      <c r="J52" s="46">
        <f>+J49</f>
        <v>34</v>
      </c>
      <c r="K52" s="74">
        <f>+K49</f>
        <v>41.5</v>
      </c>
      <c r="L52" s="7" t="s">
        <v>102</v>
      </c>
      <c r="M52" s="74" t="s">
        <v>104</v>
      </c>
      <c r="N52" s="7" t="s">
        <v>105</v>
      </c>
      <c r="O52" s="7" t="s">
        <v>107</v>
      </c>
      <c r="P52" s="8"/>
      <c r="Q52"/>
      <c r="R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110</v>
      </c>
      <c r="G53" s="30">
        <f>+N53</f>
        <v>1185.4349999999999</v>
      </c>
      <c r="H53" s="30">
        <f t="shared" si="0"/>
        <v>1185.4349999999999</v>
      </c>
      <c r="I53" s="55"/>
      <c r="J53" s="46">
        <f>0.34*0.415*C41</f>
        <v>70.55</v>
      </c>
      <c r="K53" s="79">
        <f>3.9*3</f>
        <v>11.7</v>
      </c>
      <c r="L53" s="79">
        <f>+J53*K53</f>
        <v>825.43499999999995</v>
      </c>
      <c r="M53" s="79">
        <v>360</v>
      </c>
      <c r="N53" s="79">
        <f>+L53+M53</f>
        <v>1185.4349999999999</v>
      </c>
      <c r="O53" s="76" t="s">
        <v>108</v>
      </c>
      <c r="P53" s="8"/>
      <c r="Q53"/>
      <c r="R53"/>
    </row>
    <row r="54" spans="1:22" ht="15.75" x14ac:dyDescent="0.3">
      <c r="A54" s="56" t="s">
        <v>156</v>
      </c>
      <c r="B54" s="54">
        <v>600</v>
      </c>
      <c r="C54" s="3"/>
      <c r="D54" s="21">
        <v>0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J54" s="6"/>
      <c r="K54" s="7"/>
      <c r="L54" s="79"/>
      <c r="M54" s="79"/>
      <c r="N54" s="79"/>
      <c r="O54" s="79"/>
      <c r="P54" s="8"/>
      <c r="Q54"/>
      <c r="R54"/>
    </row>
    <row r="55" spans="1:22" ht="16.5" thickBot="1" x14ac:dyDescent="0.35">
      <c r="A55" s="56" t="s">
        <v>99</v>
      </c>
      <c r="B55" s="54">
        <v>0</v>
      </c>
      <c r="D55" s="21">
        <v>0</v>
      </c>
      <c r="E55" s="21">
        <v>0</v>
      </c>
      <c r="F55" s="21" t="s">
        <v>97</v>
      </c>
      <c r="G55" s="30">
        <v>120</v>
      </c>
      <c r="H55" s="30">
        <f>+G55*E55</f>
        <v>0</v>
      </c>
      <c r="J55" s="14"/>
      <c r="K55" s="15"/>
      <c r="L55" s="15"/>
      <c r="M55" s="15"/>
      <c r="N55" s="15"/>
      <c r="O55" s="15"/>
      <c r="P55" s="16"/>
      <c r="Q55"/>
      <c r="R55"/>
    </row>
    <row r="56" spans="1:22" ht="15.75" x14ac:dyDescent="0.3">
      <c r="A56" s="56" t="s">
        <v>98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Q56"/>
      <c r="R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4281.5599999999995</v>
      </c>
      <c r="C58" s="3"/>
      <c r="D58" s="21">
        <v>0</v>
      </c>
      <c r="E58" s="21">
        <v>0</v>
      </c>
      <c r="F58" s="3" t="s">
        <v>58</v>
      </c>
      <c r="G58" s="30">
        <f>+P49</f>
        <v>500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42.815599999999996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3325.4349999999999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+B73/C40</f>
        <v>62.976962499999999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409.54374999999999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4988.1525000000001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900</v>
      </c>
      <c r="C69" s="63"/>
      <c r="G69" s="64" t="s">
        <v>72</v>
      </c>
      <c r="H69" s="32">
        <f>+B60</f>
        <v>42.815599999999996</v>
      </c>
      <c r="I69" s="65">
        <f>+H69*B48</f>
        <v>4281.5599999999995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G70" s="64" t="s">
        <v>74</v>
      </c>
      <c r="H70" s="32">
        <f>+C73</f>
        <v>62.976962499999999</v>
      </c>
      <c r="I70" s="65">
        <f>+H70*B48</f>
        <v>6297.69625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 t="str">
        <f>+A56</f>
        <v>Encuadernación</v>
      </c>
      <c r="B71" s="54">
        <f>+B56*H62</f>
        <v>0</v>
      </c>
      <c r="C71" s="66"/>
      <c r="G71" s="67" t="s">
        <v>75</v>
      </c>
      <c r="H71" s="68">
        <f>+H70-H69</f>
        <v>20.161362500000003</v>
      </c>
      <c r="I71" s="83">
        <f>+H71*B48</f>
        <v>2016.1362500000002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3"/>
      <c r="B72" s="54"/>
      <c r="C72" s="66"/>
      <c r="G72" s="69" t="s">
        <v>76</v>
      </c>
      <c r="H72" s="43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57</v>
      </c>
      <c r="B73" s="57">
        <f>SUM(B65:B72)</f>
        <v>6297.69625</v>
      </c>
      <c r="C73" s="68">
        <f>+B73/B48</f>
        <v>62.976962499999999</v>
      </c>
      <c r="D73" s="5" t="s">
        <v>158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8"/>
      <c r="D74" s="5"/>
    </row>
    <row r="75" spans="1:22" x14ac:dyDescent="0.3">
      <c r="C75" s="78"/>
      <c r="D75" s="5"/>
    </row>
    <row r="76" spans="1:22" x14ac:dyDescent="0.3">
      <c r="A76" s="5"/>
      <c r="C76" s="65"/>
      <c r="D76" s="5"/>
    </row>
    <row r="77" spans="1:22" x14ac:dyDescent="0.3">
      <c r="B77" s="70"/>
      <c r="C77" s="71"/>
    </row>
    <row r="81" spans="10:18" x14ac:dyDescent="0.3">
      <c r="J81" s="72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mergeCells count="1">
    <mergeCell ref="J48:P48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zoomScale="80" zoomScaleNormal="80" workbookViewId="0"/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24.42578125" style="1" customWidth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6.5" thickBot="1" x14ac:dyDescent="0.35">
      <c r="A5" s="5"/>
      <c r="J5"/>
      <c r="K5"/>
      <c r="L5"/>
      <c r="M5"/>
      <c r="N5"/>
      <c r="O5"/>
      <c r="P5"/>
      <c r="Q5"/>
      <c r="R5"/>
    </row>
    <row r="6" spans="1:21" ht="19.5" thickBot="1" x14ac:dyDescent="0.35">
      <c r="A6" s="2" t="s">
        <v>2</v>
      </c>
      <c r="E6" s="5" t="s">
        <v>3</v>
      </c>
      <c r="F6" s="1" t="s">
        <v>4</v>
      </c>
      <c r="J6"/>
      <c r="K6" s="103"/>
      <c r="L6" s="104" t="s">
        <v>160</v>
      </c>
      <c r="M6" s="104" t="s">
        <v>161</v>
      </c>
      <c r="N6" s="104" t="s">
        <v>162</v>
      </c>
      <c r="O6" s="105" t="s">
        <v>163</v>
      </c>
      <c r="P6"/>
      <c r="Q6"/>
      <c r="R6"/>
    </row>
    <row r="7" spans="1:21" ht="15.75" x14ac:dyDescent="0.3">
      <c r="J7"/>
      <c r="K7" s="106" t="str">
        <f>+D80</f>
        <v>cartón caja</v>
      </c>
      <c r="L7" s="107" t="str">
        <f>+'cartón caja'!C23</f>
        <v>Cartón Gris #5</v>
      </c>
      <c r="M7" s="108">
        <f>+'cartón caja'!E34</f>
        <v>44.332000000000001</v>
      </c>
      <c r="N7" s="109">
        <f>+'cartón caja'!C42</f>
        <v>23.333333333333332</v>
      </c>
      <c r="O7" s="110">
        <f>+N7*M7</f>
        <v>1034.4133333333332</v>
      </c>
      <c r="P7"/>
      <c r="Q7"/>
      <c r="R7"/>
    </row>
    <row r="8" spans="1:21" ht="15.75" x14ac:dyDescent="0.3">
      <c r="J8"/>
      <c r="K8" s="111" t="str">
        <f>+D79</f>
        <v>cartón cartera</v>
      </c>
      <c r="L8" s="112" t="str">
        <f>+L7</f>
        <v>Cartón Gris #5</v>
      </c>
      <c r="M8" s="113">
        <f>+M7</f>
        <v>44.332000000000001</v>
      </c>
      <c r="N8" s="114">
        <f>+'cartón cartera'!C42</f>
        <v>23.333333333333332</v>
      </c>
      <c r="O8" s="115">
        <f>+M8*N8</f>
        <v>1034.4133333333332</v>
      </c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03 de noviembre de 2016.</v>
      </c>
      <c r="H9" s="5" t="s">
        <v>7</v>
      </c>
      <c r="J9"/>
      <c r="K9" s="111" t="str">
        <f>+D78</f>
        <v>espuma suajada</v>
      </c>
      <c r="L9" s="112" t="s">
        <v>166</v>
      </c>
      <c r="M9" s="113">
        <f>+'espuma suajada'!E34</f>
        <v>300</v>
      </c>
      <c r="N9" s="114">
        <f>+'espuma suajada'!C42</f>
        <v>12.5</v>
      </c>
      <c r="O9" s="115">
        <f t="shared" ref="O9:O11" si="0">+M9*N9</f>
        <v>3750</v>
      </c>
      <c r="P9"/>
      <c r="Q9"/>
      <c r="R9"/>
      <c r="S9" s="1"/>
      <c r="T9" s="1"/>
      <c r="U9" s="1"/>
    </row>
    <row r="10" spans="1:21" ht="15.75" x14ac:dyDescent="0.3">
      <c r="J10"/>
      <c r="K10" s="111" t="str">
        <f>+D77</f>
        <v>forro caja INT</v>
      </c>
      <c r="L10" s="112" t="str">
        <f>+CONCATENATE(C23, E23, F23)</f>
        <v>Couche Blanco150 gr.</v>
      </c>
      <c r="M10" s="113">
        <f>+'forro caja INT'!E34</f>
        <v>1.4245000000000001</v>
      </c>
      <c r="N10" s="114">
        <f>+'forro caja INT'!C42</f>
        <v>100</v>
      </c>
      <c r="O10" s="115">
        <f t="shared" si="0"/>
        <v>142.45000000000002</v>
      </c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 s="111" t="str">
        <f>+D76</f>
        <v>forro caja EXT</v>
      </c>
      <c r="L11" s="112" t="str">
        <f>+L10</f>
        <v>Couche Blanco150 gr.</v>
      </c>
      <c r="M11" s="113">
        <f>+'forro caja EXT'!E34</f>
        <v>1.4245000000000001</v>
      </c>
      <c r="N11" s="114">
        <f>+'forro caja EXT'!C42</f>
        <v>250</v>
      </c>
      <c r="O11" s="115">
        <f t="shared" si="0"/>
        <v>356.125</v>
      </c>
      <c r="P11"/>
      <c r="Q11"/>
      <c r="R11"/>
    </row>
    <row r="12" spans="1:21" ht="15.75" x14ac:dyDescent="0.3">
      <c r="A12" s="5"/>
      <c r="F12" s="11"/>
      <c r="G12" s="12"/>
      <c r="H12" s="13"/>
      <c r="J12"/>
      <c r="K12" s="111" t="str">
        <f>+D75</f>
        <v>forro cartera guarda</v>
      </c>
      <c r="L12" s="112" t="str">
        <f>+L11</f>
        <v>Couche Blanco150 gr.</v>
      </c>
      <c r="M12" s="113">
        <f>+'forro cartera guarda '!E34</f>
        <v>1.4245000000000001</v>
      </c>
      <c r="N12" s="114">
        <f>+'forro caja EXT'!C42</f>
        <v>250</v>
      </c>
      <c r="O12" s="115">
        <f>+M12*N12</f>
        <v>356.125</v>
      </c>
      <c r="P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K13" s="124" t="str">
        <f>+D74</f>
        <v>forro cartera</v>
      </c>
      <c r="L13" s="112" t="str">
        <f>+L12</f>
        <v>Couche Blanco150 gr.</v>
      </c>
      <c r="M13" s="113">
        <f>+E34</f>
        <v>1.4245000000000001</v>
      </c>
      <c r="N13" s="114">
        <f>+C42</f>
        <v>300</v>
      </c>
      <c r="O13" s="115">
        <f>+M13*N13</f>
        <v>427.35</v>
      </c>
      <c r="P13"/>
      <c r="Q13"/>
      <c r="R13"/>
    </row>
    <row r="14" spans="1:21" ht="15.75" x14ac:dyDescent="0.3">
      <c r="A14" s="5"/>
      <c r="F14" s="6"/>
      <c r="G14" s="7"/>
      <c r="H14" s="8"/>
      <c r="J14"/>
      <c r="K14" s="111" t="s">
        <v>168</v>
      </c>
      <c r="L14" s="116"/>
      <c r="M14" s="113">
        <v>6</v>
      </c>
      <c r="N14" s="114">
        <v>110</v>
      </c>
      <c r="O14" s="115">
        <f>+M14*N14</f>
        <v>660</v>
      </c>
      <c r="P14"/>
      <c r="Q14"/>
      <c r="R14"/>
    </row>
    <row r="15" spans="1:21" ht="15.75" x14ac:dyDescent="0.3">
      <c r="A15" s="5" t="s">
        <v>11</v>
      </c>
      <c r="C15" s="19" t="s">
        <v>138</v>
      </c>
      <c r="D15" s="18"/>
      <c r="E15" s="18"/>
      <c r="F15" s="73" t="s">
        <v>5</v>
      </c>
      <c r="G15" s="7"/>
      <c r="H15" s="8"/>
      <c r="J15"/>
      <c r="K15" s="111" t="s">
        <v>171</v>
      </c>
      <c r="L15" s="112"/>
      <c r="M15" s="113">
        <f>+'forro caja EXT'!B53+'forro cartera'!B52</f>
        <v>1500</v>
      </c>
      <c r="N15" s="114">
        <v>1</v>
      </c>
      <c r="O15" s="115">
        <f>+M15*N15</f>
        <v>1500</v>
      </c>
      <c r="P15"/>
      <c r="Q15"/>
      <c r="R15"/>
    </row>
    <row r="16" spans="1:21" ht="16.5" thickBot="1" x14ac:dyDescent="0.35">
      <c r="C16" s="17" t="s">
        <v>139</v>
      </c>
      <c r="D16" s="18"/>
      <c r="E16" s="18"/>
      <c r="F16" s="46">
        <f>2+F20+2</f>
        <v>43</v>
      </c>
      <c r="G16" s="74" t="s">
        <v>82</v>
      </c>
      <c r="H16" s="75">
        <f>2+H20+2</f>
        <v>50.5</v>
      </c>
      <c r="J16"/>
      <c r="K16" s="117"/>
      <c r="L16" s="118"/>
      <c r="M16" s="118"/>
      <c r="N16" s="119"/>
      <c r="O16" s="120"/>
      <c r="P16"/>
      <c r="Q16"/>
      <c r="R16"/>
    </row>
    <row r="17" spans="1:18" ht="16.5" thickBot="1" x14ac:dyDescent="0.35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 s="121" t="s">
        <v>163</v>
      </c>
      <c r="O17" s="122">
        <f>SUM(O7:O16)</f>
        <v>9260.876666666667</v>
      </c>
      <c r="P17"/>
      <c r="Q17"/>
      <c r="R17"/>
    </row>
    <row r="18" spans="1:18" ht="15.75" x14ac:dyDescent="0.3">
      <c r="C18" s="17" t="s">
        <v>154</v>
      </c>
      <c r="D18" s="18"/>
      <c r="E18" s="18"/>
      <c r="F18" s="6"/>
      <c r="G18" s="7"/>
      <c r="H18" s="8"/>
      <c r="J18"/>
      <c r="P18"/>
      <c r="Q18"/>
      <c r="R18"/>
    </row>
    <row r="19" spans="1:18" ht="15.75" x14ac:dyDescent="0.3">
      <c r="C19" s="19" t="s">
        <v>157</v>
      </c>
      <c r="D19" s="18"/>
      <c r="E19" s="18"/>
      <c r="F19" s="6"/>
      <c r="G19" s="7"/>
      <c r="H19" s="8"/>
      <c r="J19"/>
      <c r="P19"/>
      <c r="Q19"/>
      <c r="R19"/>
    </row>
    <row r="20" spans="1:18" ht="15.75" x14ac:dyDescent="0.3">
      <c r="C20" s="17" t="s">
        <v>155</v>
      </c>
      <c r="D20" s="18"/>
      <c r="E20" s="18"/>
      <c r="F20" s="46">
        <v>39</v>
      </c>
      <c r="G20" s="74" t="s">
        <v>82</v>
      </c>
      <c r="H20" s="75">
        <v>46.5</v>
      </c>
      <c r="J20"/>
      <c r="P20"/>
      <c r="Q20"/>
      <c r="R20"/>
    </row>
    <row r="21" spans="1:18" ht="15.75" x14ac:dyDescent="0.3">
      <c r="C21" s="18" t="s">
        <v>150</v>
      </c>
      <c r="D21" s="18"/>
      <c r="E21" s="18"/>
      <c r="F21" s="6"/>
      <c r="G21" s="7"/>
      <c r="H21" s="8"/>
      <c r="J21"/>
      <c r="P21"/>
      <c r="Q21"/>
      <c r="R21"/>
    </row>
    <row r="22" spans="1:18" ht="16.5" thickBot="1" x14ac:dyDescent="0.35">
      <c r="C22" s="18" t="s">
        <v>140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13</v>
      </c>
      <c r="C23" s="81" t="s">
        <v>151</v>
      </c>
      <c r="D23" s="5" t="s">
        <v>14</v>
      </c>
      <c r="E23" s="22" t="s">
        <v>152</v>
      </c>
      <c r="F23" s="1" t="s">
        <v>153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15</v>
      </c>
      <c r="C25" s="23">
        <v>57</v>
      </c>
      <c r="D25" s="22" t="s">
        <v>16</v>
      </c>
      <c r="E25" s="24"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17</v>
      </c>
      <c r="B26" s="3"/>
      <c r="C26" s="27">
        <f>+F16</f>
        <v>43</v>
      </c>
      <c r="D26" s="28" t="s">
        <v>16</v>
      </c>
      <c r="E26" s="27">
        <f>+H16</f>
        <v>50.5</v>
      </c>
      <c r="F26" s="29">
        <f>+E26</f>
        <v>50.5</v>
      </c>
      <c r="G26" s="29" t="s">
        <v>16</v>
      </c>
      <c r="H26" s="29">
        <f>+C26</f>
        <v>43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18</v>
      </c>
      <c r="B27" s="31"/>
      <c r="C27" s="32">
        <f>+C25/C26</f>
        <v>1.3255813953488371</v>
      </c>
      <c r="D27" s="33"/>
      <c r="E27" s="32">
        <f>+E25/E26</f>
        <v>1.7227722772277227</v>
      </c>
      <c r="F27" s="32">
        <f>+F25/F26</f>
        <v>1.1287128712871286</v>
      </c>
      <c r="G27" s="33"/>
      <c r="H27" s="32">
        <f>+H25/H26</f>
        <v>2.0232558139534884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21</v>
      </c>
      <c r="B30" s="25" t="s">
        <v>89</v>
      </c>
      <c r="D30" s="41" t="s">
        <v>22</v>
      </c>
      <c r="E30" s="42">
        <v>2.8490000000000002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24</v>
      </c>
      <c r="E31" s="42">
        <f>+H30*E30</f>
        <v>1.4245000000000001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25</v>
      </c>
      <c r="E32" s="45">
        <f>+E30-E31</f>
        <v>1.4245000000000001</v>
      </c>
      <c r="I32" s="30"/>
      <c r="J32"/>
      <c r="K32"/>
      <c r="L32"/>
      <c r="M32"/>
      <c r="N32"/>
      <c r="O32"/>
      <c r="P32"/>
      <c r="Q32"/>
      <c r="R32"/>
    </row>
    <row r="33" spans="1:18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8" ht="15.75" x14ac:dyDescent="0.3">
      <c r="D34" s="41" t="s">
        <v>29</v>
      </c>
      <c r="E34" s="47">
        <f>+E32</f>
        <v>1.4245000000000001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1" t="s">
        <v>30</v>
      </c>
      <c r="E35" s="47">
        <f>+E34*1.15</f>
        <v>1.6381749999999999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38</v>
      </c>
      <c r="B40" s="5"/>
      <c r="C40" s="50">
        <f>+B48/F17</f>
        <v>100</v>
      </c>
      <c r="D40" s="24">
        <v>500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40</v>
      </c>
      <c r="C41" s="34">
        <f>+C40+D40</f>
        <v>600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42</v>
      </c>
      <c r="C42" s="34">
        <f>+C41/C38</f>
        <v>300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92</v>
      </c>
      <c r="C43" s="21">
        <f>+(C42*C38)*F17</f>
        <v>600</v>
      </c>
      <c r="F43" s="41" t="s">
        <v>44</v>
      </c>
      <c r="G43" s="23">
        <f>+C40/100</f>
        <v>1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1"/>
      <c r="F44" s="44" t="s">
        <v>45</v>
      </c>
      <c r="G44" s="48">
        <f>+C41</f>
        <v>600</v>
      </c>
      <c r="H44" s="3"/>
      <c r="J44"/>
      <c r="K44"/>
      <c r="L44"/>
      <c r="M44"/>
      <c r="N44"/>
      <c r="O44"/>
      <c r="P44"/>
      <c r="Q44"/>
      <c r="R44"/>
    </row>
    <row r="45" spans="1:18" x14ac:dyDescent="0.3">
      <c r="A45" s="4"/>
      <c r="C45" s="21"/>
      <c r="E45" s="44"/>
      <c r="F45" s="44"/>
      <c r="G45" s="30"/>
      <c r="I45" s="3"/>
      <c r="M45" s="7"/>
      <c r="N45" s="10"/>
      <c r="O45" s="74"/>
      <c r="P45" s="74"/>
      <c r="Q45" s="7"/>
      <c r="R45" s="7"/>
    </row>
    <row r="46" spans="1:18" x14ac:dyDescent="0.3">
      <c r="A46" s="4" t="s">
        <v>46</v>
      </c>
      <c r="C46" s="25">
        <f>+C42*C38</f>
        <v>600</v>
      </c>
      <c r="F46" s="44"/>
      <c r="G46" s="30"/>
      <c r="H46" s="3"/>
      <c r="M46" s="7"/>
      <c r="N46" s="10"/>
      <c r="O46" s="74"/>
      <c r="P46" s="74"/>
      <c r="Q46" s="7"/>
      <c r="R46" s="7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165</v>
      </c>
    </row>
    <row r="48" spans="1:18" ht="15.75" x14ac:dyDescent="0.3">
      <c r="A48" s="4" t="s">
        <v>77</v>
      </c>
      <c r="B48" s="21">
        <f>+'cartón caja'!B48</f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 s="11" t="s">
        <v>103</v>
      </c>
      <c r="K48" s="12"/>
      <c r="L48" s="12"/>
      <c r="M48" s="12"/>
      <c r="N48" s="12"/>
      <c r="O48" s="12"/>
      <c r="P48" s="13"/>
      <c r="Q48"/>
      <c r="R48"/>
    </row>
    <row r="49" spans="1:21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111</v>
      </c>
      <c r="G49" s="30">
        <v>295</v>
      </c>
      <c r="H49" s="30">
        <f>+(D49*E49)*G49</f>
        <v>1180</v>
      </c>
      <c r="J49" s="46">
        <f>+F16</f>
        <v>43</v>
      </c>
      <c r="K49" s="74">
        <f>+H16</f>
        <v>50.5</v>
      </c>
      <c r="L49" s="7" t="s">
        <v>102</v>
      </c>
      <c r="M49" s="74" t="s">
        <v>104</v>
      </c>
      <c r="N49" s="7" t="s">
        <v>105</v>
      </c>
      <c r="O49" s="93" t="s">
        <v>125</v>
      </c>
      <c r="P49" s="99">
        <v>500</v>
      </c>
      <c r="Q49"/>
      <c r="R49"/>
    </row>
    <row r="50" spans="1:21" ht="15.75" x14ac:dyDescent="0.3">
      <c r="A50" s="53" t="s">
        <v>54</v>
      </c>
      <c r="B50" s="54">
        <f>+E34*C42</f>
        <v>427.35</v>
      </c>
      <c r="C50" s="3"/>
      <c r="D50" s="21">
        <v>4</v>
      </c>
      <c r="E50" s="21">
        <v>1</v>
      </c>
      <c r="F50" s="21" t="s">
        <v>78</v>
      </c>
      <c r="G50" s="30">
        <v>140</v>
      </c>
      <c r="H50" s="30">
        <f>+(D50*E50)*G50</f>
        <v>560</v>
      </c>
      <c r="J50" s="46">
        <f>0.442*0.438*C41</f>
        <v>116.15759999999999</v>
      </c>
      <c r="K50" s="79">
        <v>3.9</v>
      </c>
      <c r="L50" s="79">
        <f>+J50*K50</f>
        <v>453.01463999999993</v>
      </c>
      <c r="M50" s="79">
        <v>0</v>
      </c>
      <c r="N50" s="79">
        <f>+L50+M50</f>
        <v>453.01463999999993</v>
      </c>
      <c r="O50" s="76" t="s">
        <v>106</v>
      </c>
      <c r="P50" s="8"/>
      <c r="Q50"/>
      <c r="R50"/>
    </row>
    <row r="51" spans="1:21" ht="15.75" x14ac:dyDescent="0.3">
      <c r="A51" s="53" t="s">
        <v>12</v>
      </c>
      <c r="B51" s="54">
        <f>+H61</f>
        <v>3105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 s="6"/>
      <c r="K51" s="79"/>
      <c r="L51" s="79"/>
      <c r="M51" s="79"/>
      <c r="N51" s="79"/>
      <c r="O51" s="7"/>
      <c r="P51" s="8"/>
      <c r="Q51"/>
      <c r="R51"/>
    </row>
    <row r="52" spans="1:21" ht="15.75" x14ac:dyDescent="0.3">
      <c r="A52" s="53" t="s">
        <v>131</v>
      </c>
      <c r="B52" s="54">
        <f>400+400</f>
        <v>800</v>
      </c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4" si="1">+G52*E52</f>
        <v>400</v>
      </c>
      <c r="I52" s="30">
        <f>+(B74/100)*2</f>
        <v>260.77904999999998</v>
      </c>
      <c r="J52" s="46">
        <f>+J49</f>
        <v>43</v>
      </c>
      <c r="K52" s="74">
        <f>+K49</f>
        <v>50.5</v>
      </c>
      <c r="L52" s="7" t="s">
        <v>102</v>
      </c>
      <c r="M52" s="74" t="s">
        <v>104</v>
      </c>
      <c r="N52" s="7" t="s">
        <v>105</v>
      </c>
      <c r="O52" s="7" t="s">
        <v>107</v>
      </c>
      <c r="P52" s="8"/>
      <c r="Q52"/>
      <c r="R52"/>
    </row>
    <row r="53" spans="1:21" ht="16.5" x14ac:dyDescent="0.3">
      <c r="A53" s="56" t="s">
        <v>99</v>
      </c>
      <c r="B53" s="54">
        <f>(6*B48)*1.1</f>
        <v>660</v>
      </c>
      <c r="C53" s="3"/>
      <c r="D53" s="21">
        <v>1</v>
      </c>
      <c r="E53" s="21">
        <v>1</v>
      </c>
      <c r="F53" s="21" t="s">
        <v>79</v>
      </c>
      <c r="G53" s="30">
        <v>135</v>
      </c>
      <c r="H53" s="30">
        <f t="shared" si="1"/>
        <v>135</v>
      </c>
      <c r="I53" s="55"/>
      <c r="J53" s="46">
        <f>0.65*0.36*C41</f>
        <v>140.39999999999998</v>
      </c>
      <c r="K53" s="79">
        <v>2.5</v>
      </c>
      <c r="L53" s="79">
        <f>+J53*K53</f>
        <v>350.99999999999994</v>
      </c>
      <c r="M53" s="79">
        <v>360</v>
      </c>
      <c r="N53" s="79">
        <f>+L53+M53</f>
        <v>711</v>
      </c>
      <c r="O53" s="76" t="s">
        <v>108</v>
      </c>
      <c r="P53" s="8"/>
      <c r="Q53"/>
      <c r="R53"/>
    </row>
    <row r="54" spans="1:21" ht="15.75" x14ac:dyDescent="0.3">
      <c r="A54" s="56" t="s">
        <v>98</v>
      </c>
      <c r="B54" s="54">
        <f>(20*B48)*1.1</f>
        <v>2200</v>
      </c>
      <c r="C54" s="3"/>
      <c r="D54" s="21">
        <v>1</v>
      </c>
      <c r="E54" s="21">
        <v>1</v>
      </c>
      <c r="F54" s="21" t="s">
        <v>80</v>
      </c>
      <c r="G54" s="30">
        <v>135</v>
      </c>
      <c r="H54" s="30">
        <f t="shared" si="1"/>
        <v>135</v>
      </c>
      <c r="J54" s="6"/>
      <c r="K54" s="7"/>
      <c r="L54" s="79"/>
      <c r="M54" s="79"/>
      <c r="N54" s="79"/>
      <c r="O54" s="79"/>
      <c r="P54" s="8"/>
      <c r="Q54"/>
      <c r="R54"/>
    </row>
    <row r="55" spans="1:21" ht="16.5" thickBot="1" x14ac:dyDescent="0.35">
      <c r="A55" s="56" t="s">
        <v>141</v>
      </c>
      <c r="B55" s="54">
        <v>800</v>
      </c>
      <c r="D55" s="21">
        <v>1</v>
      </c>
      <c r="E55" s="21">
        <v>1</v>
      </c>
      <c r="F55" s="21" t="s">
        <v>97</v>
      </c>
      <c r="G55" s="30">
        <v>295</v>
      </c>
      <c r="H55" s="30">
        <f>+G55*E55</f>
        <v>295</v>
      </c>
      <c r="J55" s="14"/>
      <c r="K55" s="15"/>
      <c r="L55" s="15"/>
      <c r="M55" s="15"/>
      <c r="N55" s="15"/>
      <c r="O55" s="15"/>
      <c r="P55" s="16"/>
      <c r="Q55"/>
      <c r="R55"/>
    </row>
    <row r="56" spans="1:21" ht="15.75" x14ac:dyDescent="0.3">
      <c r="A56" s="56" t="s">
        <v>112</v>
      </c>
      <c r="B56" s="54">
        <v>400</v>
      </c>
      <c r="D56" s="21">
        <v>1</v>
      </c>
      <c r="E56" s="21">
        <v>1</v>
      </c>
      <c r="F56" s="21" t="s">
        <v>142</v>
      </c>
      <c r="G56" s="30">
        <v>400</v>
      </c>
      <c r="H56" s="30">
        <f>+G56*E56</f>
        <v>400</v>
      </c>
      <c r="Q56"/>
      <c r="R56"/>
    </row>
    <row r="57" spans="1:21" ht="15.75" x14ac:dyDescent="0.3">
      <c r="A57" s="56" t="s">
        <v>123</v>
      </c>
      <c r="B57" s="54">
        <v>400</v>
      </c>
      <c r="D57" s="21">
        <v>0</v>
      </c>
      <c r="E57" s="21">
        <v>0</v>
      </c>
      <c r="F57" s="21" t="s">
        <v>56</v>
      </c>
      <c r="G57" s="30">
        <v>1.5</v>
      </c>
      <c r="H57" s="30">
        <f t="shared" ref="H57:H58" si="2">+G57*E57</f>
        <v>0</v>
      </c>
      <c r="O57"/>
      <c r="P57"/>
      <c r="Q57"/>
      <c r="R57"/>
    </row>
    <row r="58" spans="1:21" ht="16.5" x14ac:dyDescent="0.3">
      <c r="A58" s="52" t="s">
        <v>57</v>
      </c>
      <c r="B58" s="57">
        <f>SUM(B50:B56)</f>
        <v>8392.35</v>
      </c>
      <c r="C58" s="3"/>
      <c r="D58" s="21">
        <v>0</v>
      </c>
      <c r="E58" s="21">
        <v>0</v>
      </c>
      <c r="F58" s="3" t="s">
        <v>58</v>
      </c>
      <c r="G58" s="30">
        <f>+P49</f>
        <v>500</v>
      </c>
      <c r="H58" s="30">
        <f t="shared" si="2"/>
        <v>0</v>
      </c>
      <c r="J58" s="123" t="s">
        <v>164</v>
      </c>
      <c r="L58" s="5"/>
      <c r="O58"/>
      <c r="P58"/>
      <c r="Q58"/>
      <c r="R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ref="H59" si="3">+G59*E59</f>
        <v>0</v>
      </c>
      <c r="K59" s="61" t="s">
        <v>59</v>
      </c>
      <c r="L59" s="97" t="s">
        <v>169</v>
      </c>
      <c r="M59" s="98"/>
      <c r="O59"/>
      <c r="P59"/>
      <c r="Q59"/>
      <c r="S59"/>
      <c r="T59"/>
      <c r="U59"/>
    </row>
    <row r="60" spans="1:21" ht="15.75" x14ac:dyDescent="0.3">
      <c r="A60" s="9"/>
      <c r="B60" s="32">
        <f>+B58/B48</f>
        <v>83.923500000000004</v>
      </c>
      <c r="C60" s="4" t="s">
        <v>60</v>
      </c>
      <c r="D60" s="3"/>
      <c r="E60" s="3"/>
      <c r="F60" s="3"/>
      <c r="G60" s="3"/>
      <c r="K60" s="41" t="s">
        <v>1</v>
      </c>
      <c r="L60" s="59"/>
      <c r="M60" s="60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3105</v>
      </c>
      <c r="K61" s="41" t="s">
        <v>14</v>
      </c>
      <c r="L61" s="87"/>
      <c r="M61" s="60"/>
      <c r="O61"/>
      <c r="P61"/>
      <c r="Q61"/>
      <c r="S61"/>
      <c r="T61"/>
      <c r="U61"/>
    </row>
    <row r="62" spans="1:21" ht="15.75" x14ac:dyDescent="0.3">
      <c r="D62" s="3"/>
      <c r="E62" s="3"/>
      <c r="G62" s="5" t="s">
        <v>62</v>
      </c>
      <c r="H62" s="77">
        <v>1.5</v>
      </c>
      <c r="K62" s="41" t="s">
        <v>63</v>
      </c>
      <c r="L62" s="87"/>
      <c r="M62" s="60" t="s">
        <v>115</v>
      </c>
      <c r="O62"/>
      <c r="P62"/>
      <c r="Q62"/>
      <c r="S62"/>
      <c r="T62"/>
      <c r="U62"/>
    </row>
    <row r="63" spans="1:21" ht="15.75" x14ac:dyDescent="0.3">
      <c r="A63" s="4" t="s">
        <v>64</v>
      </c>
      <c r="B63" s="3"/>
      <c r="C63" s="3"/>
      <c r="E63" s="32">
        <f>+B74/C40</f>
        <v>130.38952499999999</v>
      </c>
      <c r="G63" s="1" t="s">
        <v>65</v>
      </c>
      <c r="H63" s="62">
        <v>1.75</v>
      </c>
      <c r="K63" s="41" t="s">
        <v>66</v>
      </c>
      <c r="L63" s="87"/>
      <c r="M63" s="60"/>
      <c r="O63"/>
      <c r="P63"/>
      <c r="Q63"/>
      <c r="S63"/>
      <c r="T63"/>
      <c r="U63"/>
    </row>
    <row r="64" spans="1:21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K64" s="41" t="s">
        <v>69</v>
      </c>
      <c r="L64" s="87">
        <f>+B48*1.1</f>
        <v>110.00000000000001</v>
      </c>
      <c r="M64" s="88">
        <f>+((B47*60)*2)</f>
        <v>0</v>
      </c>
      <c r="O64"/>
      <c r="P64"/>
      <c r="Q64"/>
      <c r="S64"/>
      <c r="T64"/>
      <c r="U64"/>
    </row>
    <row r="65" spans="1:21" ht="15.75" x14ac:dyDescent="0.3">
      <c r="A65" s="52" t="s">
        <v>70</v>
      </c>
      <c r="B65" s="53"/>
      <c r="C65" s="3"/>
      <c r="D65" s="3">
        <f>+B74*C68</f>
        <v>0</v>
      </c>
      <c r="E65" s="3"/>
      <c r="F65" s="3"/>
      <c r="G65" s="5" t="s">
        <v>81</v>
      </c>
      <c r="H65" s="62">
        <v>2.5</v>
      </c>
      <c r="K65" s="41" t="s">
        <v>71</v>
      </c>
      <c r="L65" s="89"/>
      <c r="M65" s="60"/>
      <c r="O65"/>
      <c r="P65"/>
      <c r="Q65"/>
      <c r="S65"/>
      <c r="T65"/>
      <c r="U65"/>
    </row>
    <row r="66" spans="1:21" ht="15.75" x14ac:dyDescent="0.3">
      <c r="A66" s="53" t="s">
        <v>54</v>
      </c>
      <c r="B66" s="54">
        <f>+E35*C42</f>
        <v>491.45249999999999</v>
      </c>
      <c r="C66" s="63"/>
      <c r="K66" s="41" t="s">
        <v>116</v>
      </c>
      <c r="L66" s="89">
        <v>6</v>
      </c>
      <c r="M66" s="90" t="s">
        <v>170</v>
      </c>
      <c r="O66"/>
      <c r="P66"/>
      <c r="Q66"/>
      <c r="S66"/>
      <c r="T66"/>
      <c r="U66"/>
    </row>
    <row r="67" spans="1:21" ht="15.75" x14ac:dyDescent="0.3">
      <c r="A67" s="53" t="s">
        <v>12</v>
      </c>
      <c r="B67" s="54">
        <f>+H61*H62</f>
        <v>4657.5</v>
      </c>
      <c r="C67" s="63"/>
      <c r="K67" s="41" t="s">
        <v>73</v>
      </c>
      <c r="L67" s="89">
        <f>+L66*L64</f>
        <v>660.00000000000011</v>
      </c>
      <c r="M67" s="60"/>
      <c r="O67"/>
      <c r="P67"/>
      <c r="Q67"/>
      <c r="S67"/>
      <c r="T67"/>
      <c r="U67"/>
    </row>
    <row r="68" spans="1:21" ht="15.75" x14ac:dyDescent="0.3">
      <c r="A68" s="53" t="str">
        <f t="shared" ref="A68:A73" si="4">+A52</f>
        <v>Tabla de suaje + Placa</v>
      </c>
      <c r="B68" s="54">
        <f>+B52*H62</f>
        <v>1200</v>
      </c>
      <c r="C68" s="63"/>
      <c r="K68" s="41" t="s">
        <v>114</v>
      </c>
      <c r="L68" s="89">
        <v>0</v>
      </c>
      <c r="M68" s="60"/>
      <c r="O68"/>
      <c r="P68"/>
      <c r="Q68"/>
      <c r="S68"/>
      <c r="T68"/>
      <c r="U68"/>
    </row>
    <row r="69" spans="1:21" ht="15.75" x14ac:dyDescent="0.3">
      <c r="A69" s="53" t="str">
        <f t="shared" si="4"/>
        <v>Imán</v>
      </c>
      <c r="B69" s="54">
        <f>+B53*H62</f>
        <v>990</v>
      </c>
      <c r="C69" s="63"/>
      <c r="K69" s="41" t="s">
        <v>117</v>
      </c>
      <c r="L69" s="89">
        <v>0</v>
      </c>
      <c r="M69" s="60"/>
      <c r="O69"/>
      <c r="P69"/>
      <c r="Q69"/>
      <c r="S69"/>
      <c r="T69"/>
      <c r="U69"/>
    </row>
    <row r="70" spans="1:21" ht="15.75" x14ac:dyDescent="0.3">
      <c r="A70" s="53" t="str">
        <f t="shared" si="4"/>
        <v>Encuadernación</v>
      </c>
      <c r="B70" s="54">
        <f>+B54*H62</f>
        <v>3300</v>
      </c>
      <c r="C70" s="66"/>
      <c r="G70" s="64" t="s">
        <v>72</v>
      </c>
      <c r="H70" s="32">
        <f>+B60</f>
        <v>83.923500000000004</v>
      </c>
      <c r="I70" s="65">
        <f>+H70*B48</f>
        <v>8392.35</v>
      </c>
      <c r="K70" s="1" t="s">
        <v>118</v>
      </c>
      <c r="L70" s="89"/>
      <c r="M70" s="60"/>
      <c r="O70"/>
      <c r="P70"/>
      <c r="Q70"/>
      <c r="S70"/>
      <c r="T70"/>
      <c r="U70"/>
    </row>
    <row r="71" spans="1:21" ht="15.75" x14ac:dyDescent="0.3">
      <c r="A71" s="53" t="str">
        <f t="shared" si="4"/>
        <v>Placa HS</v>
      </c>
      <c r="B71" s="54">
        <f>+B55*H62</f>
        <v>1200</v>
      </c>
      <c r="C71" s="66"/>
      <c r="G71" s="64" t="s">
        <v>74</v>
      </c>
      <c r="H71" s="32">
        <f>+C74</f>
        <v>130.38952499999999</v>
      </c>
      <c r="I71" s="65">
        <f>+H71*B48</f>
        <v>13038.952499999999</v>
      </c>
      <c r="K71" s="41" t="s">
        <v>119</v>
      </c>
      <c r="L71" s="91">
        <f>+L70+L67</f>
        <v>660.00000000000011</v>
      </c>
      <c r="M71" s="92">
        <f>+L71/B48</f>
        <v>6.6000000000000014</v>
      </c>
      <c r="N71" s="1" t="s">
        <v>121</v>
      </c>
      <c r="O71"/>
      <c r="P71"/>
      <c r="Q71"/>
      <c r="S71"/>
      <c r="T71"/>
      <c r="U71"/>
    </row>
    <row r="72" spans="1:21" ht="15.75" x14ac:dyDescent="0.3">
      <c r="A72" s="53" t="str">
        <f t="shared" si="4"/>
        <v>Empaque</v>
      </c>
      <c r="B72" s="54">
        <f>+B56*H62</f>
        <v>600</v>
      </c>
      <c r="C72" s="66"/>
      <c r="G72" s="67" t="s">
        <v>75</v>
      </c>
      <c r="H72" s="68">
        <f>+H71-H70</f>
        <v>46.466024999999988</v>
      </c>
      <c r="I72" s="83">
        <f>+H72*B48</f>
        <v>4646.6024999999991</v>
      </c>
      <c r="K72" s="41" t="s">
        <v>120</v>
      </c>
      <c r="L72" s="91">
        <f>+L71*1.5</f>
        <v>990.00000000000023</v>
      </c>
      <c r="M72" s="92">
        <f>+L72/B48</f>
        <v>9.9000000000000021</v>
      </c>
      <c r="N72" s="1" t="s">
        <v>121</v>
      </c>
      <c r="O72"/>
      <c r="P72"/>
      <c r="Q72"/>
      <c r="S72"/>
      <c r="T72"/>
      <c r="U72"/>
    </row>
    <row r="73" spans="1:21" ht="15.75" x14ac:dyDescent="0.3">
      <c r="A73" s="53" t="str">
        <f t="shared" si="4"/>
        <v>Envio</v>
      </c>
      <c r="B73" s="54">
        <f>+B57*H62</f>
        <v>600</v>
      </c>
      <c r="C73" s="68" t="s">
        <v>122</v>
      </c>
      <c r="D73" s="26"/>
      <c r="E73" s="26"/>
      <c r="F73" s="26" t="s">
        <v>72</v>
      </c>
      <c r="G73" s="96" t="s">
        <v>113</v>
      </c>
      <c r="H73" s="96"/>
      <c r="I73" s="86">
        <f>+(A81/100)*2.5</f>
        <v>1029.2959958333333</v>
      </c>
      <c r="L73" s="59"/>
      <c r="M73" s="60"/>
      <c r="O73"/>
      <c r="P73"/>
      <c r="Q73"/>
      <c r="S73"/>
      <c r="T73"/>
      <c r="U73"/>
    </row>
    <row r="74" spans="1:21" ht="15.75" x14ac:dyDescent="0.3">
      <c r="A74" s="52" t="s">
        <v>57</v>
      </c>
      <c r="B74" s="57">
        <f>SUM(B65:B73)</f>
        <v>13038.952499999999</v>
      </c>
      <c r="C74" s="68">
        <f>+B74/B48</f>
        <v>130.38952499999999</v>
      </c>
      <c r="D74" s="5" t="s">
        <v>130</v>
      </c>
      <c r="F74" s="78">
        <f>+B60</f>
        <v>83.923500000000004</v>
      </c>
      <c r="G74" s="7"/>
      <c r="L74" s="59"/>
      <c r="M74" s="60"/>
      <c r="O74"/>
      <c r="P74"/>
      <c r="Q74"/>
      <c r="S74"/>
      <c r="T74"/>
      <c r="U74"/>
    </row>
    <row r="75" spans="1:21" ht="15.75" x14ac:dyDescent="0.3">
      <c r="C75" s="78">
        <f>+'forro cartera guarda '!C73</f>
        <v>62.976962499999999</v>
      </c>
      <c r="D75" s="5" t="str">
        <f>+'forro cartera guarda '!D73</f>
        <v>forro cartera guarda</v>
      </c>
      <c r="F75" s="78">
        <f>+'forro cartera guarda '!B60</f>
        <v>42.815599999999996</v>
      </c>
      <c r="O75"/>
      <c r="P75"/>
      <c r="Q75"/>
    </row>
    <row r="76" spans="1:21" x14ac:dyDescent="0.3">
      <c r="C76" s="78">
        <f>+'forro caja EXT'!C73</f>
        <v>92.259352499999991</v>
      </c>
      <c r="D76" s="5" t="str">
        <f>+'forro caja EXT'!D73</f>
        <v>forro caja EXT</v>
      </c>
      <c r="E76" s="5"/>
      <c r="F76" s="78">
        <f>+'forro caja EXT'!B60</f>
        <v>64.363950000000003</v>
      </c>
    </row>
    <row r="77" spans="1:21" x14ac:dyDescent="0.3">
      <c r="A77" s="5"/>
      <c r="C77" s="78">
        <f>+'forro caja INT'!C73</f>
        <v>27.835464999999999</v>
      </c>
      <c r="D77" s="5" t="str">
        <f>+'forro caja INT'!D73</f>
        <v>forro caja INT</v>
      </c>
      <c r="E77" s="5"/>
      <c r="F77" s="78">
        <f>+'forro caja INT'!B60</f>
        <v>18.88936</v>
      </c>
      <c r="J77" s="7"/>
    </row>
    <row r="78" spans="1:21" x14ac:dyDescent="0.3">
      <c r="A78" s="5"/>
      <c r="C78" s="78">
        <f>+'espuma suajada'!C72</f>
        <v>64.3</v>
      </c>
      <c r="D78" s="5" t="str">
        <f>+'espuma suajada'!D72</f>
        <v>espuma suajada</v>
      </c>
      <c r="E78" s="5"/>
      <c r="F78" s="78">
        <f>+'espuma suajada'!B60</f>
        <v>54.7</v>
      </c>
      <c r="J78" s="7"/>
    </row>
    <row r="79" spans="1:21" x14ac:dyDescent="0.3">
      <c r="B79" s="70"/>
      <c r="C79" s="78">
        <f>+'cartón cartera'!C72</f>
        <v>16.97854666666667</v>
      </c>
      <c r="D79" s="5" t="str">
        <f>+'cartón cartera'!D72</f>
        <v>cartón cartera</v>
      </c>
      <c r="E79" s="5"/>
      <c r="F79" s="78">
        <f>+'cartón cartera'!B60</f>
        <v>14.344133333333332</v>
      </c>
    </row>
    <row r="80" spans="1:21" x14ac:dyDescent="0.3">
      <c r="C80" s="80">
        <f>+'cartón caja'!C72</f>
        <v>16.97854666666667</v>
      </c>
      <c r="D80" s="5" t="str">
        <f>+'cartón caja'!D72</f>
        <v>cartón caja</v>
      </c>
      <c r="E80" s="5"/>
      <c r="F80" s="80">
        <f>+'cartón caja'!B60</f>
        <v>14.344133333333332</v>
      </c>
    </row>
    <row r="81" spans="1:18" ht="15.75" customHeight="1" x14ac:dyDescent="0.3">
      <c r="A81" s="95">
        <f>+C81*B48</f>
        <v>41171.839833333332</v>
      </c>
      <c r="B81" s="95"/>
      <c r="C81" s="82">
        <f>SUM(C74:C80)</f>
        <v>411.71839833333331</v>
      </c>
      <c r="D81" s="5" t="s">
        <v>101</v>
      </c>
      <c r="F81" s="84">
        <f>SUM(F74:F80)</f>
        <v>293.38067666666666</v>
      </c>
      <c r="G81" s="85">
        <f>+F81*B48</f>
        <v>29338.067666666666</v>
      </c>
      <c r="I81" s="94">
        <f>+A81-G81</f>
        <v>11833.772166666666</v>
      </c>
      <c r="J81" s="94"/>
    </row>
    <row r="83" spans="1:18" x14ac:dyDescent="0.3">
      <c r="J83" s="72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  <row r="97" spans="10:18" ht="16.5" x14ac:dyDescent="0.3">
      <c r="J97" s="55"/>
      <c r="K97" s="55"/>
      <c r="L97" s="55"/>
      <c r="M97" s="55"/>
      <c r="N97" s="55"/>
      <c r="O97" s="55"/>
      <c r="P97" s="55"/>
      <c r="Q97" s="55"/>
      <c r="R97" s="55"/>
    </row>
    <row r="98" spans="10:18" ht="16.5" x14ac:dyDescent="0.3">
      <c r="J98" s="55"/>
      <c r="K98" s="55"/>
      <c r="L98" s="55"/>
      <c r="M98" s="55"/>
      <c r="N98" s="55"/>
      <c r="O98" s="55"/>
      <c r="P98" s="55"/>
      <c r="Q98" s="55"/>
      <c r="R98" s="55"/>
    </row>
  </sheetData>
  <mergeCells count="4">
    <mergeCell ref="I81:J81"/>
    <mergeCell ref="A81:B81"/>
    <mergeCell ref="G73:H73"/>
    <mergeCell ref="L59:M59"/>
  </mergeCells>
  <pageMargins left="0.70866141732283472" right="0.70866141732283472" top="0.74803149606299213" bottom="0.74803149606299213" header="0.31496062992125984" footer="0.31496062992125984"/>
  <pageSetup scale="9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cartón caja</vt:lpstr>
      <vt:lpstr>cartón cartera</vt:lpstr>
      <vt:lpstr>espuma suajada</vt:lpstr>
      <vt:lpstr>forro caja INT</vt:lpstr>
      <vt:lpstr>forro caja EXT</vt:lpstr>
      <vt:lpstr>forro cartera guarda </vt:lpstr>
      <vt:lpstr>forro cartera</vt:lpstr>
      <vt:lpstr>'forro cartera'!Área_de_impresión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2016-11-04T23:41:57Z</cp:lastPrinted>
  <dcterms:created xsi:type="dcterms:W3CDTF">2013-03-04T22:24:31Z</dcterms:created>
  <dcterms:modified xsi:type="dcterms:W3CDTF">2016-11-04T23:49:01Z</dcterms:modified>
</cp:coreProperties>
</file>