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2"/>
  </bookViews>
  <sheets>
    <sheet name="cartón" sheetId="39" r:id="rId1"/>
    <sheet name="forro EXT " sheetId="34" r:id="rId2"/>
    <sheet name="forro INT guarda" sheetId="42" r:id="rId3"/>
  </sheets>
  <calcPr calcId="145621"/>
</workbook>
</file>

<file path=xl/calcChain.xml><?xml version="1.0" encoding="utf-8"?>
<calcChain xmlns="http://schemas.openxmlformats.org/spreadsheetml/2006/main">
  <c r="B48" i="42" l="1"/>
  <c r="B48" i="34"/>
  <c r="L72" i="42" l="1"/>
  <c r="L75" i="42" s="1"/>
  <c r="A76" i="42"/>
  <c r="B54" i="42"/>
  <c r="Q69" i="42"/>
  <c r="B56" i="42" s="1"/>
  <c r="B74" i="42" s="1"/>
  <c r="A74" i="42"/>
  <c r="L70" i="39"/>
  <c r="L69" i="39"/>
  <c r="L68" i="39"/>
  <c r="L67" i="39"/>
  <c r="M64" i="39"/>
  <c r="L70" i="34"/>
  <c r="L71" i="34" s="1"/>
  <c r="L69" i="34"/>
  <c r="L68" i="34"/>
  <c r="L67" i="34"/>
  <c r="M64" i="34"/>
  <c r="L69" i="42"/>
  <c r="M19" i="39"/>
  <c r="M19" i="34"/>
  <c r="M19" i="42"/>
  <c r="D80" i="42"/>
  <c r="D79" i="42"/>
  <c r="B55" i="42"/>
  <c r="B73" i="42" s="1"/>
  <c r="A70" i="42"/>
  <c r="B59" i="42"/>
  <c r="B57" i="42"/>
  <c r="B77" i="42"/>
  <c r="A77" i="42"/>
  <c r="L50" i="42"/>
  <c r="H57" i="42"/>
  <c r="H56" i="42"/>
  <c r="H55" i="42"/>
  <c r="H54" i="42"/>
  <c r="H53" i="42"/>
  <c r="H52" i="42"/>
  <c r="H51" i="42"/>
  <c r="H50" i="42"/>
  <c r="H49" i="42"/>
  <c r="F16" i="42"/>
  <c r="C26" i="42" s="1"/>
  <c r="C27" i="42" s="1"/>
  <c r="H16" i="42"/>
  <c r="E26" i="42" s="1"/>
  <c r="F26" i="42" s="1"/>
  <c r="F25" i="42"/>
  <c r="L50" i="34"/>
  <c r="H16" i="34"/>
  <c r="F16" i="34"/>
  <c r="L74" i="42" l="1"/>
  <c r="L76" i="42"/>
  <c r="L73" i="42"/>
  <c r="L77" i="42" s="1"/>
  <c r="B58" i="42" s="1"/>
  <c r="B76" i="42" s="1"/>
  <c r="L71" i="39"/>
  <c r="M71" i="39"/>
  <c r="L72" i="39"/>
  <c r="M72" i="39" s="1"/>
  <c r="M71" i="34"/>
  <c r="L72" i="34"/>
  <c r="M72" i="34" s="1"/>
  <c r="F27" i="42"/>
  <c r="E27" i="42"/>
  <c r="E35" i="39"/>
  <c r="B75" i="42" l="1"/>
  <c r="H59" i="42"/>
  <c r="L53" i="42"/>
  <c r="L49" i="42"/>
  <c r="L52" i="42" s="1"/>
  <c r="K49" i="42"/>
  <c r="K52" i="42" s="1"/>
  <c r="E31" i="42"/>
  <c r="E32" i="42" s="1"/>
  <c r="E34" i="42" s="1"/>
  <c r="E35" i="42" s="1"/>
  <c r="H25" i="42"/>
  <c r="L53" i="34"/>
  <c r="C40" i="34" l="1"/>
  <c r="C41" i="34" s="1"/>
  <c r="C40" i="42"/>
  <c r="C41" i="42" s="1"/>
  <c r="K50" i="42" s="1"/>
  <c r="M50" i="42" s="1"/>
  <c r="O50" i="42" s="1"/>
  <c r="G58" i="42" s="1"/>
  <c r="H58" i="42" s="1"/>
  <c r="K53" i="34" l="1"/>
  <c r="K50" i="34"/>
  <c r="C42" i="42"/>
  <c r="C43" i="42" s="1"/>
  <c r="K53" i="42"/>
  <c r="M53" i="42" s="1"/>
  <c r="O53" i="42" s="1"/>
  <c r="C42" i="34"/>
  <c r="C43" i="34" s="1"/>
  <c r="A75" i="42"/>
  <c r="B72" i="42"/>
  <c r="A72" i="42"/>
  <c r="B71" i="42"/>
  <c r="A71" i="42"/>
  <c r="B70" i="42"/>
  <c r="G43" i="42"/>
  <c r="H26" i="42"/>
  <c r="B71" i="34"/>
  <c r="L49" i="34"/>
  <c r="L52" i="34" s="1"/>
  <c r="K49" i="34"/>
  <c r="K52" i="34" s="1"/>
  <c r="H63" i="42" l="1"/>
  <c r="B69" i="42" s="1"/>
  <c r="H27" i="42"/>
  <c r="G44" i="42"/>
  <c r="B50" i="42"/>
  <c r="B51" i="42" l="1"/>
  <c r="B68" i="42"/>
  <c r="B60" i="42"/>
  <c r="B62" i="42" s="1"/>
  <c r="C46" i="42"/>
  <c r="F78" i="42" l="1"/>
  <c r="B78" i="42"/>
  <c r="C78" i="42" s="1"/>
  <c r="I52" i="42" l="1"/>
  <c r="H73" i="42"/>
  <c r="I73" i="42" s="1"/>
  <c r="D67" i="42"/>
  <c r="H74" i="42" l="1"/>
  <c r="I74" i="42" s="1"/>
  <c r="H75" i="42" l="1"/>
  <c r="I75" i="42" s="1"/>
  <c r="H50" i="34" l="1"/>
  <c r="G43" i="34"/>
  <c r="B68" i="34"/>
  <c r="E31" i="34"/>
  <c r="E32" i="34" s="1"/>
  <c r="E34" i="34" s="1"/>
  <c r="E35" i="34" s="1"/>
  <c r="H49" i="34"/>
  <c r="H52" i="34"/>
  <c r="C40" i="39"/>
  <c r="C41" i="39" s="1"/>
  <c r="G44" i="39" s="1"/>
  <c r="A68" i="34"/>
  <c r="E31" i="39"/>
  <c r="E32" i="39" s="1"/>
  <c r="E34" i="39" s="1"/>
  <c r="H49" i="39"/>
  <c r="H50" i="39"/>
  <c r="H51" i="39"/>
  <c r="H52" i="39"/>
  <c r="H53" i="39"/>
  <c r="H54" i="39"/>
  <c r="H55" i="39"/>
  <c r="H56" i="39"/>
  <c r="H57" i="39"/>
  <c r="H58" i="39"/>
  <c r="H59" i="39"/>
  <c r="H61" i="39"/>
  <c r="B68" i="39"/>
  <c r="B69" i="39"/>
  <c r="B70" i="39"/>
  <c r="A70" i="39"/>
  <c r="A69" i="39"/>
  <c r="A68" i="39"/>
  <c r="H25" i="39"/>
  <c r="C26" i="39"/>
  <c r="H26" i="39" s="1"/>
  <c r="H27" i="39" s="1"/>
  <c r="F25" i="39"/>
  <c r="E26" i="39"/>
  <c r="F26" i="39" s="1"/>
  <c r="H51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 s="1"/>
  <c r="F25" i="34"/>
  <c r="E26" i="34"/>
  <c r="E27" i="34" s="1"/>
  <c r="E27" i="39" l="1"/>
  <c r="C27" i="34"/>
  <c r="F27" i="39"/>
  <c r="C27" i="39"/>
  <c r="B51" i="39"/>
  <c r="B67" i="39"/>
  <c r="G43" i="39"/>
  <c r="M53" i="34"/>
  <c r="O53" i="34" s="1"/>
  <c r="H53" i="34" s="1"/>
  <c r="H61" i="34" s="1"/>
  <c r="B67" i="34" s="1"/>
  <c r="M50" i="34"/>
  <c r="O50" i="34" s="1"/>
  <c r="G58" i="34" s="1"/>
  <c r="H58" i="34" s="1"/>
  <c r="G44" i="34"/>
  <c r="F26" i="34"/>
  <c r="F27" i="34" s="1"/>
  <c r="H27" i="34"/>
  <c r="C42" i="39"/>
  <c r="B51" i="34" l="1"/>
  <c r="C46" i="34"/>
  <c r="B66" i="34"/>
  <c r="B50" i="34"/>
  <c r="C50" i="34" s="1"/>
  <c r="B50" i="39"/>
  <c r="B58" i="39" s="1"/>
  <c r="B60" i="39" s="1"/>
  <c r="F80" i="42" s="1"/>
  <c r="C46" i="39"/>
  <c r="B66" i="39"/>
  <c r="B72" i="39" s="1"/>
  <c r="I52" i="39" s="1"/>
  <c r="H68" i="39" l="1"/>
  <c r="I68" i="39" s="1"/>
  <c r="B73" i="34"/>
  <c r="B58" i="34"/>
  <c r="B60" i="34" s="1"/>
  <c r="F79" i="42" s="1"/>
  <c r="F82" i="42" s="1"/>
  <c r="G82" i="42" s="1"/>
  <c r="C72" i="39"/>
  <c r="C80" i="42" s="1"/>
  <c r="D65" i="39"/>
  <c r="E63" i="39"/>
  <c r="I52" i="34" l="1"/>
  <c r="C73" i="34"/>
  <c r="C79" i="42" s="1"/>
  <c r="C82" i="42" s="1"/>
  <c r="A82" i="42" s="1"/>
  <c r="E63" i="34"/>
  <c r="D65" i="34"/>
  <c r="H69" i="39"/>
  <c r="I69" i="39" s="1"/>
  <c r="I82" i="42" l="1"/>
  <c r="I76" i="42"/>
  <c r="H69" i="34"/>
  <c r="I69" i="34" s="1"/>
  <c r="H70" i="34"/>
  <c r="I70" i="34" s="1"/>
  <c r="H70" i="39"/>
  <c r="I70" i="39" s="1"/>
  <c r="H71" i="34" l="1"/>
  <c r="I71" i="34" s="1"/>
</calcChain>
</file>

<file path=xl/sharedStrings.xml><?xml version="1.0" encoding="utf-8"?>
<sst xmlns="http://schemas.openxmlformats.org/spreadsheetml/2006/main" count="590" uniqueCount="191">
  <si>
    <t>FICHA TECNICA</t>
  </si>
  <si>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</si>
  <si>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</si>
  <si>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</si>
  <si>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</si>
  <si>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</si>
  <si>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</si>
  <si>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</si>
  <si>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</si>
  <si>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</si>
  <si>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</si>
  <si>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</si>
  <si>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</si>
  <si>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</si>
  <si>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</si>
  <si>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</si>
  <si>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Serigrafía</t>
  </si>
  <si>
    <t>Medida pliego</t>
  </si>
  <si>
    <t xml:space="preserve">X </t>
  </si>
  <si>
    <t>Tintas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</si>
  <si>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</si>
  <si>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</si>
  <si>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</si>
  <si>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</si>
  <si>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</si>
  <si>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</si>
  <si>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</si>
  <si>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</si>
  <si>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</si>
  <si>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</si>
  <si>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</si>
  <si>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</si>
  <si>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</si>
  <si>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</si>
  <si>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</si>
  <si>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</si>
  <si>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</si>
  <si>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</si>
  <si>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</si>
  <si>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</si>
  <si>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</si>
  <si>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</si>
  <si>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</si>
  <si>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</si>
  <si>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</si>
  <si>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</si>
  <si>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</si>
  <si>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</si>
  <si>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</si>
  <si>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</si>
  <si>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</si>
  <si>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</si>
  <si>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</si>
  <si>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</si>
  <si>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</si>
  <si>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</si>
  <si>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</si>
  <si>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</si>
  <si>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</si>
  <si>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</si>
  <si>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</si>
  <si>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</si>
  <si>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</si>
  <si>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</si>
  <si>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</si>
  <si>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</si>
  <si>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</si>
  <si>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</si>
  <si>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</si>
  <si>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</si>
  <si>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</si>
  <si>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</si>
  <si>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</si>
  <si>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</si>
  <si>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</si>
  <si>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</si>
  <si>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</si>
  <si>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</si>
  <si>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</si>
  <si>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</si>
  <si>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</si>
  <si>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</si>
  <si>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</si>
  <si>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</si>
  <si>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</si>
  <si>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</si>
  <si>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</si>
  <si>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</si>
  <si>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</si>
  <si>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</si>
  <si>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</si>
  <si>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</si>
  <si>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</si>
  <si>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</si>
  <si>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</si>
  <si>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</si>
  <si>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</si>
  <si>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</si>
  <si>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</si>
  <si>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</si>
  <si>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</si>
  <si>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</si>
  <si>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</si>
  <si>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</si>
  <si>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</si>
  <si>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</si>
  <si>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</si>
  <si>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</si>
  <si>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</si>
  <si>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</si>
  <si>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</si>
  <si>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>cartoné</t>
  </si>
  <si>
    <t>gris</t>
  </si>
  <si>
    <t>#5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</si>
  <si>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</si>
  <si>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</si>
  <si>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</si>
  <si>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</si>
  <si>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</si>
  <si>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</si>
  <si>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</si>
  <si>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</si>
  <si>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</si>
  <si>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>minimo 500.00</t>
  </si>
  <si>
    <t>minimo 1500.00</t>
  </si>
  <si>
    <t>uv brillante a registro</t>
  </si>
  <si>
    <t>Cartón Gris</t>
  </si>
  <si>
    <t>WHITE HOUSE</t>
  </si>
  <si>
    <t>Arreglo</t>
  </si>
  <si>
    <t>Comisiones</t>
  </si>
  <si>
    <t>Cantidad</t>
  </si>
  <si>
    <t xml:space="preserve">Cientos </t>
  </si>
  <si>
    <t>Tinta 1</t>
  </si>
  <si>
    <t>Tinta 2</t>
  </si>
  <si>
    <t xml:space="preserve">Tamaños Piezas </t>
  </si>
  <si>
    <t xml:space="preserve">Unidad </t>
  </si>
  <si>
    <t>X Area</t>
  </si>
  <si>
    <t>Arreglo Suaje</t>
  </si>
  <si>
    <t>millar</t>
  </si>
  <si>
    <t>Suajado</t>
  </si>
  <si>
    <t>ciento</t>
  </si>
  <si>
    <t>Cosido</t>
  </si>
  <si>
    <t>Ojillo Metálico</t>
  </si>
  <si>
    <t>Negro</t>
  </si>
  <si>
    <t>mt</t>
  </si>
  <si>
    <t>Precio por Paquete</t>
  </si>
  <si>
    <t>Esquineros</t>
  </si>
  <si>
    <t xml:space="preserve">Rainbow </t>
  </si>
  <si>
    <t>* MT</t>
  </si>
  <si>
    <t>Colocado</t>
  </si>
  <si>
    <t>Maquila Armado</t>
  </si>
  <si>
    <t>TT Costo</t>
  </si>
  <si>
    <t>TT Utilidad</t>
  </si>
  <si>
    <t>Unitario</t>
  </si>
  <si>
    <t>Venta</t>
  </si>
  <si>
    <t>12 de septiembre de 2016.</t>
  </si>
  <si>
    <t xml:space="preserve">Televisa </t>
  </si>
  <si>
    <t xml:space="preserve">Cartera </t>
  </si>
  <si>
    <t>tamaño  44 X 21 cm.</t>
  </si>
  <si>
    <t xml:space="preserve">cartón </t>
  </si>
  <si>
    <t xml:space="preserve">Invitación Premium </t>
  </si>
  <si>
    <t>tamaño 21 X 21 cm.</t>
  </si>
  <si>
    <t>forrado en papel couche 150 gr.</t>
  </si>
  <si>
    <t>impreso a 4 X 0 tintas  offset +</t>
  </si>
  <si>
    <t>laminado mate 1 cara +</t>
  </si>
  <si>
    <t xml:space="preserve">suaje para sujetar materiales </t>
  </si>
  <si>
    <t>Couche</t>
  </si>
  <si>
    <t>Blanco Mate</t>
  </si>
  <si>
    <t>150 gr.</t>
  </si>
  <si>
    <t>Arreglo suaje</t>
  </si>
  <si>
    <t>Prueba de Color</t>
  </si>
  <si>
    <t>Velcro</t>
  </si>
  <si>
    <t>laminado Mate antiscratch</t>
  </si>
  <si>
    <t>Mensajeria y Empaque</t>
  </si>
  <si>
    <t>forro INT Guarda</t>
  </si>
  <si>
    <t>Base Canguro</t>
  </si>
  <si>
    <t>forro EXT</t>
  </si>
  <si>
    <t>Celofan</t>
  </si>
  <si>
    <t>Sobre Celofán</t>
  </si>
  <si>
    <t>Celofán</t>
  </si>
  <si>
    <t>Transparente</t>
  </si>
  <si>
    <t>piezas hembra + piezas macho</t>
  </si>
  <si>
    <t>21.5 X 21 cm.</t>
  </si>
  <si>
    <t>Pieza</t>
  </si>
  <si>
    <t xml:space="preserve"> </t>
  </si>
  <si>
    <t>Piezas</t>
  </si>
  <si>
    <t>Gafete</t>
  </si>
  <si>
    <t>Gancho</t>
  </si>
  <si>
    <t>Cordón</t>
  </si>
  <si>
    <t>Celofan + etiqueta</t>
  </si>
  <si>
    <t>rotulo + armado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</si>
</sst>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22" applyNumberFormat="0" applyAlignment="0" applyProtection="0"/>
    <xf numFmtId="0" fontId="15" fillId="6" borderId="23" applyNumberFormat="0" applyAlignment="0" applyProtection="0"/>
    <xf numFmtId="0" fontId="16" fillId="7" borderId="0" applyNumberFormat="0" applyBorder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9" fillId="0" borderId="2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7" applyNumberFormat="0" applyFont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2" fontId="2" fillId="0" borderId="1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44" fontId="6" fillId="0" borderId="20" xfId="1" applyFont="1" applyBorder="1" applyAlignment="1">
      <alignment horizontal="left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48" zoomScale="80" zoomScaleNormal="80" workbookViewId="0">
      <selection activeCell="B51" sqref="B5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10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98"/>
      <c r="K4" s="99"/>
      <c r="L4" s="99"/>
      <c r="M4" s="99"/>
      <c r="N4" s="99"/>
      <c r="O4" s="99"/>
      <c r="P4" s="100"/>
      <c r="Q4"/>
      <c r="R4"/>
    </row>
    <row r="5" spans="1:21" ht="15.75" x14ac:dyDescent="0.3">
      <c r="A5" s="5"/>
      <c r="J5" s="101"/>
      <c r="K5" s="102"/>
      <c r="L5" s="102"/>
      <c r="M5" s="102"/>
      <c r="N5" s="102"/>
      <c r="O5" s="102"/>
      <c r="P5" s="103"/>
      <c r="Q5"/>
      <c r="R5"/>
    </row>
    <row r="6" spans="1:21" ht="18.75" x14ac:dyDescent="0.3">
      <c r="A6" s="2" t="s">
        <v>3</v>
      </c>
      <c r="E6" s="5" t="s">
        <v>4</v>
      </c>
      <c r="F6" s="1" t="s">
        <v>5</v>
      </c>
      <c r="J6" s="101"/>
      <c r="K6" s="102"/>
      <c r="L6" s="102"/>
      <c r="M6" s="102"/>
      <c r="N6" s="102"/>
      <c r="O6" s="102"/>
      <c r="P6" s="103"/>
      <c r="Q6"/>
      <c r="R6"/>
    </row>
    <row r="7" spans="1:21" ht="15.75" x14ac:dyDescent="0.3">
      <c r="J7" s="101"/>
      <c r="K7" s="102"/>
      <c r="L7" s="102"/>
      <c r="M7" s="102"/>
      <c r="N7" s="102"/>
      <c r="O7" s="102"/>
      <c r="P7" s="103"/>
      <c r="Q7"/>
      <c r="R7"/>
    </row>
    <row r="8" spans="1:21" ht="15.75" x14ac:dyDescent="0.3">
      <c r="J8" s="101"/>
      <c r="K8" s="102"/>
      <c r="L8" s="102"/>
      <c r="M8" s="102"/>
      <c r="N8" s="102"/>
      <c r="O8" s="102"/>
      <c r="P8" s="103"/>
      <c r="Q8"/>
      <c r="R8"/>
    </row>
    <row r="9" spans="1:21" s="5" customFormat="1" ht="15.75" x14ac:dyDescent="0.3">
      <c r="A9" s="5" t="s">
        <v>7</v>
      </c>
      <c r="C9" s="5" t="s">
        <v>155</v>
      </c>
      <c r="H9" s="5" t="s">
        <v>8</v>
      </c>
      <c r="J9" s="101"/>
      <c r="K9" s="102"/>
      <c r="L9" s="102"/>
      <c r="M9" s="102"/>
      <c r="N9" s="102"/>
      <c r="O9" s="102"/>
      <c r="P9" s="103"/>
      <c r="Q9"/>
      <c r="R9"/>
      <c r="S9" s="1"/>
      <c r="T9" s="1"/>
      <c r="U9" s="1"/>
    </row>
    <row r="10" spans="1:21" ht="15.75" x14ac:dyDescent="0.3">
      <c r="J10" s="101"/>
      <c r="K10" s="102"/>
      <c r="L10" s="102"/>
      <c r="M10" s="102"/>
      <c r="N10" s="102"/>
      <c r="O10" s="102"/>
      <c r="P10" s="103"/>
      <c r="Q10"/>
      <c r="R10"/>
    </row>
    <row r="11" spans="1:21" ht="16.5" thickBot="1" x14ac:dyDescent="0.35">
      <c r="A11" s="5" t="s">
        <v>9</v>
      </c>
      <c r="C11" s="1" t="s">
        <v>156</v>
      </c>
      <c r="F11" s="5" t="s">
        <v>1</v>
      </c>
      <c r="J11" s="101"/>
      <c r="K11" s="102"/>
      <c r="L11" s="102"/>
      <c r="M11" s="102"/>
      <c r="N11" s="102"/>
      <c r="O11" s="102"/>
      <c r="P11" s="103"/>
      <c r="Q11"/>
      <c r="R11"/>
    </row>
    <row r="12" spans="1:21" ht="15.75" x14ac:dyDescent="0.3">
      <c r="A12" s="5"/>
      <c r="F12" s="11"/>
      <c r="G12" s="12"/>
      <c r="H12" s="13"/>
      <c r="J12" s="101"/>
      <c r="K12" s="102"/>
      <c r="L12" s="102"/>
      <c r="M12" s="102"/>
      <c r="N12" s="102"/>
      <c r="O12" s="102"/>
      <c r="P12" s="103"/>
      <c r="Q12"/>
      <c r="R12"/>
    </row>
    <row r="13" spans="1:21" ht="15.75" x14ac:dyDescent="0.3">
      <c r="A13" s="5" t="s">
        <v>11</v>
      </c>
      <c r="F13" s="6"/>
      <c r="G13" s="7"/>
      <c r="H13" s="8"/>
      <c r="J13" s="101"/>
      <c r="K13" s="102"/>
      <c r="L13" s="102"/>
      <c r="M13" s="102"/>
      <c r="N13" s="102"/>
      <c r="O13" s="102"/>
      <c r="P13" s="103"/>
      <c r="Q13"/>
      <c r="R13"/>
    </row>
    <row r="14" spans="1:21" ht="15.75" x14ac:dyDescent="0.3">
      <c r="A14" s="5"/>
      <c r="F14" s="6"/>
      <c r="G14" s="7"/>
      <c r="H14" s="8"/>
      <c r="J14" s="101"/>
      <c r="K14" s="102"/>
      <c r="L14" s="102"/>
      <c r="M14" s="102"/>
      <c r="N14" s="102"/>
      <c r="O14" s="102"/>
      <c r="P14" s="103"/>
      <c r="Q14"/>
      <c r="R14"/>
    </row>
    <row r="15" spans="1:21" ht="15.75" x14ac:dyDescent="0.3">
      <c r="A15" s="5" t="s">
        <v>12</v>
      </c>
      <c r="C15" s="19" t="s">
        <v>157</v>
      </c>
      <c r="D15" s="18"/>
      <c r="E15" s="18"/>
      <c r="F15" s="84" t="s">
        <v>106</v>
      </c>
      <c r="G15" s="7"/>
      <c r="H15" s="8"/>
      <c r="J15" s="101"/>
      <c r="K15" s="102"/>
      <c r="L15" s="102"/>
      <c r="M15" s="102"/>
      <c r="N15" s="102"/>
      <c r="O15" s="102"/>
      <c r="P15" s="103"/>
      <c r="Q15"/>
      <c r="R15"/>
    </row>
    <row r="16" spans="1:21" ht="16.5" thickBot="1" x14ac:dyDescent="0.35">
      <c r="C16" s="17" t="s">
        <v>158</v>
      </c>
      <c r="D16" s="18"/>
      <c r="E16" s="18"/>
      <c r="F16" s="52">
        <v>44</v>
      </c>
      <c r="G16" s="85" t="s">
        <v>100</v>
      </c>
      <c r="H16" s="86">
        <v>21</v>
      </c>
      <c r="J16" s="104"/>
      <c r="K16" s="105"/>
      <c r="L16" s="105"/>
      <c r="M16" s="105"/>
      <c r="N16" s="105"/>
      <c r="O16" s="105"/>
      <c r="P16" s="106"/>
      <c r="Q16"/>
      <c r="R16"/>
    </row>
    <row r="17" spans="1:18" ht="15.75" x14ac:dyDescent="0.3">
      <c r="C17" s="17"/>
      <c r="D17" s="18"/>
      <c r="E17" s="18"/>
      <c r="F17" s="84">
        <v>1</v>
      </c>
      <c r="G17" s="87" t="s">
        <v>101</v>
      </c>
      <c r="H17" s="8"/>
      <c r="J17"/>
      <c r="K17"/>
      <c r="L17"/>
      <c r="M17"/>
      <c r="N17"/>
      <c r="O17"/>
      <c r="P17"/>
      <c r="Q17"/>
      <c r="R17"/>
    </row>
    <row r="18" spans="1:18" x14ac:dyDescent="0.3">
      <c r="C18" s="17"/>
      <c r="D18" s="18"/>
      <c r="E18" s="18"/>
      <c r="F18" s="84"/>
      <c r="G18" s="7"/>
      <c r="H18" s="8"/>
      <c r="J18" s="21" t="s">
        <v>13</v>
      </c>
      <c r="K18" s="21" t="s">
        <v>16</v>
      </c>
      <c r="L18" s="1" t="s">
        <v>130</v>
      </c>
      <c r="M18" s="1" t="s">
        <v>131</v>
      </c>
      <c r="N18" s="1" t="s">
        <v>128</v>
      </c>
      <c r="O18" s="1" t="s">
        <v>132</v>
      </c>
      <c r="P18" s="1" t="s">
        <v>133</v>
      </c>
    </row>
    <row r="19" spans="1:18" x14ac:dyDescent="0.3">
      <c r="C19" s="20"/>
      <c r="D19" s="18"/>
      <c r="E19" s="18"/>
      <c r="F19" s="52"/>
      <c r="G19" s="85"/>
      <c r="H19" s="86"/>
      <c r="K19" s="42" t="s">
        <v>134</v>
      </c>
      <c r="M19" s="76">
        <f>+L19/100</f>
        <v>0</v>
      </c>
      <c r="N19" s="76">
        <v>120</v>
      </c>
      <c r="O19" s="76">
        <v>120</v>
      </c>
      <c r="P19" s="76">
        <v>120</v>
      </c>
    </row>
    <row r="20" spans="1:18" x14ac:dyDescent="0.3">
      <c r="C20" s="18"/>
      <c r="D20" s="18"/>
      <c r="E20" s="18"/>
      <c r="F20" s="84"/>
      <c r="G20" s="87"/>
      <c r="H20" s="8"/>
      <c r="K20" s="42" t="s">
        <v>19</v>
      </c>
    </row>
    <row r="21" spans="1:18" x14ac:dyDescent="0.3">
      <c r="C21" s="18"/>
      <c r="D21" s="18"/>
      <c r="E21" s="18"/>
      <c r="F21" s="6"/>
      <c r="G21" s="7"/>
      <c r="H21" s="8"/>
      <c r="K21" s="42" t="s">
        <v>21</v>
      </c>
    </row>
    <row r="22" spans="1:18" ht="15" thickBot="1" x14ac:dyDescent="0.35">
      <c r="C22" s="18"/>
      <c r="D22" s="18"/>
      <c r="E22" s="18"/>
      <c r="F22" s="14"/>
      <c r="G22" s="15"/>
      <c r="H22" s="16"/>
      <c r="K22" s="42" t="s">
        <v>23</v>
      </c>
    </row>
    <row r="23" spans="1:18" x14ac:dyDescent="0.3">
      <c r="A23" s="4" t="s">
        <v>14</v>
      </c>
      <c r="C23" s="22" t="s">
        <v>126</v>
      </c>
      <c r="D23" s="5" t="s">
        <v>15</v>
      </c>
      <c r="E23" s="23" t="s">
        <v>112</v>
      </c>
      <c r="F23" s="1" t="s">
        <v>113</v>
      </c>
    </row>
    <row r="25" spans="1:18" ht="15" thickBot="1" x14ac:dyDescent="0.35">
      <c r="A25" s="4" t="s">
        <v>17</v>
      </c>
      <c r="C25" s="24">
        <v>90</v>
      </c>
      <c r="D25" s="23" t="s">
        <v>18</v>
      </c>
      <c r="E25" s="25">
        <v>130</v>
      </c>
      <c r="F25" s="26">
        <f>+C25</f>
        <v>90</v>
      </c>
      <c r="G25" s="27" t="s">
        <v>18</v>
      </c>
      <c r="H25" s="27">
        <f>+E25</f>
        <v>130</v>
      </c>
      <c r="J25" s="21" t="s">
        <v>26</v>
      </c>
    </row>
    <row r="26" spans="1:18" ht="15" thickBot="1" x14ac:dyDescent="0.35">
      <c r="A26" s="4" t="s">
        <v>20</v>
      </c>
      <c r="B26" s="3"/>
      <c r="C26" s="28">
        <f>+F16</f>
        <v>44</v>
      </c>
      <c r="D26" s="29" t="s">
        <v>18</v>
      </c>
      <c r="E26" s="28">
        <f>+H16</f>
        <v>21</v>
      </c>
      <c r="F26" s="30">
        <f>+E26</f>
        <v>21</v>
      </c>
      <c r="G26" s="30" t="s">
        <v>18</v>
      </c>
      <c r="H26" s="30">
        <f>+C26</f>
        <v>44</v>
      </c>
      <c r="I26" s="31"/>
      <c r="J26" s="21"/>
      <c r="M26" s="107" t="s">
        <v>88</v>
      </c>
      <c r="N26" s="108" t="s">
        <v>135</v>
      </c>
      <c r="O26" s="47"/>
    </row>
    <row r="27" spans="1:18" ht="15" thickBot="1" x14ac:dyDescent="0.35">
      <c r="A27" s="3" t="s">
        <v>22</v>
      </c>
      <c r="B27" s="32"/>
      <c r="C27" s="33">
        <f>+C25/C26</f>
        <v>2.0454545454545454</v>
      </c>
      <c r="D27" s="34"/>
      <c r="E27" s="33">
        <f>+E25/E26</f>
        <v>6.1904761904761907</v>
      </c>
      <c r="F27" s="33">
        <f>+F25/F26</f>
        <v>4.2857142857142856</v>
      </c>
      <c r="G27" s="34"/>
      <c r="H27" s="33">
        <f>+H25/H26</f>
        <v>2.9545454545454546</v>
      </c>
      <c r="I27" s="31"/>
      <c r="K27" s="1" t="s">
        <v>32</v>
      </c>
      <c r="L27" s="1" t="s">
        <v>136</v>
      </c>
      <c r="M27" s="109"/>
      <c r="N27" s="46"/>
      <c r="O27" s="47"/>
      <c r="P27" s="48"/>
      <c r="Q27" s="12"/>
      <c r="R27" s="13"/>
    </row>
    <row r="28" spans="1:18" ht="15" thickBot="1" x14ac:dyDescent="0.35">
      <c r="A28" s="3" t="s">
        <v>24</v>
      </c>
      <c r="B28" s="35"/>
      <c r="C28" s="36"/>
      <c r="D28" s="37">
        <v>12</v>
      </c>
      <c r="E28" s="38"/>
      <c r="F28" s="39"/>
      <c r="G28" s="40">
        <v>8</v>
      </c>
      <c r="H28" s="41" t="s">
        <v>25</v>
      </c>
      <c r="K28" s="1" t="s">
        <v>137</v>
      </c>
      <c r="M28" s="110">
        <v>135</v>
      </c>
      <c r="N28" s="111" t="s">
        <v>138</v>
      </c>
      <c r="O28" s="51"/>
      <c r="P28" s="52"/>
      <c r="Q28" s="7"/>
      <c r="R28" s="8"/>
    </row>
    <row r="29" spans="1:18" x14ac:dyDescent="0.3">
      <c r="A29" s="3"/>
      <c r="B29" s="22"/>
      <c r="C29" s="31"/>
      <c r="G29" s="42"/>
      <c r="H29" s="31"/>
      <c r="K29" s="1" t="s">
        <v>139</v>
      </c>
      <c r="M29" s="110">
        <v>135</v>
      </c>
      <c r="N29" s="112" t="s">
        <v>138</v>
      </c>
      <c r="O29" s="51"/>
      <c r="P29" s="52"/>
      <c r="Q29" s="7"/>
      <c r="R29" s="8"/>
    </row>
    <row r="30" spans="1:18" x14ac:dyDescent="0.3">
      <c r="A30" s="26" t="s">
        <v>27</v>
      </c>
      <c r="B30" s="26" t="s">
        <v>107</v>
      </c>
      <c r="D30" s="42" t="s">
        <v>28</v>
      </c>
      <c r="E30" s="43">
        <v>44.332000000000001</v>
      </c>
      <c r="G30" s="1" t="s">
        <v>29</v>
      </c>
      <c r="H30" s="44">
        <v>0</v>
      </c>
      <c r="K30" s="1" t="s">
        <v>35</v>
      </c>
      <c r="M30" s="110">
        <v>200</v>
      </c>
      <c r="N30" s="112" t="s">
        <v>140</v>
      </c>
      <c r="O30" s="51"/>
      <c r="P30" s="52"/>
      <c r="Q30" s="7"/>
      <c r="R30" s="8"/>
    </row>
    <row r="31" spans="1:18" x14ac:dyDescent="0.3">
      <c r="A31" s="3"/>
      <c r="B31" s="3"/>
      <c r="C31" s="3"/>
      <c r="D31" s="45" t="s">
        <v>30</v>
      </c>
      <c r="E31" s="43">
        <f>+H30*E30</f>
        <v>0</v>
      </c>
      <c r="H31" s="44"/>
      <c r="I31" s="31"/>
      <c r="K31" s="1" t="s">
        <v>37</v>
      </c>
      <c r="L31" s="1" t="s">
        <v>136</v>
      </c>
      <c r="M31" s="110"/>
      <c r="N31" s="112"/>
      <c r="O31" s="51"/>
      <c r="P31" s="52"/>
      <c r="Q31" s="7"/>
      <c r="R31" s="8"/>
    </row>
    <row r="32" spans="1:18" x14ac:dyDescent="0.3">
      <c r="D32" s="45" t="s">
        <v>31</v>
      </c>
      <c r="E32" s="49">
        <f>+E30-E31</f>
        <v>44.332000000000001</v>
      </c>
      <c r="I32" s="31"/>
      <c r="K32" s="1" t="s">
        <v>39</v>
      </c>
      <c r="M32" s="110">
        <v>300</v>
      </c>
      <c r="N32" s="112" t="s">
        <v>140</v>
      </c>
      <c r="O32" s="51"/>
      <c r="P32" s="52"/>
      <c r="Q32" s="7"/>
      <c r="R32" s="8"/>
    </row>
    <row r="33" spans="1:18" x14ac:dyDescent="0.3">
      <c r="E33" s="22" t="s">
        <v>33</v>
      </c>
      <c r="F33" s="22" t="s">
        <v>34</v>
      </c>
      <c r="G33" s="22" t="s">
        <v>34</v>
      </c>
      <c r="H33" s="22" t="s">
        <v>34</v>
      </c>
      <c r="I33" s="31"/>
      <c r="K33" s="1" t="s">
        <v>40</v>
      </c>
      <c r="L33" s="1" t="s">
        <v>136</v>
      </c>
      <c r="M33" s="110"/>
      <c r="N33" s="112"/>
      <c r="O33" s="51"/>
      <c r="P33" s="52"/>
      <c r="Q33" s="7"/>
      <c r="R33" s="8"/>
    </row>
    <row r="34" spans="1:18" x14ac:dyDescent="0.3">
      <c r="D34" s="42" t="s">
        <v>36</v>
      </c>
      <c r="E34" s="54">
        <f>+E32</f>
        <v>44.332000000000001</v>
      </c>
      <c r="F34" s="54">
        <v>0</v>
      </c>
      <c r="G34" s="54">
        <v>0</v>
      </c>
      <c r="H34" s="54">
        <v>0</v>
      </c>
      <c r="K34" s="1" t="s">
        <v>46</v>
      </c>
      <c r="L34" s="1" t="s">
        <v>136</v>
      </c>
      <c r="M34" s="110"/>
      <c r="N34" s="112"/>
      <c r="O34" s="51"/>
      <c r="P34" s="52"/>
      <c r="Q34" s="7"/>
      <c r="R34" s="8"/>
    </row>
    <row r="35" spans="1:18" x14ac:dyDescent="0.3">
      <c r="D35" s="42" t="s">
        <v>38</v>
      </c>
      <c r="E35" s="54">
        <f>+E34*1.15</f>
        <v>50.9818</v>
      </c>
      <c r="F35" s="54">
        <v>0</v>
      </c>
      <c r="G35" s="54">
        <v>0</v>
      </c>
      <c r="H35" s="54">
        <v>0</v>
      </c>
      <c r="K35" s="1" t="s">
        <v>48</v>
      </c>
      <c r="L35" s="1" t="s">
        <v>136</v>
      </c>
      <c r="M35" s="110"/>
      <c r="N35" s="112"/>
      <c r="O35" s="51"/>
      <c r="P35" s="52"/>
      <c r="Q35" s="7"/>
      <c r="R35" s="8"/>
    </row>
    <row r="36" spans="1:18" ht="15" thickBot="1" x14ac:dyDescent="0.35">
      <c r="A36" s="3"/>
      <c r="G36" s="42"/>
      <c r="K36" s="1" t="s">
        <v>51</v>
      </c>
      <c r="L36" s="1" t="s">
        <v>136</v>
      </c>
      <c r="M36" s="110"/>
      <c r="N36" s="112"/>
      <c r="O36" s="51"/>
      <c r="P36" s="52"/>
      <c r="Q36" s="7"/>
      <c r="R36" s="8"/>
    </row>
    <row r="37" spans="1:18" x14ac:dyDescent="0.3">
      <c r="A37" s="3"/>
      <c r="B37" s="22"/>
      <c r="C37" s="31"/>
      <c r="E37" s="11" t="s">
        <v>41</v>
      </c>
      <c r="F37" s="12" t="s">
        <v>42</v>
      </c>
      <c r="G37" s="12"/>
      <c r="H37" s="13"/>
      <c r="K37" s="1" t="s">
        <v>54</v>
      </c>
      <c r="L37" s="1" t="s">
        <v>136</v>
      </c>
      <c r="M37" s="110"/>
      <c r="N37" s="112"/>
      <c r="O37" s="51"/>
      <c r="P37" s="52"/>
      <c r="Q37" s="7"/>
      <c r="R37" s="8"/>
    </row>
    <row r="38" spans="1:18" ht="15" thickBot="1" x14ac:dyDescent="0.35">
      <c r="A38" s="4" t="s">
        <v>43</v>
      </c>
      <c r="C38" s="55">
        <v>12</v>
      </c>
      <c r="D38" s="56" t="s">
        <v>44</v>
      </c>
      <c r="E38" s="14"/>
      <c r="F38" s="15" t="s">
        <v>45</v>
      </c>
      <c r="G38" s="15"/>
      <c r="H38" s="16"/>
      <c r="K38" s="1" t="s">
        <v>57</v>
      </c>
      <c r="L38" s="1" t="s">
        <v>136</v>
      </c>
      <c r="M38" s="110"/>
      <c r="N38" s="112"/>
      <c r="O38" s="51"/>
      <c r="P38" s="52"/>
      <c r="Q38" s="7"/>
      <c r="R38" s="8"/>
    </row>
    <row r="39" spans="1:18" x14ac:dyDescent="0.3">
      <c r="A39" s="4"/>
      <c r="C39" s="22"/>
      <c r="D39" s="1" t="s">
        <v>47</v>
      </c>
      <c r="E39" s="3"/>
      <c r="F39" s="3"/>
      <c r="K39" s="1" t="s">
        <v>59</v>
      </c>
      <c r="L39" s="1" t="s">
        <v>136</v>
      </c>
      <c r="M39" s="110"/>
      <c r="N39" s="112"/>
      <c r="O39" s="51"/>
      <c r="P39" s="52"/>
      <c r="Q39" s="7"/>
      <c r="R39" s="8"/>
    </row>
    <row r="40" spans="1:18" x14ac:dyDescent="0.3">
      <c r="A40" s="4" t="s">
        <v>49</v>
      </c>
      <c r="B40" s="5"/>
      <c r="C40" s="57">
        <f>+B48/F17</f>
        <v>650</v>
      </c>
      <c r="D40" s="25">
        <v>100</v>
      </c>
      <c r="F40" s="45" t="s">
        <v>50</v>
      </c>
      <c r="G40" s="24">
        <v>1</v>
      </c>
      <c r="H40" s="3"/>
      <c r="K40" s="1" t="s">
        <v>61</v>
      </c>
      <c r="M40" s="110">
        <v>120</v>
      </c>
      <c r="N40" s="112" t="s">
        <v>138</v>
      </c>
      <c r="O40" s="51"/>
      <c r="P40" s="52"/>
      <c r="Q40" s="7"/>
      <c r="R40" s="8"/>
    </row>
    <row r="41" spans="1:18" x14ac:dyDescent="0.3">
      <c r="A41" s="4" t="s">
        <v>52</v>
      </c>
      <c r="C41" s="35">
        <f>+C40+D40</f>
        <v>750</v>
      </c>
      <c r="F41" s="45" t="s">
        <v>53</v>
      </c>
      <c r="G41" s="24">
        <v>1</v>
      </c>
      <c r="H41" s="3"/>
      <c r="K41" s="1" t="s">
        <v>141</v>
      </c>
      <c r="M41" s="50"/>
      <c r="N41" s="53"/>
      <c r="O41" s="51"/>
      <c r="P41" s="52"/>
      <c r="Q41" s="7"/>
      <c r="R41" s="8"/>
    </row>
    <row r="42" spans="1:18" ht="15" thickBot="1" x14ac:dyDescent="0.35">
      <c r="A42" s="4" t="s">
        <v>55</v>
      </c>
      <c r="C42" s="35">
        <f>+C41/C38</f>
        <v>62.5</v>
      </c>
      <c r="F42" s="45" t="s">
        <v>56</v>
      </c>
      <c r="G42" s="24"/>
      <c r="H42" s="3"/>
      <c r="K42" s="1" t="s">
        <v>63</v>
      </c>
      <c r="M42" s="59"/>
      <c r="N42" s="60"/>
      <c r="O42" s="61"/>
      <c r="P42" s="62"/>
      <c r="Q42" s="15"/>
      <c r="R42" s="16"/>
    </row>
    <row r="43" spans="1:18" x14ac:dyDescent="0.3">
      <c r="A43" s="4"/>
      <c r="C43" s="22"/>
      <c r="F43" s="42" t="s">
        <v>58</v>
      </c>
      <c r="G43" s="24">
        <f>+C40/1000</f>
        <v>0.65</v>
      </c>
      <c r="H43" s="3"/>
      <c r="M43" s="7"/>
      <c r="N43" s="10"/>
      <c r="O43" s="85"/>
      <c r="P43" s="85"/>
      <c r="Q43" s="7"/>
      <c r="R43" s="7"/>
    </row>
    <row r="44" spans="1:18" ht="15.75" x14ac:dyDescent="0.3">
      <c r="A44" s="4"/>
      <c r="C44" s="58"/>
      <c r="F44" s="45" t="s">
        <v>60</v>
      </c>
      <c r="G44" s="55">
        <f>+C41</f>
        <v>750</v>
      </c>
      <c r="H44" s="3"/>
      <c r="K44"/>
      <c r="L44"/>
      <c r="M44"/>
      <c r="N44"/>
      <c r="O44"/>
      <c r="P44"/>
      <c r="Q44"/>
      <c r="R44"/>
    </row>
    <row r="45" spans="1:18" ht="15.75" x14ac:dyDescent="0.3">
      <c r="A45" s="4"/>
      <c r="C45" s="22"/>
      <c r="E45" s="45"/>
      <c r="F45" s="45"/>
      <c r="G45" s="31"/>
      <c r="I45" s="3"/>
      <c r="J45"/>
      <c r="K45"/>
      <c r="L45"/>
      <c r="M45"/>
      <c r="N45"/>
      <c r="O45"/>
      <c r="P45"/>
      <c r="Q45"/>
      <c r="R45"/>
    </row>
    <row r="46" spans="1:18" ht="15.75" x14ac:dyDescent="0.3">
      <c r="A46" s="4" t="s">
        <v>62</v>
      </c>
      <c r="C46" s="26">
        <f>+C42*C38</f>
        <v>750</v>
      </c>
      <c r="F46" s="45"/>
      <c r="G46" s="31"/>
      <c r="H46" s="3"/>
      <c r="J46"/>
      <c r="K46"/>
      <c r="L46"/>
      <c r="M46"/>
      <c r="N46"/>
      <c r="O46"/>
      <c r="P46"/>
      <c r="Q46"/>
      <c r="R46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10</v>
      </c>
    </row>
    <row r="48" spans="1:18" x14ac:dyDescent="0.3">
      <c r="A48" s="4" t="s">
        <v>95</v>
      </c>
      <c r="B48" s="22">
        <v>650</v>
      </c>
      <c r="C48" s="3"/>
      <c r="D48" s="26" t="s">
        <v>64</v>
      </c>
      <c r="E48" s="26" t="s">
        <v>65</v>
      </c>
      <c r="F48" s="26" t="s">
        <v>66</v>
      </c>
      <c r="G48" s="26" t="s">
        <v>67</v>
      </c>
      <c r="H48" s="26" t="s">
        <v>68</v>
      </c>
      <c r="J48" s="11"/>
      <c r="K48" s="12"/>
      <c r="L48" s="12"/>
      <c r="M48" s="12"/>
      <c r="N48" s="12"/>
      <c r="O48" s="12"/>
      <c r="P48" s="12"/>
      <c r="Q48" s="12"/>
      <c r="R48" s="13"/>
    </row>
    <row r="49" spans="1:23" x14ac:dyDescent="0.3">
      <c r="A49" s="63" t="s">
        <v>69</v>
      </c>
      <c r="B49" s="64"/>
      <c r="C49" s="3"/>
      <c r="D49" s="22">
        <v>1</v>
      </c>
      <c r="E49" s="22">
        <v>0</v>
      </c>
      <c r="F49" s="22" t="s">
        <v>108</v>
      </c>
      <c r="G49" s="31">
        <v>7</v>
      </c>
      <c r="H49" s="31">
        <f>+(D49*E49)*G49</f>
        <v>0</v>
      </c>
      <c r="J49" s="6"/>
      <c r="K49" s="7"/>
      <c r="L49" s="7"/>
      <c r="M49" s="7"/>
      <c r="N49" s="7"/>
      <c r="O49" s="7"/>
      <c r="P49" s="7"/>
      <c r="Q49" s="7"/>
      <c r="R49" s="8"/>
    </row>
    <row r="50" spans="1:23" x14ac:dyDescent="0.3">
      <c r="A50" s="64" t="s">
        <v>71</v>
      </c>
      <c r="B50" s="65">
        <f>+E34*C42</f>
        <v>2770.75</v>
      </c>
      <c r="C50" s="3"/>
      <c r="D50" s="22">
        <v>0</v>
      </c>
      <c r="E50" s="22">
        <v>0</v>
      </c>
      <c r="F50" s="22" t="s">
        <v>109</v>
      </c>
      <c r="G50" s="31">
        <v>250</v>
      </c>
      <c r="H50" s="31">
        <f>+(D50*E50)*G50</f>
        <v>0</v>
      </c>
      <c r="J50" s="6"/>
      <c r="K50" s="7"/>
      <c r="L50" s="7"/>
      <c r="M50" s="7"/>
      <c r="N50" s="7"/>
      <c r="O50" s="7"/>
      <c r="P50" s="7"/>
      <c r="Q50" s="7"/>
      <c r="R50" s="8"/>
    </row>
    <row r="51" spans="1:23" x14ac:dyDescent="0.3">
      <c r="A51" s="64" t="s">
        <v>13</v>
      </c>
      <c r="B51" s="65">
        <f>+H61</f>
        <v>400</v>
      </c>
      <c r="C51" s="3"/>
      <c r="D51" s="22">
        <v>0</v>
      </c>
      <c r="E51" s="22">
        <v>0</v>
      </c>
      <c r="F51" s="22" t="s">
        <v>102</v>
      </c>
      <c r="G51" s="31">
        <v>500</v>
      </c>
      <c r="H51" s="31">
        <f>+G51*E51*D51</f>
        <v>0</v>
      </c>
      <c r="J51" s="6"/>
      <c r="K51" s="7"/>
      <c r="L51" s="7"/>
      <c r="M51" s="7"/>
      <c r="N51" s="7"/>
      <c r="O51" s="7"/>
      <c r="P51" s="7"/>
      <c r="Q51" s="7"/>
      <c r="R51" s="8"/>
    </row>
    <row r="52" spans="1:23" x14ac:dyDescent="0.3">
      <c r="A52" s="64"/>
      <c r="B52" s="65"/>
      <c r="C52" s="3"/>
      <c r="D52" s="22">
        <v>1</v>
      </c>
      <c r="E52" s="22">
        <v>1</v>
      </c>
      <c r="F52" s="22" t="s">
        <v>117</v>
      </c>
      <c r="G52" s="31">
        <v>400</v>
      </c>
      <c r="H52" s="31">
        <f t="shared" ref="H52:H59" si="0">+G52*E52</f>
        <v>400</v>
      </c>
      <c r="I52" s="31">
        <f>+(B72/100)*2</f>
        <v>75.727249999999998</v>
      </c>
      <c r="J52" s="6"/>
      <c r="K52" s="7"/>
      <c r="L52" s="7"/>
      <c r="M52" s="7"/>
      <c r="N52" s="7"/>
      <c r="O52" s="7"/>
      <c r="P52" s="7"/>
      <c r="Q52" s="7"/>
      <c r="R52" s="8"/>
    </row>
    <row r="53" spans="1:23" ht="16.5" x14ac:dyDescent="0.3">
      <c r="A53" s="64" t="s">
        <v>32</v>
      </c>
      <c r="B53" s="65">
        <v>0</v>
      </c>
      <c r="C53" s="3"/>
      <c r="D53" s="22">
        <v>1</v>
      </c>
      <c r="E53" s="22">
        <v>0</v>
      </c>
      <c r="F53" s="22" t="s">
        <v>97</v>
      </c>
      <c r="G53" s="31">
        <v>120</v>
      </c>
      <c r="H53" s="31">
        <f t="shared" si="0"/>
        <v>0</v>
      </c>
      <c r="I53" s="66"/>
      <c r="J53" s="6"/>
      <c r="K53" s="7"/>
      <c r="L53" s="7"/>
      <c r="M53" s="7"/>
      <c r="N53" s="7"/>
      <c r="O53" s="7"/>
      <c r="P53" s="7"/>
      <c r="Q53" s="7"/>
      <c r="R53" s="8"/>
    </row>
    <row r="54" spans="1:23" x14ac:dyDescent="0.3">
      <c r="A54" s="67" t="s">
        <v>103</v>
      </c>
      <c r="B54" s="65">
        <v>0</v>
      </c>
      <c r="C54" s="3"/>
      <c r="D54" s="22">
        <v>1</v>
      </c>
      <c r="E54" s="22">
        <v>0</v>
      </c>
      <c r="F54" s="22" t="s">
        <v>98</v>
      </c>
      <c r="G54" s="31">
        <v>120</v>
      </c>
      <c r="H54" s="31">
        <f t="shared" si="0"/>
        <v>0</v>
      </c>
      <c r="J54" s="6"/>
      <c r="K54" s="7"/>
      <c r="L54" s="7"/>
      <c r="M54" s="7"/>
      <c r="N54" s="7"/>
      <c r="O54" s="7"/>
      <c r="P54" s="7"/>
      <c r="Q54" s="7"/>
      <c r="R54" s="8"/>
    </row>
    <row r="55" spans="1:23" ht="15" thickBot="1" x14ac:dyDescent="0.35">
      <c r="A55" s="67" t="s">
        <v>104</v>
      </c>
      <c r="B55" s="65">
        <v>0</v>
      </c>
      <c r="D55" s="22">
        <v>0</v>
      </c>
      <c r="E55" s="22">
        <v>0</v>
      </c>
      <c r="F55" s="22" t="s">
        <v>39</v>
      </c>
      <c r="G55" s="31">
        <v>1.5</v>
      </c>
      <c r="H55" s="31">
        <f t="shared" si="0"/>
        <v>0</v>
      </c>
      <c r="J55" s="14"/>
      <c r="K55" s="15"/>
      <c r="L55" s="15"/>
      <c r="M55" s="15"/>
      <c r="N55" s="15"/>
      <c r="O55" s="15"/>
      <c r="P55" s="15"/>
      <c r="Q55" s="15"/>
      <c r="R55" s="16"/>
    </row>
    <row r="56" spans="1:23" x14ac:dyDescent="0.3">
      <c r="A56" s="67" t="s">
        <v>105</v>
      </c>
      <c r="B56" s="65">
        <v>0</v>
      </c>
      <c r="D56" s="22">
        <v>1</v>
      </c>
      <c r="E56" s="22">
        <v>0</v>
      </c>
      <c r="F56" s="22" t="s">
        <v>72</v>
      </c>
      <c r="G56" s="31">
        <v>1.5</v>
      </c>
      <c r="H56" s="31">
        <f t="shared" si="0"/>
        <v>0</v>
      </c>
    </row>
    <row r="57" spans="1:23" x14ac:dyDescent="0.3">
      <c r="A57" s="67"/>
      <c r="B57" s="67"/>
      <c r="D57" s="22">
        <v>0</v>
      </c>
      <c r="E57" s="22">
        <v>0</v>
      </c>
      <c r="F57" s="22" t="s">
        <v>73</v>
      </c>
      <c r="G57" s="31">
        <v>1.5</v>
      </c>
      <c r="H57" s="31">
        <f t="shared" si="0"/>
        <v>0</v>
      </c>
      <c r="J57" s="5" t="s">
        <v>74</v>
      </c>
    </row>
    <row r="58" spans="1:23" ht="15.75" x14ac:dyDescent="0.3">
      <c r="A58" s="63" t="s">
        <v>75</v>
      </c>
      <c r="B58" s="68">
        <f>SUM(B50:B57)</f>
        <v>3170.75</v>
      </c>
      <c r="C58" s="3"/>
      <c r="D58" s="22">
        <v>0</v>
      </c>
      <c r="E58" s="22">
        <v>0</v>
      </c>
      <c r="F58" s="3" t="s">
        <v>76</v>
      </c>
      <c r="G58" s="31">
        <v>600</v>
      </c>
      <c r="H58" s="31">
        <f t="shared" si="0"/>
        <v>0</v>
      </c>
      <c r="L58" s="5"/>
      <c r="S58"/>
      <c r="T58"/>
      <c r="U58"/>
      <c r="V58"/>
      <c r="W58"/>
    </row>
    <row r="59" spans="1:23" ht="15.75" x14ac:dyDescent="0.3">
      <c r="A59" s="9"/>
      <c r="B59" s="69"/>
      <c r="C59" s="3"/>
      <c r="D59" s="22"/>
      <c r="E59" s="22"/>
      <c r="F59" s="3"/>
      <c r="G59" s="3"/>
      <c r="H59" s="31">
        <f t="shared" si="0"/>
        <v>0</v>
      </c>
      <c r="K59" s="72" t="s">
        <v>77</v>
      </c>
      <c r="L59" s="121" t="s">
        <v>146</v>
      </c>
      <c r="M59" s="122"/>
      <c r="O59" s="72" t="s">
        <v>77</v>
      </c>
      <c r="P59" s="121" t="s">
        <v>142</v>
      </c>
      <c r="Q59" s="122"/>
      <c r="S59"/>
      <c r="T59"/>
      <c r="U59"/>
      <c r="V59"/>
      <c r="W59"/>
    </row>
    <row r="60" spans="1:23" ht="15.75" x14ac:dyDescent="0.3">
      <c r="A60" s="9"/>
      <c r="B60" s="33">
        <f>+B58/B48</f>
        <v>4.8780769230769234</v>
      </c>
      <c r="C60" s="4" t="s">
        <v>78</v>
      </c>
      <c r="D60" s="3"/>
      <c r="E60" s="3"/>
      <c r="F60" s="3"/>
      <c r="G60" s="3"/>
      <c r="K60" s="42" t="s">
        <v>2</v>
      </c>
      <c r="L60" s="70" t="s">
        <v>147</v>
      </c>
      <c r="M60" s="71"/>
      <c r="O60" s="42" t="s">
        <v>2</v>
      </c>
      <c r="P60" s="70"/>
      <c r="Q60" s="71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72" t="s">
        <v>79</v>
      </c>
      <c r="H61" s="31">
        <f>SUM(H49:H60)</f>
        <v>400</v>
      </c>
      <c r="K61" s="42" t="s">
        <v>15</v>
      </c>
      <c r="L61" s="113" t="s">
        <v>143</v>
      </c>
      <c r="M61" s="71"/>
      <c r="O61" s="42" t="s">
        <v>15</v>
      </c>
      <c r="P61" s="70"/>
      <c r="Q61" s="71"/>
      <c r="S61"/>
      <c r="T61"/>
      <c r="U61"/>
      <c r="V61"/>
      <c r="W61"/>
    </row>
    <row r="62" spans="1:23" ht="15.75" x14ac:dyDescent="0.3">
      <c r="D62" s="3"/>
      <c r="E62" s="3"/>
      <c r="G62" s="5" t="s">
        <v>80</v>
      </c>
      <c r="H62" s="88">
        <v>1.5</v>
      </c>
      <c r="K62" s="42" t="s">
        <v>81</v>
      </c>
      <c r="L62" s="113"/>
      <c r="M62" s="71" t="s">
        <v>144</v>
      </c>
      <c r="O62" s="42" t="s">
        <v>81</v>
      </c>
      <c r="P62" s="70"/>
      <c r="Q62" s="71"/>
      <c r="S62"/>
      <c r="T62"/>
      <c r="U62"/>
      <c r="V62"/>
      <c r="W62"/>
    </row>
    <row r="63" spans="1:23" ht="15.75" x14ac:dyDescent="0.3">
      <c r="A63" s="4" t="s">
        <v>82</v>
      </c>
      <c r="B63" s="3"/>
      <c r="C63" s="3"/>
      <c r="E63" s="33">
        <f>+B72/C40</f>
        <v>5.8251730769230772</v>
      </c>
      <c r="G63" s="1" t="s">
        <v>83</v>
      </c>
      <c r="H63" s="73">
        <v>1.75</v>
      </c>
      <c r="K63" s="42" t="s">
        <v>84</v>
      </c>
      <c r="L63" s="113"/>
      <c r="M63" s="71"/>
      <c r="O63" s="42" t="s">
        <v>84</v>
      </c>
      <c r="P63" s="70"/>
      <c r="Q63" s="71"/>
      <c r="S63"/>
      <c r="T63"/>
      <c r="U63"/>
      <c r="V63"/>
      <c r="W63"/>
    </row>
    <row r="64" spans="1:23" ht="15.75" x14ac:dyDescent="0.3">
      <c r="A64" s="3"/>
      <c r="B64" s="4" t="s">
        <v>85</v>
      </c>
      <c r="C64" s="26" t="s">
        <v>86</v>
      </c>
      <c r="D64" s="3"/>
      <c r="E64" s="3"/>
      <c r="F64" s="3"/>
      <c r="G64" s="1" t="s">
        <v>83</v>
      </c>
      <c r="H64" s="73">
        <v>2</v>
      </c>
      <c r="K64" s="42" t="s">
        <v>87</v>
      </c>
      <c r="L64" s="113">
        <v>3</v>
      </c>
      <c r="M64" s="114">
        <f>+((B47*60)*2)</f>
        <v>0</v>
      </c>
      <c r="O64" s="42" t="s">
        <v>87</v>
      </c>
      <c r="P64" s="70"/>
      <c r="Q64" s="71"/>
      <c r="S64"/>
      <c r="T64"/>
      <c r="U64"/>
      <c r="V64"/>
      <c r="W64"/>
    </row>
    <row r="65" spans="1:23" ht="15.75" x14ac:dyDescent="0.3">
      <c r="A65" s="63" t="s">
        <v>88</v>
      </c>
      <c r="B65" s="64"/>
      <c r="C65" s="3"/>
      <c r="D65" s="3">
        <f>+B72*C68</f>
        <v>0</v>
      </c>
      <c r="E65" s="3"/>
      <c r="F65" s="3"/>
      <c r="G65" s="5" t="s">
        <v>99</v>
      </c>
      <c r="H65" s="73">
        <v>2.5</v>
      </c>
      <c r="K65" s="42" t="s">
        <v>89</v>
      </c>
      <c r="L65" s="115"/>
      <c r="M65" s="71"/>
      <c r="O65" s="42" t="s">
        <v>89</v>
      </c>
      <c r="P65" s="116"/>
      <c r="Q65" s="71"/>
      <c r="S65"/>
      <c r="T65"/>
      <c r="U65"/>
      <c r="V65"/>
      <c r="W65"/>
    </row>
    <row r="66" spans="1:23" ht="15.75" x14ac:dyDescent="0.3">
      <c r="A66" s="64" t="s">
        <v>71</v>
      </c>
      <c r="B66" s="65">
        <f>+E35*C42</f>
        <v>3186.3625000000002</v>
      </c>
      <c r="C66" s="74"/>
      <c r="K66" s="42" t="s">
        <v>145</v>
      </c>
      <c r="L66" s="115">
        <v>54</v>
      </c>
      <c r="M66" s="117" t="s">
        <v>148</v>
      </c>
      <c r="O66" s="42" t="s">
        <v>145</v>
      </c>
      <c r="P66" s="116"/>
      <c r="Q66" s="117"/>
      <c r="S66"/>
      <c r="T66"/>
      <c r="U66"/>
      <c r="V66"/>
      <c r="W66"/>
    </row>
    <row r="67" spans="1:23" ht="15.75" x14ac:dyDescent="0.3">
      <c r="A67" s="64" t="s">
        <v>13</v>
      </c>
      <c r="B67" s="65">
        <f>+H61*H62</f>
        <v>600</v>
      </c>
      <c r="C67" s="74"/>
      <c r="K67" s="42" t="s">
        <v>91</v>
      </c>
      <c r="L67" s="115">
        <f>+L66*L64</f>
        <v>162</v>
      </c>
      <c r="M67" s="71"/>
      <c r="O67" s="42" t="s">
        <v>91</v>
      </c>
      <c r="P67" s="116"/>
      <c r="Q67" s="71"/>
      <c r="S67"/>
      <c r="T67"/>
      <c r="U67"/>
      <c r="V67"/>
      <c r="W67"/>
    </row>
    <row r="68" spans="1:23" ht="15.75" x14ac:dyDescent="0.3">
      <c r="A68" s="64" t="str">
        <f>+A54</f>
        <v>Placas</v>
      </c>
      <c r="B68" s="65">
        <f>+B54*H63</f>
        <v>0</v>
      </c>
      <c r="C68" s="74"/>
      <c r="G68" s="75" t="s">
        <v>90</v>
      </c>
      <c r="H68" s="33">
        <f>+B60</f>
        <v>4.8780769230769234</v>
      </c>
      <c r="I68" s="76">
        <f>+H68*B48</f>
        <v>3170.75</v>
      </c>
      <c r="K68" s="42" t="s">
        <v>139</v>
      </c>
      <c r="L68" s="115">
        <f>+M28+M29</f>
        <v>270</v>
      </c>
      <c r="M68" s="71"/>
      <c r="O68" s="42"/>
      <c r="P68" s="70"/>
      <c r="Q68" s="71"/>
      <c r="S68"/>
      <c r="T68"/>
      <c r="U68"/>
      <c r="V68"/>
      <c r="W68"/>
    </row>
    <row r="69" spans="1:23" ht="15.75" x14ac:dyDescent="0.3">
      <c r="A69" s="64" t="str">
        <f>+A55</f>
        <v>Mensajeria</v>
      </c>
      <c r="B69" s="65">
        <f>+B55*H62</f>
        <v>0</v>
      </c>
      <c r="C69" s="74"/>
      <c r="G69" s="75" t="s">
        <v>92</v>
      </c>
      <c r="H69" s="33">
        <f>+C72</f>
        <v>5.8251730769230772</v>
      </c>
      <c r="I69" s="76">
        <f>+H69*B48</f>
        <v>3786.3625000000002</v>
      </c>
      <c r="K69" s="42" t="s">
        <v>149</v>
      </c>
      <c r="L69" s="115">
        <f>+((2*4)*B48)*1.1</f>
        <v>5720.0000000000009</v>
      </c>
      <c r="M69" s="71"/>
      <c r="O69" s="42"/>
      <c r="P69" s="70"/>
      <c r="Q69" s="71"/>
      <c r="S69"/>
      <c r="T69"/>
      <c r="U69"/>
      <c r="V69"/>
      <c r="W69"/>
    </row>
    <row r="70" spans="1:23" ht="16.5" thickBot="1" x14ac:dyDescent="0.35">
      <c r="A70" s="64" t="str">
        <f>+A56</f>
        <v>Listón</v>
      </c>
      <c r="B70" s="65">
        <f>+B56*H63</f>
        <v>0</v>
      </c>
      <c r="C70" s="77"/>
      <c r="G70" s="78" t="s">
        <v>93</v>
      </c>
      <c r="H70" s="79">
        <f>+H69-H68</f>
        <v>0.94709615384615375</v>
      </c>
      <c r="I70" s="76">
        <f>+H70*B48</f>
        <v>615.61249999999995</v>
      </c>
      <c r="K70" s="1" t="s">
        <v>150</v>
      </c>
      <c r="L70" s="115">
        <f>+((2*1)*B48)*1.1</f>
        <v>1430.0000000000002</v>
      </c>
      <c r="M70" s="71"/>
      <c r="P70" s="70"/>
      <c r="Q70" s="71"/>
      <c r="S70"/>
      <c r="T70"/>
      <c r="U70"/>
      <c r="V70"/>
      <c r="W70"/>
    </row>
    <row r="71" spans="1:23" ht="16.5" thickBot="1" x14ac:dyDescent="0.35">
      <c r="A71" s="64"/>
      <c r="B71" s="65"/>
      <c r="C71" s="77"/>
      <c r="G71" s="80" t="s">
        <v>94</v>
      </c>
      <c r="H71" s="44"/>
      <c r="K71" s="42" t="s">
        <v>151</v>
      </c>
      <c r="L71" s="118">
        <f>+L70+L69</f>
        <v>7150.0000000000009</v>
      </c>
      <c r="M71" s="119">
        <f>+L71/B48</f>
        <v>11.000000000000002</v>
      </c>
      <c r="N71" s="1" t="s">
        <v>153</v>
      </c>
      <c r="P71" s="70"/>
      <c r="Q71" s="71"/>
      <c r="S71"/>
      <c r="T71"/>
      <c r="U71"/>
      <c r="V71"/>
      <c r="W71"/>
    </row>
    <row r="72" spans="1:23" ht="15.75" x14ac:dyDescent="0.3">
      <c r="A72" s="63" t="s">
        <v>75</v>
      </c>
      <c r="B72" s="68">
        <f>SUM(B65:B71)</f>
        <v>3786.3625000000002</v>
      </c>
      <c r="C72" s="79">
        <f>+B72/B48</f>
        <v>5.8251730769230772</v>
      </c>
      <c r="D72" s="5" t="s">
        <v>159</v>
      </c>
      <c r="K72" s="42" t="s">
        <v>152</v>
      </c>
      <c r="L72" s="118">
        <f>+L71*1.5</f>
        <v>10725.000000000002</v>
      </c>
      <c r="M72" s="119">
        <f>+L72/B48</f>
        <v>16.500000000000004</v>
      </c>
      <c r="N72" s="1" t="s">
        <v>153</v>
      </c>
      <c r="P72" s="70"/>
      <c r="Q72" s="71"/>
      <c r="S72"/>
      <c r="T72"/>
      <c r="U72"/>
      <c r="V72"/>
      <c r="W72"/>
    </row>
    <row r="73" spans="1:23" ht="15.75" x14ac:dyDescent="0.3">
      <c r="L73" s="70"/>
      <c r="M73" s="71"/>
      <c r="P73" s="70"/>
      <c r="Q73" s="71"/>
      <c r="S73"/>
      <c r="T73"/>
      <c r="U73"/>
      <c r="V73"/>
      <c r="W73"/>
    </row>
    <row r="74" spans="1:23" ht="15.75" x14ac:dyDescent="0.3">
      <c r="L74" s="70"/>
      <c r="M74" s="71"/>
      <c r="P74" s="70"/>
      <c r="Q74" s="71"/>
      <c r="S74"/>
      <c r="T74"/>
      <c r="U74"/>
      <c r="V74"/>
      <c r="W74"/>
    </row>
    <row r="75" spans="1:23" x14ac:dyDescent="0.3">
      <c r="A75" s="5"/>
    </row>
    <row r="76" spans="1:23" x14ac:dyDescent="0.3">
      <c r="B76" s="81"/>
      <c r="C76" s="82"/>
    </row>
    <row r="80" spans="1:23" x14ac:dyDescent="0.3">
      <c r="J80" s="83"/>
    </row>
    <row r="86" spans="10:18" ht="16.5" x14ac:dyDescent="0.3">
      <c r="J86" s="66"/>
      <c r="K86" s="66"/>
      <c r="L86" s="66"/>
      <c r="M86" s="66"/>
      <c r="N86" s="66"/>
      <c r="O86" s="66"/>
      <c r="P86" s="66"/>
      <c r="Q86" s="66"/>
      <c r="R86" s="66"/>
    </row>
    <row r="87" spans="10:18" ht="16.5" x14ac:dyDescent="0.3">
      <c r="J87" s="66"/>
      <c r="K87" s="66"/>
      <c r="L87" s="66"/>
      <c r="M87" s="66"/>
      <c r="N87" s="66"/>
      <c r="O87" s="66"/>
      <c r="P87" s="66"/>
      <c r="Q87" s="66"/>
      <c r="R87" s="66"/>
    </row>
    <row r="88" spans="10:18" ht="16.5" x14ac:dyDescent="0.3">
      <c r="J88" s="66"/>
      <c r="K88" s="66"/>
      <c r="L88" s="66"/>
      <c r="M88" s="66"/>
      <c r="N88" s="66"/>
      <c r="O88" s="66"/>
      <c r="P88" s="66"/>
      <c r="Q88" s="66"/>
      <c r="R88" s="66"/>
    </row>
    <row r="89" spans="10:18" ht="16.5" x14ac:dyDescent="0.3">
      <c r="J89" s="66"/>
      <c r="K89" s="66"/>
      <c r="L89" s="66"/>
      <c r="M89" s="66"/>
      <c r="N89" s="66"/>
      <c r="O89" s="66"/>
      <c r="P89" s="66"/>
      <c r="Q89" s="66"/>
      <c r="R89" s="66"/>
    </row>
    <row r="90" spans="10:18" ht="16.5" x14ac:dyDescent="0.3">
      <c r="J90" s="66"/>
      <c r="K90" s="66"/>
      <c r="L90" s="66"/>
      <c r="M90" s="66"/>
      <c r="N90" s="66"/>
      <c r="O90" s="66"/>
      <c r="P90" s="66"/>
      <c r="Q90" s="66"/>
      <c r="R90" s="66"/>
    </row>
    <row r="91" spans="10:18" ht="16.5" x14ac:dyDescent="0.3">
      <c r="J91" s="66"/>
      <c r="K91" s="66"/>
      <c r="L91" s="66"/>
      <c r="M91" s="66"/>
      <c r="N91" s="66"/>
      <c r="O91" s="66"/>
      <c r="P91" s="66"/>
      <c r="Q91" s="66"/>
      <c r="R91" s="66"/>
    </row>
    <row r="92" spans="10:18" ht="16.5" x14ac:dyDescent="0.3">
      <c r="J92" s="66"/>
      <c r="K92" s="66"/>
      <c r="L92" s="66"/>
      <c r="M92" s="66"/>
      <c r="N92" s="66"/>
      <c r="O92" s="66"/>
      <c r="P92" s="66"/>
      <c r="Q92" s="66"/>
      <c r="R92" s="66"/>
    </row>
    <row r="93" spans="10:18" ht="16.5" x14ac:dyDescent="0.3">
      <c r="J93" s="66"/>
      <c r="K93" s="66"/>
      <c r="L93" s="66"/>
      <c r="M93" s="66"/>
      <c r="N93" s="66"/>
      <c r="O93" s="66"/>
      <c r="P93" s="66"/>
      <c r="Q93" s="66"/>
      <c r="R93" s="66"/>
    </row>
    <row r="94" spans="10:18" ht="16.5" x14ac:dyDescent="0.3">
      <c r="J94" s="66"/>
      <c r="K94" s="66"/>
      <c r="L94" s="66"/>
      <c r="M94" s="66"/>
      <c r="N94" s="66"/>
      <c r="O94" s="66"/>
      <c r="P94" s="66"/>
      <c r="Q94" s="66"/>
      <c r="R94" s="66"/>
    </row>
    <row r="95" spans="10:18" ht="16.5" x14ac:dyDescent="0.3">
      <c r="J95" s="66"/>
      <c r="K95" s="66"/>
      <c r="L95" s="66"/>
      <c r="M95" s="66"/>
      <c r="N95" s="66"/>
      <c r="O95" s="66"/>
      <c r="P95" s="66"/>
      <c r="Q95" s="66"/>
      <c r="R95" s="66"/>
    </row>
  </sheetData>
  <mergeCells count="2">
    <mergeCell ref="L59:M59"/>
    <mergeCell ref="P59:Q59"/>
  </mergeCells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24" zoomScale="80" zoomScaleNormal="80" workbookViewId="0">
      <selection activeCell="B48" sqref="B4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10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98"/>
      <c r="K4" s="99"/>
      <c r="L4" s="99"/>
      <c r="M4" s="99"/>
      <c r="N4" s="99"/>
      <c r="O4" s="99"/>
      <c r="P4" s="100"/>
      <c r="Q4"/>
      <c r="R4"/>
    </row>
    <row r="5" spans="1:21" ht="15.75" x14ac:dyDescent="0.3">
      <c r="A5" s="5"/>
      <c r="J5" s="101"/>
      <c r="K5" s="102"/>
      <c r="L5" s="102"/>
      <c r="M5" s="102"/>
      <c r="N5" s="102"/>
      <c r="O5" s="102"/>
      <c r="P5" s="103"/>
      <c r="Q5"/>
      <c r="R5"/>
    </row>
    <row r="6" spans="1:21" ht="18.75" x14ac:dyDescent="0.3">
      <c r="A6" s="2" t="s">
        <v>3</v>
      </c>
      <c r="E6" s="5" t="s">
        <v>4</v>
      </c>
      <c r="F6" s="1" t="s">
        <v>5</v>
      </c>
      <c r="J6" s="101"/>
      <c r="K6" s="102"/>
      <c r="L6" s="102"/>
      <c r="M6" s="102"/>
      <c r="N6" s="102"/>
      <c r="O6" s="102"/>
      <c r="P6" s="103"/>
      <c r="Q6"/>
      <c r="R6"/>
    </row>
    <row r="7" spans="1:21" ht="15.75" x14ac:dyDescent="0.3">
      <c r="J7" s="101"/>
      <c r="K7" s="102"/>
      <c r="L7" s="102"/>
      <c r="M7" s="102"/>
      <c r="N7" s="102"/>
      <c r="O7" s="102"/>
      <c r="P7" s="103"/>
      <c r="Q7"/>
      <c r="R7"/>
    </row>
    <row r="8" spans="1:21" ht="15.75" x14ac:dyDescent="0.3">
      <c r="J8" s="101"/>
      <c r="K8" s="102"/>
      <c r="L8" s="102"/>
      <c r="M8" s="102"/>
      <c r="N8" s="102"/>
      <c r="O8" s="102"/>
      <c r="P8" s="103"/>
      <c r="Q8"/>
      <c r="R8"/>
    </row>
    <row r="9" spans="1:21" s="5" customFormat="1" ht="15.75" x14ac:dyDescent="0.3">
      <c r="A9" s="5" t="s">
        <v>7</v>
      </c>
      <c r="C9" s="5" t="s">
        <v>155</v>
      </c>
      <c r="H9" s="5" t="s">
        <v>8</v>
      </c>
      <c r="J9" s="101"/>
      <c r="K9" s="102"/>
      <c r="L9" s="102"/>
      <c r="M9" s="102"/>
      <c r="N9" s="102"/>
      <c r="O9" s="102"/>
      <c r="P9" s="103"/>
      <c r="Q9"/>
      <c r="R9"/>
      <c r="S9" s="1"/>
      <c r="T9" s="1"/>
      <c r="U9" s="1"/>
    </row>
    <row r="10" spans="1:21" ht="15.75" x14ac:dyDescent="0.3">
      <c r="J10" s="101"/>
      <c r="K10" s="102"/>
      <c r="L10" s="102"/>
      <c r="M10" s="102"/>
      <c r="N10" s="102"/>
      <c r="O10" s="102"/>
      <c r="P10" s="103"/>
      <c r="Q10"/>
      <c r="R10"/>
    </row>
    <row r="11" spans="1:21" ht="16.5" thickBot="1" x14ac:dyDescent="0.35">
      <c r="A11" s="5" t="s">
        <v>9</v>
      </c>
      <c r="C11" s="1" t="s">
        <v>156</v>
      </c>
      <c r="F11" s="5" t="s">
        <v>1</v>
      </c>
      <c r="J11" s="101"/>
      <c r="K11" s="102"/>
      <c r="L11" s="102"/>
      <c r="M11" s="102"/>
      <c r="N11" s="102"/>
      <c r="O11" s="102"/>
      <c r="P11" s="103"/>
      <c r="Q11"/>
      <c r="R11"/>
    </row>
    <row r="12" spans="1:21" ht="15.75" x14ac:dyDescent="0.3">
      <c r="A12" s="5"/>
      <c r="F12" s="11"/>
      <c r="G12" s="12"/>
      <c r="H12" s="13"/>
      <c r="J12" s="101"/>
      <c r="K12" s="102"/>
      <c r="L12" s="102"/>
      <c r="M12" s="102"/>
      <c r="N12" s="102"/>
      <c r="O12" s="102"/>
      <c r="P12" s="103"/>
      <c r="Q12"/>
      <c r="R12"/>
    </row>
    <row r="13" spans="1:21" ht="15.75" x14ac:dyDescent="0.3">
      <c r="A13" s="5" t="s">
        <v>11</v>
      </c>
      <c r="F13" s="6"/>
      <c r="G13" s="7"/>
      <c r="H13" s="8"/>
      <c r="J13" s="101"/>
      <c r="K13" s="102"/>
      <c r="L13" s="102"/>
      <c r="M13" s="102"/>
      <c r="N13" s="102"/>
      <c r="O13" s="102"/>
      <c r="P13" s="103"/>
      <c r="Q13"/>
      <c r="R13"/>
    </row>
    <row r="14" spans="1:21" ht="15.75" x14ac:dyDescent="0.3">
      <c r="A14" s="5"/>
      <c r="F14" s="6"/>
      <c r="G14" s="7"/>
      <c r="H14" s="8"/>
      <c r="J14" s="101"/>
      <c r="K14" s="102"/>
      <c r="L14" s="102"/>
      <c r="M14" s="102"/>
      <c r="N14" s="102"/>
      <c r="O14" s="102"/>
      <c r="P14" s="103"/>
      <c r="Q14"/>
      <c r="R14"/>
    </row>
    <row r="15" spans="1:21" ht="15.75" x14ac:dyDescent="0.3">
      <c r="A15" s="5" t="s">
        <v>12</v>
      </c>
      <c r="C15" s="19" t="s">
        <v>160</v>
      </c>
      <c r="D15" s="18"/>
      <c r="E15" s="18"/>
      <c r="F15" s="84" t="s">
        <v>6</v>
      </c>
      <c r="G15" s="7"/>
      <c r="H15" s="8"/>
      <c r="J15" s="101"/>
      <c r="K15" s="102"/>
      <c r="L15" s="102"/>
      <c r="M15" s="102"/>
      <c r="N15" s="102"/>
      <c r="O15" s="102"/>
      <c r="P15" s="103"/>
      <c r="Q15"/>
      <c r="R15"/>
    </row>
    <row r="16" spans="1:21" ht="16.5" thickBot="1" x14ac:dyDescent="0.35">
      <c r="C16" s="17" t="s">
        <v>161</v>
      </c>
      <c r="D16" s="18"/>
      <c r="E16" s="18"/>
      <c r="F16" s="52">
        <f>2+F20+2</f>
        <v>53</v>
      </c>
      <c r="G16" s="85" t="s">
        <v>100</v>
      </c>
      <c r="H16" s="86">
        <f>2+H20+2</f>
        <v>29.5</v>
      </c>
      <c r="J16" s="104"/>
      <c r="K16" s="105"/>
      <c r="L16" s="105"/>
      <c r="M16" s="105"/>
      <c r="N16" s="105"/>
      <c r="O16" s="105"/>
      <c r="P16" s="106"/>
      <c r="Q16"/>
      <c r="R16"/>
    </row>
    <row r="17" spans="1:18" ht="15.75" x14ac:dyDescent="0.3">
      <c r="C17" s="17" t="s">
        <v>111</v>
      </c>
      <c r="D17" s="18"/>
      <c r="E17" s="18"/>
      <c r="F17" s="84">
        <v>1</v>
      </c>
      <c r="G17" s="87" t="s">
        <v>101</v>
      </c>
      <c r="H17" s="8"/>
      <c r="J17"/>
      <c r="K17"/>
      <c r="L17"/>
      <c r="M17"/>
      <c r="N17"/>
      <c r="O17"/>
      <c r="P17"/>
      <c r="Q17"/>
      <c r="R17"/>
    </row>
    <row r="18" spans="1:18" x14ac:dyDescent="0.3">
      <c r="C18" s="17" t="s">
        <v>162</v>
      </c>
      <c r="D18" s="18"/>
      <c r="E18" s="18"/>
      <c r="F18" s="6"/>
      <c r="G18" s="7"/>
      <c r="H18" s="8"/>
      <c r="J18" s="21" t="s">
        <v>13</v>
      </c>
      <c r="K18" s="21" t="s">
        <v>16</v>
      </c>
      <c r="L18" s="1" t="s">
        <v>130</v>
      </c>
      <c r="M18" s="1" t="s">
        <v>131</v>
      </c>
      <c r="N18" s="1" t="s">
        <v>128</v>
      </c>
      <c r="O18" s="1" t="s">
        <v>132</v>
      </c>
      <c r="P18" s="1" t="s">
        <v>133</v>
      </c>
    </row>
    <row r="19" spans="1:18" x14ac:dyDescent="0.3">
      <c r="C19" s="17" t="s">
        <v>163</v>
      </c>
      <c r="D19" s="18"/>
      <c r="E19" s="18"/>
      <c r="F19" s="6"/>
      <c r="G19" s="7"/>
      <c r="H19" s="8"/>
      <c r="K19" s="42" t="s">
        <v>134</v>
      </c>
      <c r="M19" s="76">
        <f>+L19/100</f>
        <v>0</v>
      </c>
      <c r="N19" s="76">
        <v>120</v>
      </c>
      <c r="O19" s="76">
        <v>120</v>
      </c>
      <c r="P19" s="76">
        <v>120</v>
      </c>
    </row>
    <row r="20" spans="1:18" x14ac:dyDescent="0.3">
      <c r="C20" s="18" t="s">
        <v>164</v>
      </c>
      <c r="D20" s="18"/>
      <c r="E20" s="18"/>
      <c r="F20" s="52">
        <v>49</v>
      </c>
      <c r="G20" s="85" t="s">
        <v>100</v>
      </c>
      <c r="H20" s="86">
        <v>25.5</v>
      </c>
      <c r="K20" s="42" t="s">
        <v>19</v>
      </c>
    </row>
    <row r="21" spans="1:18" x14ac:dyDescent="0.3">
      <c r="C21" s="18" t="s">
        <v>165</v>
      </c>
      <c r="D21" s="18"/>
      <c r="E21" s="18"/>
      <c r="F21" s="84">
        <v>1</v>
      </c>
      <c r="G21" s="87" t="s">
        <v>101</v>
      </c>
      <c r="H21" s="8"/>
      <c r="K21" s="42" t="s">
        <v>21</v>
      </c>
    </row>
    <row r="22" spans="1:18" ht="15" thickBot="1" x14ac:dyDescent="0.35">
      <c r="C22" s="18"/>
      <c r="D22" s="18"/>
      <c r="E22" s="18"/>
      <c r="F22" s="14"/>
      <c r="G22" s="15"/>
      <c r="H22" s="16"/>
      <c r="K22" s="42" t="s">
        <v>23</v>
      </c>
    </row>
    <row r="23" spans="1:18" x14ac:dyDescent="0.3">
      <c r="A23" s="4" t="s">
        <v>14</v>
      </c>
      <c r="C23" s="92" t="s">
        <v>166</v>
      </c>
      <c r="D23" s="5" t="s">
        <v>15</v>
      </c>
      <c r="E23" s="23" t="s">
        <v>167</v>
      </c>
      <c r="F23" s="1" t="s">
        <v>168</v>
      </c>
    </row>
    <row r="25" spans="1:18" ht="15" thickBot="1" x14ac:dyDescent="0.35">
      <c r="A25" s="4" t="s">
        <v>17</v>
      </c>
      <c r="C25" s="24">
        <v>57</v>
      </c>
      <c r="D25" s="23" t="s">
        <v>18</v>
      </c>
      <c r="E25" s="25">
        <v>87</v>
      </c>
      <c r="F25" s="26">
        <f>+C25</f>
        <v>57</v>
      </c>
      <c r="G25" s="27" t="s">
        <v>18</v>
      </c>
      <c r="H25" s="27">
        <f>+E25</f>
        <v>87</v>
      </c>
      <c r="J25" s="21" t="s">
        <v>26</v>
      </c>
    </row>
    <row r="26" spans="1:18" ht="15" thickBot="1" x14ac:dyDescent="0.35">
      <c r="A26" s="4" t="s">
        <v>20</v>
      </c>
      <c r="B26" s="3"/>
      <c r="C26" s="28">
        <f>+F16</f>
        <v>53</v>
      </c>
      <c r="D26" s="29" t="s">
        <v>18</v>
      </c>
      <c r="E26" s="28">
        <f>+H16</f>
        <v>29.5</v>
      </c>
      <c r="F26" s="30">
        <f>+E26</f>
        <v>29.5</v>
      </c>
      <c r="G26" s="30" t="s">
        <v>18</v>
      </c>
      <c r="H26" s="30">
        <f>+C26</f>
        <v>53</v>
      </c>
      <c r="I26" s="31"/>
      <c r="J26" s="21"/>
      <c r="M26" s="107" t="s">
        <v>88</v>
      </c>
      <c r="N26" s="108" t="s">
        <v>135</v>
      </c>
      <c r="O26" s="47"/>
    </row>
    <row r="27" spans="1:18" ht="15" thickBot="1" x14ac:dyDescent="0.35">
      <c r="A27" s="3" t="s">
        <v>22</v>
      </c>
      <c r="B27" s="32"/>
      <c r="C27" s="33">
        <f>+C25/C26</f>
        <v>1.0754716981132075</v>
      </c>
      <c r="D27" s="34"/>
      <c r="E27" s="33">
        <f>+E25/E26</f>
        <v>2.9491525423728815</v>
      </c>
      <c r="F27" s="33">
        <f>+F25/F26</f>
        <v>1.9322033898305084</v>
      </c>
      <c r="G27" s="34"/>
      <c r="H27" s="33">
        <f>+H25/H26</f>
        <v>1.6415094339622642</v>
      </c>
      <c r="I27" s="31"/>
      <c r="K27" s="1" t="s">
        <v>32</v>
      </c>
      <c r="L27" s="1" t="s">
        <v>136</v>
      </c>
      <c r="M27" s="109"/>
      <c r="N27" s="46"/>
      <c r="O27" s="47"/>
      <c r="P27" s="48"/>
      <c r="Q27" s="12"/>
      <c r="R27" s="13"/>
    </row>
    <row r="28" spans="1:18" ht="15" thickBot="1" x14ac:dyDescent="0.35">
      <c r="A28" s="3" t="s">
        <v>24</v>
      </c>
      <c r="B28" s="35"/>
      <c r="C28" s="36"/>
      <c r="D28" s="37">
        <v>2</v>
      </c>
      <c r="E28" s="38"/>
      <c r="F28" s="39"/>
      <c r="G28" s="40">
        <v>1</v>
      </c>
      <c r="H28" s="41" t="s">
        <v>25</v>
      </c>
      <c r="K28" s="1" t="s">
        <v>137</v>
      </c>
      <c r="M28" s="110">
        <v>135</v>
      </c>
      <c r="N28" s="111" t="s">
        <v>138</v>
      </c>
      <c r="O28" s="51"/>
      <c r="P28" s="52"/>
      <c r="Q28" s="7"/>
      <c r="R28" s="8"/>
    </row>
    <row r="29" spans="1:18" x14ac:dyDescent="0.3">
      <c r="A29" s="3"/>
      <c r="B29" s="22"/>
      <c r="C29" s="31"/>
      <c r="G29" s="42"/>
      <c r="H29" s="31"/>
      <c r="K29" s="1" t="s">
        <v>139</v>
      </c>
      <c r="M29" s="110">
        <v>135</v>
      </c>
      <c r="N29" s="112" t="s">
        <v>138</v>
      </c>
      <c r="O29" s="51"/>
      <c r="P29" s="52"/>
      <c r="Q29" s="7"/>
      <c r="R29" s="8"/>
    </row>
    <row r="30" spans="1:18" x14ac:dyDescent="0.3">
      <c r="A30" s="26" t="s">
        <v>27</v>
      </c>
      <c r="B30" s="26" t="s">
        <v>127</v>
      </c>
      <c r="D30" s="42" t="s">
        <v>28</v>
      </c>
      <c r="E30" s="43">
        <v>2.7629999999999999</v>
      </c>
      <c r="G30" s="1" t="s">
        <v>29</v>
      </c>
      <c r="H30" s="44">
        <v>0.1</v>
      </c>
      <c r="K30" s="1" t="s">
        <v>35</v>
      </c>
      <c r="M30" s="110">
        <v>200</v>
      </c>
      <c r="N30" s="112" t="s">
        <v>140</v>
      </c>
      <c r="O30" s="51"/>
      <c r="P30" s="52"/>
      <c r="Q30" s="7"/>
      <c r="R30" s="8"/>
    </row>
    <row r="31" spans="1:18" x14ac:dyDescent="0.3">
      <c r="A31" s="3"/>
      <c r="B31" s="3"/>
      <c r="C31" s="3"/>
      <c r="D31" s="45" t="s">
        <v>30</v>
      </c>
      <c r="E31" s="43">
        <f>+H30*E30</f>
        <v>0.27629999999999999</v>
      </c>
      <c r="H31" s="44"/>
      <c r="I31" s="31"/>
      <c r="K31" s="1" t="s">
        <v>37</v>
      </c>
      <c r="L31" s="1" t="s">
        <v>136</v>
      </c>
      <c r="M31" s="110"/>
      <c r="N31" s="112"/>
      <c r="O31" s="51"/>
      <c r="P31" s="52"/>
      <c r="Q31" s="7"/>
      <c r="R31" s="8"/>
    </row>
    <row r="32" spans="1:18" x14ac:dyDescent="0.3">
      <c r="D32" s="45" t="s">
        <v>31</v>
      </c>
      <c r="E32" s="49">
        <f>+E30-E31</f>
        <v>2.4866999999999999</v>
      </c>
      <c r="I32" s="31"/>
      <c r="K32" s="1" t="s">
        <v>39</v>
      </c>
      <c r="M32" s="110">
        <v>300</v>
      </c>
      <c r="N32" s="112" t="s">
        <v>140</v>
      </c>
      <c r="O32" s="51"/>
      <c r="P32" s="52"/>
      <c r="Q32" s="7"/>
      <c r="R32" s="8"/>
    </row>
    <row r="33" spans="1:18" x14ac:dyDescent="0.3">
      <c r="E33" s="22" t="s">
        <v>33</v>
      </c>
      <c r="F33" s="22" t="s">
        <v>34</v>
      </c>
      <c r="G33" s="22" t="s">
        <v>34</v>
      </c>
      <c r="H33" s="22" t="s">
        <v>34</v>
      </c>
      <c r="I33" s="31"/>
      <c r="K33" s="1" t="s">
        <v>40</v>
      </c>
      <c r="L33" s="1" t="s">
        <v>136</v>
      </c>
      <c r="M33" s="110"/>
      <c r="N33" s="112"/>
      <c r="O33" s="51"/>
      <c r="P33" s="52"/>
      <c r="Q33" s="7"/>
      <c r="R33" s="8"/>
    </row>
    <row r="34" spans="1:18" x14ac:dyDescent="0.3">
      <c r="D34" s="42" t="s">
        <v>36</v>
      </c>
      <c r="E34" s="54">
        <f>+E32</f>
        <v>2.4866999999999999</v>
      </c>
      <c r="F34" s="54">
        <v>0</v>
      </c>
      <c r="G34" s="54">
        <v>0</v>
      </c>
      <c r="H34" s="54">
        <v>0</v>
      </c>
      <c r="K34" s="1" t="s">
        <v>46</v>
      </c>
      <c r="L34" s="1" t="s">
        <v>136</v>
      </c>
      <c r="M34" s="110"/>
      <c r="N34" s="112"/>
      <c r="O34" s="51"/>
      <c r="P34" s="52"/>
      <c r="Q34" s="7"/>
      <c r="R34" s="8"/>
    </row>
    <row r="35" spans="1:18" x14ac:dyDescent="0.3">
      <c r="D35" s="42" t="s">
        <v>38</v>
      </c>
      <c r="E35" s="54">
        <f>+E34*1.15</f>
        <v>2.8597049999999995</v>
      </c>
      <c r="F35" s="54">
        <v>0</v>
      </c>
      <c r="G35" s="54">
        <v>0</v>
      </c>
      <c r="H35" s="54">
        <v>0</v>
      </c>
      <c r="K35" s="1" t="s">
        <v>48</v>
      </c>
      <c r="L35" s="1" t="s">
        <v>136</v>
      </c>
      <c r="M35" s="110"/>
      <c r="N35" s="112"/>
      <c r="O35" s="51"/>
      <c r="P35" s="52"/>
      <c r="Q35" s="7"/>
      <c r="R35" s="8"/>
    </row>
    <row r="36" spans="1:18" ht="15" thickBot="1" x14ac:dyDescent="0.35">
      <c r="A36" s="3"/>
      <c r="G36" s="42"/>
      <c r="K36" s="1" t="s">
        <v>51</v>
      </c>
      <c r="L36" s="1" t="s">
        <v>136</v>
      </c>
      <c r="M36" s="110"/>
      <c r="N36" s="112"/>
      <c r="O36" s="51"/>
      <c r="P36" s="52"/>
      <c r="Q36" s="7"/>
      <c r="R36" s="8"/>
    </row>
    <row r="37" spans="1:18" x14ac:dyDescent="0.3">
      <c r="A37" s="3"/>
      <c r="B37" s="22"/>
      <c r="C37" s="31"/>
      <c r="E37" s="11" t="s">
        <v>41</v>
      </c>
      <c r="F37" s="12" t="s">
        <v>42</v>
      </c>
      <c r="G37" s="12"/>
      <c r="H37" s="13"/>
      <c r="K37" s="1" t="s">
        <v>54</v>
      </c>
      <c r="L37" s="1" t="s">
        <v>136</v>
      </c>
      <c r="M37" s="110"/>
      <c r="N37" s="112"/>
      <c r="O37" s="51"/>
      <c r="P37" s="52"/>
      <c r="Q37" s="7"/>
      <c r="R37" s="8"/>
    </row>
    <row r="38" spans="1:18" ht="15" thickBot="1" x14ac:dyDescent="0.35">
      <c r="A38" s="4" t="s">
        <v>43</v>
      </c>
      <c r="C38" s="55">
        <v>2</v>
      </c>
      <c r="D38" s="56" t="s">
        <v>44</v>
      </c>
      <c r="E38" s="14"/>
      <c r="F38" s="15" t="s">
        <v>45</v>
      </c>
      <c r="G38" s="15"/>
      <c r="H38" s="16"/>
      <c r="K38" s="1" t="s">
        <v>57</v>
      </c>
      <c r="L38" s="1" t="s">
        <v>136</v>
      </c>
      <c r="M38" s="110"/>
      <c r="N38" s="112"/>
      <c r="O38" s="51"/>
      <c r="P38" s="52"/>
      <c r="Q38" s="7"/>
      <c r="R38" s="8"/>
    </row>
    <row r="39" spans="1:18" x14ac:dyDescent="0.3">
      <c r="A39" s="4"/>
      <c r="C39" s="22"/>
      <c r="D39" s="1" t="s">
        <v>47</v>
      </c>
      <c r="E39" s="3"/>
      <c r="F39" s="3"/>
      <c r="K39" s="1" t="s">
        <v>59</v>
      </c>
      <c r="L39" s="1" t="s">
        <v>136</v>
      </c>
      <c r="M39" s="110"/>
      <c r="N39" s="112"/>
      <c r="O39" s="51"/>
      <c r="P39" s="52"/>
      <c r="Q39" s="7"/>
      <c r="R39" s="8"/>
    </row>
    <row r="40" spans="1:18" x14ac:dyDescent="0.3">
      <c r="A40" s="4" t="s">
        <v>49</v>
      </c>
      <c r="B40" s="5"/>
      <c r="C40" s="57">
        <f>+B48/F17</f>
        <v>650</v>
      </c>
      <c r="D40" s="25">
        <v>500</v>
      </c>
      <c r="F40" s="45" t="s">
        <v>50</v>
      </c>
      <c r="G40" s="24">
        <v>1</v>
      </c>
      <c r="H40" s="3"/>
      <c r="K40" s="1" t="s">
        <v>61</v>
      </c>
      <c r="M40" s="110">
        <v>120</v>
      </c>
      <c r="N40" s="112" t="s">
        <v>138</v>
      </c>
      <c r="O40" s="51"/>
      <c r="P40" s="52"/>
      <c r="Q40" s="7"/>
      <c r="R40" s="8"/>
    </row>
    <row r="41" spans="1:18" x14ac:dyDescent="0.3">
      <c r="A41" s="4" t="s">
        <v>52</v>
      </c>
      <c r="C41" s="35">
        <f>+C40+D40</f>
        <v>1150</v>
      </c>
      <c r="F41" s="45" t="s">
        <v>53</v>
      </c>
      <c r="G41" s="24">
        <v>2</v>
      </c>
      <c r="H41" s="3"/>
      <c r="K41" s="1" t="s">
        <v>141</v>
      </c>
      <c r="M41" s="50"/>
      <c r="N41" s="53"/>
      <c r="O41" s="51"/>
      <c r="P41" s="52"/>
      <c r="Q41" s="7"/>
      <c r="R41" s="8"/>
    </row>
    <row r="42" spans="1:18" ht="15" thickBot="1" x14ac:dyDescent="0.35">
      <c r="A42" s="4" t="s">
        <v>55</v>
      </c>
      <c r="C42" s="35">
        <f>+C41/C38</f>
        <v>575</v>
      </c>
      <c r="F42" s="45" t="s">
        <v>56</v>
      </c>
      <c r="G42" s="24"/>
      <c r="H42" s="3"/>
      <c r="K42" s="1" t="s">
        <v>63</v>
      </c>
      <c r="M42" s="59"/>
      <c r="N42" s="60"/>
      <c r="O42" s="61"/>
      <c r="P42" s="62"/>
      <c r="Q42" s="15"/>
      <c r="R42" s="16"/>
    </row>
    <row r="43" spans="1:18" x14ac:dyDescent="0.3">
      <c r="A43" s="4" t="s">
        <v>110</v>
      </c>
      <c r="C43" s="22">
        <f>+(C42*C38)*F17</f>
        <v>1150</v>
      </c>
      <c r="F43" s="42" t="s">
        <v>58</v>
      </c>
      <c r="G43" s="24">
        <f>+C40/1000</f>
        <v>0.65</v>
      </c>
      <c r="H43" s="3"/>
      <c r="M43" s="7"/>
      <c r="N43" s="10"/>
      <c r="O43" s="85"/>
      <c r="P43" s="85"/>
      <c r="Q43" s="7"/>
      <c r="R43" s="7"/>
    </row>
    <row r="44" spans="1:18" ht="15.75" x14ac:dyDescent="0.3">
      <c r="A44" s="4"/>
      <c r="C44" s="58"/>
      <c r="F44" s="45" t="s">
        <v>60</v>
      </c>
      <c r="G44" s="55">
        <f>+C41</f>
        <v>1150</v>
      </c>
      <c r="H44" s="3"/>
      <c r="K44"/>
      <c r="L44"/>
      <c r="M44"/>
      <c r="N44"/>
      <c r="O44"/>
      <c r="P44"/>
      <c r="Q44"/>
      <c r="R44"/>
    </row>
    <row r="45" spans="1:18" ht="15.75" x14ac:dyDescent="0.3">
      <c r="A45" s="4"/>
      <c r="C45" s="22"/>
      <c r="E45" s="45"/>
      <c r="F45" s="45"/>
      <c r="G45" s="31"/>
      <c r="I45" s="3"/>
      <c r="K45"/>
      <c r="L45"/>
      <c r="M45"/>
      <c r="N45"/>
      <c r="O45"/>
      <c r="P45"/>
      <c r="Q45"/>
      <c r="R45"/>
    </row>
    <row r="46" spans="1:18" ht="15.75" x14ac:dyDescent="0.3">
      <c r="A46" s="4" t="s">
        <v>62</v>
      </c>
      <c r="C46" s="26">
        <f>+C42*C38</f>
        <v>1150</v>
      </c>
      <c r="F46" s="45"/>
      <c r="G46" s="31"/>
      <c r="H46" s="3"/>
      <c r="J46"/>
      <c r="K46"/>
      <c r="L46"/>
      <c r="M46"/>
      <c r="N46"/>
      <c r="O46"/>
      <c r="P46"/>
      <c r="Q46"/>
      <c r="R46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10</v>
      </c>
    </row>
    <row r="48" spans="1:18" x14ac:dyDescent="0.3">
      <c r="A48" s="4" t="s">
        <v>95</v>
      </c>
      <c r="B48" s="22">
        <f>+cartón!B48</f>
        <v>650</v>
      </c>
      <c r="C48" s="22"/>
      <c r="D48" s="26" t="s">
        <v>64</v>
      </c>
      <c r="E48" s="26" t="s">
        <v>65</v>
      </c>
      <c r="F48" s="26" t="s">
        <v>66</v>
      </c>
      <c r="G48" s="26" t="s">
        <v>67</v>
      </c>
      <c r="H48" s="26" t="s">
        <v>68</v>
      </c>
      <c r="J48" s="11"/>
      <c r="K48" s="12" t="s">
        <v>120</v>
      </c>
      <c r="L48" s="12"/>
      <c r="M48" s="12"/>
      <c r="N48" s="12"/>
      <c r="O48" s="12"/>
      <c r="P48" s="12"/>
      <c r="Q48" s="12"/>
      <c r="R48" s="13"/>
    </row>
    <row r="49" spans="1:23" x14ac:dyDescent="0.3">
      <c r="A49" s="63" t="s">
        <v>69</v>
      </c>
      <c r="B49" s="64"/>
      <c r="C49" s="3"/>
      <c r="D49" s="22">
        <v>4</v>
      </c>
      <c r="E49" s="22">
        <v>1</v>
      </c>
      <c r="F49" s="22" t="s">
        <v>70</v>
      </c>
      <c r="G49" s="31">
        <v>295</v>
      </c>
      <c r="H49" s="31">
        <f>+(D49*E49)*G49</f>
        <v>1180</v>
      </c>
      <c r="J49" s="6"/>
      <c r="K49" s="85">
        <f>+F16</f>
        <v>53</v>
      </c>
      <c r="L49" s="85">
        <f>+H16</f>
        <v>29.5</v>
      </c>
      <c r="M49" s="7" t="s">
        <v>119</v>
      </c>
      <c r="N49" s="85" t="s">
        <v>121</v>
      </c>
      <c r="O49" s="7" t="s">
        <v>122</v>
      </c>
      <c r="P49" s="7" t="s">
        <v>123</v>
      </c>
      <c r="Q49" s="7"/>
      <c r="R49" s="8"/>
    </row>
    <row r="50" spans="1:23" x14ac:dyDescent="0.3">
      <c r="A50" s="64" t="s">
        <v>71</v>
      </c>
      <c r="B50" s="65">
        <f>+E34*C42</f>
        <v>1429.8525</v>
      </c>
      <c r="C50" s="3">
        <f>+B50/2</f>
        <v>714.92624999999998</v>
      </c>
      <c r="D50" s="22">
        <v>4</v>
      </c>
      <c r="E50" s="22">
        <v>1</v>
      </c>
      <c r="F50" s="22" t="s">
        <v>96</v>
      </c>
      <c r="G50" s="31">
        <v>160</v>
      </c>
      <c r="H50" s="31">
        <f>+(D50*E50)*G50</f>
        <v>640</v>
      </c>
      <c r="J50" s="6"/>
      <c r="K50" s="85">
        <f>0.53*0.295*C41</f>
        <v>179.80249999999998</v>
      </c>
      <c r="L50" s="90">
        <f>3.9*3</f>
        <v>11.7</v>
      </c>
      <c r="M50" s="90">
        <f>+K50*L50</f>
        <v>2103.6892499999994</v>
      </c>
      <c r="N50" s="90">
        <v>0</v>
      </c>
      <c r="O50" s="90">
        <f>+M50+N50</f>
        <v>2103.6892499999994</v>
      </c>
      <c r="P50" s="87" t="s">
        <v>172</v>
      </c>
      <c r="Q50" s="7"/>
      <c r="R50" s="8"/>
    </row>
    <row r="51" spans="1:23" x14ac:dyDescent="0.3">
      <c r="A51" s="64" t="s">
        <v>13</v>
      </c>
      <c r="B51" s="65">
        <f>+H61</f>
        <v>4593.6892499999994</v>
      </c>
      <c r="C51" s="3"/>
      <c r="D51" s="22">
        <v>0</v>
      </c>
      <c r="E51" s="22">
        <v>0</v>
      </c>
      <c r="F51" s="22" t="s">
        <v>102</v>
      </c>
      <c r="G51" s="31">
        <v>500</v>
      </c>
      <c r="H51" s="31">
        <f>+G51*E51*D51</f>
        <v>0</v>
      </c>
      <c r="J51" s="6"/>
      <c r="K51" s="7"/>
      <c r="L51" s="90"/>
      <c r="M51" s="90"/>
      <c r="N51" s="90"/>
      <c r="O51" s="90"/>
      <c r="P51" s="7"/>
      <c r="Q51" s="7"/>
      <c r="R51" s="8"/>
    </row>
    <row r="52" spans="1:23" x14ac:dyDescent="0.3">
      <c r="A52" s="64"/>
      <c r="B52" s="65"/>
      <c r="C52" s="3"/>
      <c r="D52" s="22">
        <v>1</v>
      </c>
      <c r="E52" s="22">
        <v>1</v>
      </c>
      <c r="F52" s="22" t="s">
        <v>117</v>
      </c>
      <c r="G52" s="31">
        <v>400</v>
      </c>
      <c r="H52" s="31">
        <f t="shared" ref="H52:H59" si="0">+G52*E52</f>
        <v>400</v>
      </c>
      <c r="I52" s="31">
        <f>+(B73/100)*2</f>
        <v>217.66573124999999</v>
      </c>
      <c r="J52" s="6"/>
      <c r="K52" s="85">
        <f>+K49</f>
        <v>53</v>
      </c>
      <c r="L52" s="85">
        <f>+L49</f>
        <v>29.5</v>
      </c>
      <c r="M52" s="7" t="s">
        <v>119</v>
      </c>
      <c r="N52" s="85" t="s">
        <v>121</v>
      </c>
      <c r="O52" s="7" t="s">
        <v>122</v>
      </c>
      <c r="P52" s="7" t="s">
        <v>124</v>
      </c>
      <c r="Q52" s="7"/>
      <c r="R52" s="8"/>
    </row>
    <row r="53" spans="1:23" ht="16.5" x14ac:dyDescent="0.3">
      <c r="A53" s="64" t="s">
        <v>32</v>
      </c>
      <c r="B53" s="65">
        <v>600</v>
      </c>
      <c r="C53" s="3"/>
      <c r="D53" s="22">
        <v>1</v>
      </c>
      <c r="E53" s="22">
        <v>1</v>
      </c>
      <c r="F53" s="22" t="s">
        <v>169</v>
      </c>
      <c r="G53" s="31">
        <v>135</v>
      </c>
      <c r="H53" s="31">
        <f t="shared" si="0"/>
        <v>135</v>
      </c>
      <c r="I53" s="66"/>
      <c r="J53" s="6"/>
      <c r="K53" s="85">
        <f>0.36*0.565*C41</f>
        <v>233.90999999999997</v>
      </c>
      <c r="L53" s="90">
        <f>3.9*3</f>
        <v>11.7</v>
      </c>
      <c r="M53" s="90">
        <f>+K53*L53</f>
        <v>2736.7469999999994</v>
      </c>
      <c r="N53" s="90">
        <v>360</v>
      </c>
      <c r="O53" s="90">
        <f>+M53+N53</f>
        <v>3096.7469999999994</v>
      </c>
      <c r="P53" s="87" t="s">
        <v>125</v>
      </c>
      <c r="Q53" s="7"/>
      <c r="R53" s="8"/>
    </row>
    <row r="54" spans="1:23" x14ac:dyDescent="0.3">
      <c r="A54" s="67" t="s">
        <v>170</v>
      </c>
      <c r="B54" s="65">
        <v>200</v>
      </c>
      <c r="C54" s="3"/>
      <c r="D54" s="22">
        <v>1</v>
      </c>
      <c r="E54" s="22">
        <v>1</v>
      </c>
      <c r="F54" s="22" t="s">
        <v>139</v>
      </c>
      <c r="G54" s="31">
        <v>135</v>
      </c>
      <c r="H54" s="31">
        <f t="shared" si="0"/>
        <v>135</v>
      </c>
      <c r="J54" s="6"/>
      <c r="K54" s="7"/>
      <c r="L54" s="90"/>
      <c r="M54" s="90"/>
      <c r="N54" s="90"/>
      <c r="O54" s="90"/>
      <c r="P54" s="7"/>
      <c r="Q54" s="7"/>
      <c r="R54" s="8"/>
    </row>
    <row r="55" spans="1:23" ht="15" thickBot="1" x14ac:dyDescent="0.35">
      <c r="A55" s="67" t="s">
        <v>116</v>
      </c>
      <c r="B55" s="65">
        <v>0</v>
      </c>
      <c r="D55" s="22">
        <v>0</v>
      </c>
      <c r="E55" s="22">
        <v>0</v>
      </c>
      <c r="F55" s="22" t="s">
        <v>114</v>
      </c>
      <c r="G55" s="31">
        <v>120</v>
      </c>
      <c r="H55" s="31">
        <f>+G55*E55</f>
        <v>0</v>
      </c>
      <c r="J55" s="14"/>
      <c r="K55" s="15"/>
      <c r="L55" s="15"/>
      <c r="M55" s="15"/>
      <c r="N55" s="15"/>
      <c r="O55" s="15"/>
      <c r="P55" s="15"/>
      <c r="Q55" s="15"/>
      <c r="R55" s="16"/>
    </row>
    <row r="56" spans="1:23" x14ac:dyDescent="0.3">
      <c r="A56" s="67" t="s">
        <v>115</v>
      </c>
      <c r="B56" s="65">
        <v>0</v>
      </c>
      <c r="D56" s="22">
        <v>0</v>
      </c>
      <c r="E56" s="22">
        <v>0</v>
      </c>
      <c r="F56" s="22" t="s">
        <v>39</v>
      </c>
      <c r="G56" s="31">
        <v>1.5</v>
      </c>
      <c r="H56" s="31">
        <f>+G56*E56</f>
        <v>0</v>
      </c>
    </row>
    <row r="57" spans="1:23" x14ac:dyDescent="0.3">
      <c r="A57" s="67"/>
      <c r="B57" s="67"/>
      <c r="D57" s="22">
        <v>0</v>
      </c>
      <c r="E57" s="22">
        <v>0</v>
      </c>
      <c r="F57" s="22" t="s">
        <v>73</v>
      </c>
      <c r="G57" s="31">
        <v>1.5</v>
      </c>
      <c r="H57" s="31">
        <f t="shared" si="0"/>
        <v>0</v>
      </c>
      <c r="J57" s="5" t="s">
        <v>74</v>
      </c>
    </row>
    <row r="58" spans="1:23" ht="15.75" x14ac:dyDescent="0.3">
      <c r="A58" s="63" t="s">
        <v>75</v>
      </c>
      <c r="B58" s="68">
        <f>SUM(B50:B57)</f>
        <v>6823.5417499999994</v>
      </c>
      <c r="C58" s="3"/>
      <c r="D58" s="22">
        <v>1</v>
      </c>
      <c r="E58" s="22">
        <v>1</v>
      </c>
      <c r="F58" s="3" t="s">
        <v>76</v>
      </c>
      <c r="G58" s="31">
        <f>+O50</f>
        <v>2103.6892499999994</v>
      </c>
      <c r="H58" s="31">
        <f t="shared" si="0"/>
        <v>2103.6892499999994</v>
      </c>
      <c r="L58" s="5"/>
      <c r="S58"/>
      <c r="T58"/>
      <c r="U58"/>
      <c r="V58"/>
      <c r="W58"/>
    </row>
    <row r="59" spans="1:23" ht="15.75" x14ac:dyDescent="0.3">
      <c r="A59" s="9"/>
      <c r="B59" s="69"/>
      <c r="C59" s="3"/>
      <c r="D59" s="22"/>
      <c r="E59" s="22"/>
      <c r="F59" s="3"/>
      <c r="G59" s="3"/>
      <c r="H59" s="31">
        <f t="shared" si="0"/>
        <v>0</v>
      </c>
      <c r="K59" s="72" t="s">
        <v>77</v>
      </c>
      <c r="L59" s="121" t="s">
        <v>146</v>
      </c>
      <c r="M59" s="122"/>
      <c r="O59" s="72" t="s">
        <v>77</v>
      </c>
      <c r="P59" s="121" t="s">
        <v>142</v>
      </c>
      <c r="Q59" s="122"/>
      <c r="S59"/>
      <c r="T59"/>
      <c r="U59"/>
      <c r="V59"/>
      <c r="W59"/>
    </row>
    <row r="60" spans="1:23" ht="15.75" x14ac:dyDescent="0.3">
      <c r="A60" s="9"/>
      <c r="B60" s="33">
        <f>+B58/B48</f>
        <v>10.497756538461537</v>
      </c>
      <c r="C60" s="4" t="s">
        <v>78</v>
      </c>
      <c r="D60" s="3"/>
      <c r="E60" s="3"/>
      <c r="F60" s="3"/>
      <c r="G60" s="3"/>
      <c r="K60" s="42" t="s">
        <v>2</v>
      </c>
      <c r="L60" s="70" t="s">
        <v>147</v>
      </c>
      <c r="M60" s="71"/>
      <c r="O60" s="42" t="s">
        <v>2</v>
      </c>
      <c r="P60" s="70"/>
      <c r="Q60" s="71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72" t="s">
        <v>79</v>
      </c>
      <c r="H61" s="31">
        <f>SUM(H49:H60)</f>
        <v>4593.6892499999994</v>
      </c>
      <c r="K61" s="42" t="s">
        <v>15</v>
      </c>
      <c r="L61" s="113" t="s">
        <v>143</v>
      </c>
      <c r="M61" s="71"/>
      <c r="O61" s="42" t="s">
        <v>15</v>
      </c>
      <c r="P61" s="70"/>
      <c r="Q61" s="71"/>
      <c r="S61"/>
      <c r="T61"/>
      <c r="U61"/>
      <c r="V61"/>
      <c r="W61"/>
    </row>
    <row r="62" spans="1:23" ht="15.75" x14ac:dyDescent="0.3">
      <c r="D62" s="3"/>
      <c r="E62" s="3"/>
      <c r="G62" s="1" t="s">
        <v>80</v>
      </c>
      <c r="H62" s="73">
        <v>1.5</v>
      </c>
      <c r="K62" s="42" t="s">
        <v>81</v>
      </c>
      <c r="L62" s="113"/>
      <c r="M62" s="71" t="s">
        <v>144</v>
      </c>
      <c r="O62" s="42" t="s">
        <v>81</v>
      </c>
      <c r="P62" s="70"/>
      <c r="Q62" s="71"/>
      <c r="S62"/>
      <c r="T62"/>
      <c r="U62"/>
      <c r="V62"/>
      <c r="W62"/>
    </row>
    <row r="63" spans="1:23" ht="15.75" x14ac:dyDescent="0.3">
      <c r="A63" s="4" t="s">
        <v>82</v>
      </c>
      <c r="B63" s="3"/>
      <c r="C63" s="3"/>
      <c r="E63" s="33">
        <f>+B73/C40</f>
        <v>16.743517788461538</v>
      </c>
      <c r="G63" s="5" t="s">
        <v>83</v>
      </c>
      <c r="H63" s="88">
        <v>1.75</v>
      </c>
      <c r="K63" s="42" t="s">
        <v>84</v>
      </c>
      <c r="L63" s="113"/>
      <c r="M63" s="71"/>
      <c r="O63" s="42" t="s">
        <v>84</v>
      </c>
      <c r="P63" s="70"/>
      <c r="Q63" s="71"/>
      <c r="S63"/>
      <c r="T63"/>
      <c r="U63"/>
      <c r="V63"/>
      <c r="W63"/>
    </row>
    <row r="64" spans="1:23" ht="15.75" x14ac:dyDescent="0.3">
      <c r="A64" s="3"/>
      <c r="B64" s="4" t="s">
        <v>85</v>
      </c>
      <c r="C64" s="26" t="s">
        <v>86</v>
      </c>
      <c r="D64" s="3"/>
      <c r="E64" s="3"/>
      <c r="F64" s="3"/>
      <c r="G64" s="1" t="s">
        <v>83</v>
      </c>
      <c r="H64" s="73">
        <v>2</v>
      </c>
      <c r="K64" s="42" t="s">
        <v>87</v>
      </c>
      <c r="L64" s="113">
        <v>3</v>
      </c>
      <c r="M64" s="114">
        <f>+((B47*60)*2)</f>
        <v>0</v>
      </c>
      <c r="O64" s="42" t="s">
        <v>87</v>
      </c>
      <c r="P64" s="70"/>
      <c r="Q64" s="71"/>
      <c r="S64"/>
      <c r="T64"/>
      <c r="U64"/>
      <c r="V64"/>
      <c r="W64"/>
    </row>
    <row r="65" spans="1:23" ht="15.75" x14ac:dyDescent="0.3">
      <c r="A65" s="63" t="s">
        <v>88</v>
      </c>
      <c r="B65" s="64"/>
      <c r="C65" s="3"/>
      <c r="D65" s="3">
        <f>+B73*C69</f>
        <v>0</v>
      </c>
      <c r="E65" s="3"/>
      <c r="F65" s="3"/>
      <c r="G65" s="5" t="s">
        <v>99</v>
      </c>
      <c r="H65" s="73">
        <v>2.5</v>
      </c>
      <c r="K65" s="42" t="s">
        <v>89</v>
      </c>
      <c r="L65" s="115"/>
      <c r="M65" s="71"/>
      <c r="O65" s="42" t="s">
        <v>89</v>
      </c>
      <c r="P65" s="116"/>
      <c r="Q65" s="71"/>
      <c r="S65"/>
      <c r="T65"/>
      <c r="U65"/>
      <c r="V65"/>
      <c r="W65"/>
    </row>
    <row r="66" spans="1:23" ht="15.75" x14ac:dyDescent="0.3">
      <c r="A66" s="64" t="s">
        <v>71</v>
      </c>
      <c r="B66" s="65">
        <f>+E35*C42</f>
        <v>1644.3303749999998</v>
      </c>
      <c r="C66" s="74"/>
      <c r="K66" s="42" t="s">
        <v>145</v>
      </c>
      <c r="L66" s="115">
        <v>54</v>
      </c>
      <c r="M66" s="117" t="s">
        <v>148</v>
      </c>
      <c r="O66" s="42" t="s">
        <v>145</v>
      </c>
      <c r="P66" s="116"/>
      <c r="Q66" s="117"/>
      <c r="S66"/>
      <c r="T66"/>
      <c r="U66"/>
      <c r="V66"/>
      <c r="W66"/>
    </row>
    <row r="67" spans="1:23" ht="15.75" x14ac:dyDescent="0.3">
      <c r="A67" s="64" t="s">
        <v>13</v>
      </c>
      <c r="B67" s="65">
        <f>+H61*H63</f>
        <v>8038.956187499999</v>
      </c>
      <c r="C67" s="74"/>
      <c r="K67" s="42" t="s">
        <v>91</v>
      </c>
      <c r="L67" s="115">
        <f>+L66*L64</f>
        <v>162</v>
      </c>
      <c r="M67" s="71"/>
      <c r="O67" s="42" t="s">
        <v>91</v>
      </c>
      <c r="P67" s="116"/>
      <c r="Q67" s="71"/>
      <c r="S67"/>
      <c r="T67"/>
      <c r="U67"/>
      <c r="V67"/>
      <c r="W67"/>
    </row>
    <row r="68" spans="1:23" ht="15.75" x14ac:dyDescent="0.3">
      <c r="A68" s="64" t="str">
        <f>+A53</f>
        <v>Tabla de suaje</v>
      </c>
      <c r="B68" s="65">
        <f>+B53*H62</f>
        <v>900</v>
      </c>
      <c r="C68" s="74"/>
      <c r="K68" s="42" t="s">
        <v>139</v>
      </c>
      <c r="L68" s="115">
        <f>+M28+M29</f>
        <v>270</v>
      </c>
      <c r="M68" s="71"/>
      <c r="O68" s="42"/>
      <c r="P68" s="70"/>
      <c r="Q68" s="71"/>
      <c r="S68"/>
      <c r="T68"/>
      <c r="U68"/>
      <c r="V68"/>
      <c r="W68"/>
    </row>
    <row r="69" spans="1:23" ht="15.75" x14ac:dyDescent="0.3">
      <c r="A69" s="64" t="str">
        <f>+A54</f>
        <v>Prueba de Color</v>
      </c>
      <c r="B69" s="65">
        <f>+B54*H62</f>
        <v>300</v>
      </c>
      <c r="C69" s="74"/>
      <c r="G69" s="75" t="s">
        <v>90</v>
      </c>
      <c r="H69" s="33">
        <f>+B60</f>
        <v>10.497756538461537</v>
      </c>
      <c r="I69" s="76">
        <f>+H69*B48</f>
        <v>6823.5417499999994</v>
      </c>
      <c r="K69" s="42" t="s">
        <v>149</v>
      </c>
      <c r="L69" s="115">
        <f>+((2*4)*B48)*1.1</f>
        <v>5720.0000000000009</v>
      </c>
      <c r="M69" s="71"/>
      <c r="O69" s="42"/>
      <c r="P69" s="70"/>
      <c r="Q69" s="71"/>
      <c r="S69"/>
      <c r="T69"/>
      <c r="U69"/>
      <c r="V69"/>
      <c r="W69"/>
    </row>
    <row r="70" spans="1:23" ht="15.75" x14ac:dyDescent="0.3">
      <c r="A70" s="64" t="str">
        <f>+A55</f>
        <v>Imán</v>
      </c>
      <c r="B70" s="65">
        <f>+B55*H62</f>
        <v>0</v>
      </c>
      <c r="C70" s="74"/>
      <c r="G70" s="75" t="s">
        <v>92</v>
      </c>
      <c r="H70" s="33">
        <f>+C73</f>
        <v>16.743517788461538</v>
      </c>
      <c r="I70" s="76">
        <f>+H70*B48</f>
        <v>10883.286562499999</v>
      </c>
      <c r="K70" s="1" t="s">
        <v>150</v>
      </c>
      <c r="L70" s="115">
        <f>+((2*1)*B48)*1.1</f>
        <v>1430.0000000000002</v>
      </c>
      <c r="M70" s="71"/>
      <c r="P70" s="70"/>
      <c r="Q70" s="71"/>
      <c r="S70"/>
      <c r="T70"/>
      <c r="U70"/>
      <c r="V70"/>
      <c r="W70"/>
    </row>
    <row r="71" spans="1:23" ht="16.5" thickBot="1" x14ac:dyDescent="0.35">
      <c r="A71" s="64" t="str">
        <f>+A56</f>
        <v>Encuadernación</v>
      </c>
      <c r="B71" s="65">
        <f>+B56*1.2</f>
        <v>0</v>
      </c>
      <c r="C71" s="77"/>
      <c r="G71" s="78" t="s">
        <v>93</v>
      </c>
      <c r="H71" s="79">
        <f>+H70-H69</f>
        <v>6.245761250000001</v>
      </c>
      <c r="I71" s="94">
        <f>+H71*B48</f>
        <v>4059.7448125000005</v>
      </c>
      <c r="K71" s="42" t="s">
        <v>151</v>
      </c>
      <c r="L71" s="118">
        <f>+L70+L69</f>
        <v>7150.0000000000009</v>
      </c>
      <c r="M71" s="119">
        <f>+L71/B48</f>
        <v>11.000000000000002</v>
      </c>
      <c r="N71" s="1" t="s">
        <v>153</v>
      </c>
      <c r="P71" s="70"/>
      <c r="Q71" s="71"/>
      <c r="S71"/>
      <c r="T71"/>
      <c r="U71"/>
      <c r="V71"/>
      <c r="W71"/>
    </row>
    <row r="72" spans="1:23" ht="16.5" thickBot="1" x14ac:dyDescent="0.35">
      <c r="A72" s="64"/>
      <c r="B72" s="65"/>
      <c r="C72" s="77"/>
      <c r="G72" s="80" t="s">
        <v>94</v>
      </c>
      <c r="H72" s="44"/>
      <c r="K72" s="42" t="s">
        <v>152</v>
      </c>
      <c r="L72" s="118">
        <f>+L71*1.5</f>
        <v>10725.000000000002</v>
      </c>
      <c r="M72" s="119">
        <f>+L72/B48</f>
        <v>16.500000000000004</v>
      </c>
      <c r="N72" s="1" t="s">
        <v>153</v>
      </c>
      <c r="P72" s="70"/>
      <c r="Q72" s="71"/>
      <c r="S72"/>
      <c r="T72"/>
      <c r="U72"/>
      <c r="V72"/>
      <c r="W72"/>
    </row>
    <row r="73" spans="1:23" ht="15.75" x14ac:dyDescent="0.3">
      <c r="A73" s="63" t="s">
        <v>75</v>
      </c>
      <c r="B73" s="68">
        <f>SUM(B65:B72)</f>
        <v>10883.286562499999</v>
      </c>
      <c r="C73" s="79">
        <f>+B73/B48</f>
        <v>16.743517788461538</v>
      </c>
      <c r="D73" s="5" t="s">
        <v>176</v>
      </c>
      <c r="L73" s="70"/>
      <c r="M73" s="71"/>
      <c r="P73" s="70"/>
      <c r="Q73" s="71"/>
      <c r="S73"/>
      <c r="T73"/>
      <c r="U73"/>
      <c r="V73"/>
      <c r="W73"/>
    </row>
    <row r="74" spans="1:23" ht="15.75" x14ac:dyDescent="0.3">
      <c r="C74" s="89"/>
      <c r="D74" s="5"/>
      <c r="L74" s="70"/>
      <c r="M74" s="71"/>
      <c r="P74" s="70"/>
      <c r="Q74" s="71"/>
      <c r="S74"/>
      <c r="T74"/>
      <c r="U74"/>
      <c r="V74"/>
      <c r="W74"/>
    </row>
    <row r="75" spans="1:23" x14ac:dyDescent="0.3">
      <c r="C75" s="89"/>
      <c r="D75" s="5"/>
    </row>
    <row r="76" spans="1:23" x14ac:dyDescent="0.3">
      <c r="A76" s="5"/>
      <c r="C76" s="76"/>
      <c r="D76" s="5"/>
    </row>
    <row r="77" spans="1:23" x14ac:dyDescent="0.3">
      <c r="B77" s="81"/>
      <c r="C77" s="82"/>
    </row>
    <row r="81" spans="10:18" x14ac:dyDescent="0.3">
      <c r="J81" s="83"/>
    </row>
    <row r="87" spans="10:18" ht="16.5" x14ac:dyDescent="0.3">
      <c r="J87" s="66"/>
      <c r="K87" s="66"/>
      <c r="L87" s="66"/>
      <c r="M87" s="66"/>
      <c r="N87" s="66"/>
      <c r="O87" s="66"/>
      <c r="P87" s="66"/>
      <c r="Q87" s="66"/>
      <c r="R87" s="66"/>
    </row>
    <row r="88" spans="10:18" ht="16.5" x14ac:dyDescent="0.3">
      <c r="J88" s="66"/>
      <c r="K88" s="66"/>
      <c r="L88" s="66"/>
      <c r="M88" s="66"/>
      <c r="N88" s="66"/>
      <c r="O88" s="66"/>
      <c r="P88" s="66"/>
      <c r="Q88" s="66"/>
      <c r="R88" s="66"/>
    </row>
    <row r="89" spans="10:18" ht="16.5" x14ac:dyDescent="0.3">
      <c r="J89" s="66"/>
      <c r="K89" s="66"/>
      <c r="L89" s="66"/>
      <c r="M89" s="66"/>
      <c r="N89" s="66"/>
      <c r="O89" s="66"/>
      <c r="P89" s="66"/>
      <c r="Q89" s="66"/>
      <c r="R89" s="66"/>
    </row>
    <row r="90" spans="10:18" ht="16.5" x14ac:dyDescent="0.3">
      <c r="J90" s="66"/>
      <c r="K90" s="66"/>
      <c r="L90" s="66"/>
      <c r="M90" s="66"/>
      <c r="N90" s="66"/>
      <c r="O90" s="66"/>
      <c r="P90" s="66"/>
      <c r="Q90" s="66"/>
      <c r="R90" s="66"/>
    </row>
    <row r="91" spans="10:18" ht="16.5" x14ac:dyDescent="0.3">
      <c r="J91" s="66"/>
      <c r="K91" s="66"/>
      <c r="L91" s="66"/>
      <c r="M91" s="66"/>
      <c r="N91" s="66"/>
      <c r="O91" s="66"/>
      <c r="P91" s="66"/>
      <c r="Q91" s="66"/>
      <c r="R91" s="66"/>
    </row>
    <row r="92" spans="10:18" ht="16.5" x14ac:dyDescent="0.3">
      <c r="J92" s="66"/>
      <c r="K92" s="66"/>
      <c r="L92" s="66"/>
      <c r="M92" s="66"/>
      <c r="N92" s="66"/>
      <c r="O92" s="66"/>
      <c r="P92" s="66"/>
      <c r="Q92" s="66"/>
      <c r="R92" s="66"/>
    </row>
    <row r="93" spans="10:18" ht="16.5" x14ac:dyDescent="0.3">
      <c r="J93" s="66"/>
      <c r="K93" s="66"/>
      <c r="L93" s="66"/>
      <c r="M93" s="66"/>
      <c r="N93" s="66"/>
      <c r="O93" s="66"/>
      <c r="P93" s="66"/>
      <c r="Q93" s="66"/>
      <c r="R93" s="66"/>
    </row>
    <row r="94" spans="10:18" ht="16.5" x14ac:dyDescent="0.3">
      <c r="J94" s="66"/>
      <c r="K94" s="66"/>
      <c r="L94" s="66"/>
      <c r="M94" s="66"/>
      <c r="N94" s="66"/>
      <c r="O94" s="66"/>
      <c r="P94" s="66"/>
      <c r="Q94" s="66"/>
      <c r="R94" s="66"/>
    </row>
    <row r="95" spans="10:18" ht="16.5" x14ac:dyDescent="0.3">
      <c r="J95" s="66"/>
      <c r="K95" s="66"/>
      <c r="L95" s="66"/>
      <c r="M95" s="66"/>
      <c r="N95" s="66"/>
      <c r="O95" s="66"/>
      <c r="P95" s="66"/>
      <c r="Q95" s="66"/>
      <c r="R95" s="66"/>
    </row>
    <row r="96" spans="10:18" ht="16.5" x14ac:dyDescent="0.3">
      <c r="J96" s="66"/>
      <c r="K96" s="66"/>
      <c r="L96" s="66"/>
      <c r="M96" s="66"/>
      <c r="N96" s="66"/>
      <c r="O96" s="66"/>
      <c r="P96" s="66"/>
      <c r="Q96" s="66"/>
      <c r="R96" s="66"/>
    </row>
  </sheetData>
  <mergeCells count="2">
    <mergeCell ref="L59:M59"/>
    <mergeCell ref="P59:Q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abSelected="1" topLeftCell="A57" zoomScale="80" zoomScaleNormal="80" workbookViewId="0">
      <selection activeCell="A82" sqref="A82:B82"/>
    </sheetView>
  </sheetViews>
  <sheetFormatPr baseColWidth="10" defaultRowHeight="14.25" x14ac:dyDescent="0.3"/>
  <cols>
    <col min="1" max="1" width="14.710937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3.85546875" style="1" customWidth="1"/>
    <col min="10" max="10" width="11.42578125" style="1"/>
    <col min="11" max="11" width="15.85546875" style="1" customWidth="1"/>
    <col min="12" max="12" width="13.42578125" style="1" bestFit="1" customWidth="1"/>
    <col min="13" max="13" width="14.140625" style="1" customWidth="1"/>
    <col min="14" max="16" width="11.42578125" style="1"/>
    <col min="17" max="17" width="13.28515625" style="1" customWidth="1"/>
    <col min="18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10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98"/>
      <c r="K4" s="99"/>
      <c r="L4" s="99"/>
      <c r="M4" s="99"/>
      <c r="N4" s="99"/>
      <c r="O4" s="99"/>
      <c r="P4" s="100"/>
      <c r="Q4"/>
      <c r="R4"/>
    </row>
    <row r="5" spans="1:21" ht="15.75" x14ac:dyDescent="0.3">
      <c r="A5" s="5"/>
      <c r="J5" s="101"/>
      <c r="K5" s="102"/>
      <c r="L5" s="102"/>
      <c r="M5" s="102"/>
      <c r="N5" s="102"/>
      <c r="O5" s="102"/>
      <c r="P5" s="103"/>
      <c r="Q5"/>
      <c r="R5"/>
    </row>
    <row r="6" spans="1:21" ht="18.75" x14ac:dyDescent="0.3">
      <c r="A6" s="2" t="s">
        <v>3</v>
      </c>
      <c r="E6" s="5" t="s">
        <v>4</v>
      </c>
      <c r="F6" s="1" t="s">
        <v>5</v>
      </c>
      <c r="J6" s="101"/>
      <c r="K6" s="102"/>
      <c r="L6" s="102"/>
      <c r="M6" s="102"/>
      <c r="N6" s="102"/>
      <c r="O6" s="102"/>
      <c r="P6" s="103"/>
      <c r="Q6"/>
      <c r="R6"/>
    </row>
    <row r="7" spans="1:21" ht="15.75" x14ac:dyDescent="0.3">
      <c r="J7" s="101"/>
      <c r="K7" s="102"/>
      <c r="L7" s="102"/>
      <c r="M7" s="102"/>
      <c r="N7" s="102"/>
      <c r="O7" s="102"/>
      <c r="P7" s="103"/>
      <c r="Q7"/>
      <c r="R7"/>
    </row>
    <row r="8" spans="1:21" ht="15.75" x14ac:dyDescent="0.3">
      <c r="J8" s="101"/>
      <c r="K8" s="102"/>
      <c r="L8" s="102"/>
      <c r="M8" s="102"/>
      <c r="N8" s="102"/>
      <c r="O8" s="102"/>
      <c r="P8" s="103"/>
      <c r="Q8"/>
      <c r="R8"/>
    </row>
    <row r="9" spans="1:21" s="5" customFormat="1" ht="15.75" x14ac:dyDescent="0.3">
      <c r="A9" s="5" t="s">
        <v>7</v>
      </c>
      <c r="C9" s="5" t="s">
        <v>155</v>
      </c>
      <c r="H9" s="5" t="s">
        <v>8</v>
      </c>
      <c r="J9" s="101"/>
      <c r="K9" s="102"/>
      <c r="L9" s="102"/>
      <c r="M9" s="102"/>
      <c r="N9" s="102"/>
      <c r="O9" s="102"/>
      <c r="P9" s="103"/>
      <c r="Q9"/>
      <c r="R9"/>
      <c r="S9" s="1"/>
      <c r="T9" s="1"/>
      <c r="U9" s="1"/>
    </row>
    <row r="10" spans="1:21" ht="15.75" x14ac:dyDescent="0.3">
      <c r="J10" s="101"/>
      <c r="K10" s="102"/>
      <c r="L10" s="102"/>
      <c r="M10" s="102"/>
      <c r="N10" s="102"/>
      <c r="O10" s="102"/>
      <c r="P10" s="103"/>
      <c r="Q10"/>
      <c r="R10"/>
    </row>
    <row r="11" spans="1:21" ht="16.5" thickBot="1" x14ac:dyDescent="0.35">
      <c r="A11" s="5" t="s">
        <v>9</v>
      </c>
      <c r="C11" s="1" t="s">
        <v>156</v>
      </c>
      <c r="F11" s="5" t="s">
        <v>1</v>
      </c>
      <c r="J11" s="101"/>
      <c r="K11" s="102"/>
      <c r="L11" s="102"/>
      <c r="M11" s="102"/>
      <c r="N11" s="102"/>
      <c r="O11" s="102"/>
      <c r="P11" s="103"/>
      <c r="Q11"/>
      <c r="R11"/>
    </row>
    <row r="12" spans="1:21" ht="15.75" x14ac:dyDescent="0.3">
      <c r="A12" s="5"/>
      <c r="F12" s="11"/>
      <c r="G12" s="12"/>
      <c r="H12" s="13"/>
      <c r="J12" s="101"/>
      <c r="K12" s="102"/>
      <c r="L12" s="102"/>
      <c r="M12" s="102"/>
      <c r="N12" s="102"/>
      <c r="O12" s="102"/>
      <c r="P12" s="103"/>
      <c r="Q12"/>
      <c r="R12"/>
    </row>
    <row r="13" spans="1:21" ht="15.75" x14ac:dyDescent="0.3">
      <c r="A13" s="5" t="s">
        <v>11</v>
      </c>
      <c r="F13" s="6"/>
      <c r="G13" s="7"/>
      <c r="H13" s="8"/>
      <c r="J13" s="101"/>
      <c r="K13" s="102"/>
      <c r="L13" s="102"/>
      <c r="M13" s="102"/>
      <c r="N13" s="102"/>
      <c r="O13" s="102"/>
      <c r="P13" s="103"/>
      <c r="Q13"/>
      <c r="R13"/>
    </row>
    <row r="14" spans="1:21" ht="15.75" x14ac:dyDescent="0.3">
      <c r="A14" s="5"/>
      <c r="F14" s="6"/>
      <c r="G14" s="7"/>
      <c r="H14" s="8"/>
      <c r="J14" s="101"/>
      <c r="K14" s="102"/>
      <c r="L14" s="102"/>
      <c r="M14" s="102"/>
      <c r="N14" s="102"/>
      <c r="O14" s="102"/>
      <c r="P14" s="103"/>
      <c r="Q14"/>
      <c r="R14"/>
    </row>
    <row r="15" spans="1:21" ht="15.75" x14ac:dyDescent="0.3">
      <c r="A15" s="5" t="s">
        <v>12</v>
      </c>
      <c r="C15" s="19" t="s">
        <v>160</v>
      </c>
      <c r="D15" s="18"/>
      <c r="E15" s="18"/>
      <c r="F15" s="84" t="s">
        <v>6</v>
      </c>
      <c r="G15" s="7"/>
      <c r="H15" s="8"/>
      <c r="J15" s="101"/>
      <c r="K15" s="102"/>
      <c r="L15" s="102"/>
      <c r="M15" s="102"/>
      <c r="N15" s="102"/>
      <c r="O15" s="102"/>
      <c r="P15" s="103"/>
      <c r="Q15"/>
      <c r="R15"/>
    </row>
    <row r="16" spans="1:21" ht="16.5" thickBot="1" x14ac:dyDescent="0.35">
      <c r="C16" s="17" t="s">
        <v>161</v>
      </c>
      <c r="D16" s="18"/>
      <c r="E16" s="18"/>
      <c r="F16" s="52">
        <f>1.5 +F20+1.5</f>
        <v>47</v>
      </c>
      <c r="G16" s="85" t="s">
        <v>100</v>
      </c>
      <c r="H16" s="86">
        <f>(2+H20+2)*2</f>
        <v>50</v>
      </c>
      <c r="J16" s="104"/>
      <c r="K16" s="105"/>
      <c r="L16" s="105"/>
      <c r="M16" s="105"/>
      <c r="N16" s="105"/>
      <c r="O16" s="105"/>
      <c r="P16" s="106"/>
      <c r="Q16"/>
      <c r="R16"/>
    </row>
    <row r="17" spans="1:18" ht="15.75" x14ac:dyDescent="0.3">
      <c r="C17" s="17" t="s">
        <v>111</v>
      </c>
      <c r="D17" s="18"/>
      <c r="E17" s="18"/>
      <c r="F17" s="84">
        <v>2</v>
      </c>
      <c r="G17" s="87" t="s">
        <v>101</v>
      </c>
      <c r="H17" s="8"/>
      <c r="J17"/>
      <c r="K17"/>
      <c r="L17"/>
      <c r="M17"/>
      <c r="N17"/>
      <c r="O17"/>
      <c r="P17"/>
      <c r="Q17"/>
      <c r="R17"/>
    </row>
    <row r="18" spans="1:18" x14ac:dyDescent="0.3">
      <c r="C18" s="17" t="s">
        <v>162</v>
      </c>
      <c r="D18" s="18"/>
      <c r="E18" s="18"/>
      <c r="F18" s="6"/>
      <c r="G18" s="7"/>
      <c r="H18" s="8"/>
      <c r="J18" s="21" t="s">
        <v>13</v>
      </c>
      <c r="K18" s="21" t="s">
        <v>16</v>
      </c>
      <c r="L18" s="1" t="s">
        <v>130</v>
      </c>
      <c r="M18" s="1" t="s">
        <v>131</v>
      </c>
      <c r="N18" s="1" t="s">
        <v>128</v>
      </c>
      <c r="O18" s="1" t="s">
        <v>132</v>
      </c>
      <c r="P18" s="1" t="s">
        <v>133</v>
      </c>
    </row>
    <row r="19" spans="1:18" x14ac:dyDescent="0.3">
      <c r="C19" s="17" t="s">
        <v>163</v>
      </c>
      <c r="D19" s="18"/>
      <c r="E19" s="18"/>
      <c r="F19" s="6"/>
      <c r="G19" s="7"/>
      <c r="H19" s="8"/>
      <c r="K19" s="42" t="s">
        <v>134</v>
      </c>
      <c r="M19" s="76">
        <f>+L19/100</f>
        <v>0</v>
      </c>
      <c r="N19" s="76">
        <v>120</v>
      </c>
      <c r="O19" s="76">
        <v>120</v>
      </c>
      <c r="P19" s="76">
        <v>120</v>
      </c>
    </row>
    <row r="20" spans="1:18" x14ac:dyDescent="0.3">
      <c r="C20" s="18" t="s">
        <v>164</v>
      </c>
      <c r="D20" s="18"/>
      <c r="E20" s="18"/>
      <c r="F20" s="52">
        <v>44</v>
      </c>
      <c r="G20" s="85" t="s">
        <v>100</v>
      </c>
      <c r="H20" s="86">
        <v>21</v>
      </c>
      <c r="K20" s="42" t="s">
        <v>19</v>
      </c>
    </row>
    <row r="21" spans="1:18" x14ac:dyDescent="0.3">
      <c r="C21" s="18" t="s">
        <v>165</v>
      </c>
      <c r="D21" s="18"/>
      <c r="E21" s="18"/>
      <c r="F21" s="84">
        <v>1</v>
      </c>
      <c r="G21" s="87" t="s">
        <v>101</v>
      </c>
      <c r="H21" s="8"/>
      <c r="K21" s="42" t="s">
        <v>21</v>
      </c>
    </row>
    <row r="22" spans="1:18" ht="15" thickBot="1" x14ac:dyDescent="0.35">
      <c r="C22" s="18"/>
      <c r="D22" s="18"/>
      <c r="E22" s="18"/>
      <c r="F22" s="14"/>
      <c r="G22" s="15"/>
      <c r="H22" s="16"/>
      <c r="K22" s="42" t="s">
        <v>23</v>
      </c>
    </row>
    <row r="23" spans="1:18" x14ac:dyDescent="0.3">
      <c r="A23" s="4" t="s">
        <v>14</v>
      </c>
      <c r="C23" s="92" t="s">
        <v>166</v>
      </c>
      <c r="D23" s="5" t="s">
        <v>15</v>
      </c>
      <c r="E23" s="23" t="s">
        <v>167</v>
      </c>
      <c r="F23" s="1" t="s">
        <v>168</v>
      </c>
    </row>
    <row r="25" spans="1:18" ht="15" thickBot="1" x14ac:dyDescent="0.35">
      <c r="A25" s="4" t="s">
        <v>17</v>
      </c>
      <c r="C25" s="24">
        <v>70</v>
      </c>
      <c r="D25" s="23" t="s">
        <v>18</v>
      </c>
      <c r="E25" s="25">
        <v>95</v>
      </c>
      <c r="F25" s="26">
        <f>+C25</f>
        <v>70</v>
      </c>
      <c r="G25" s="27" t="s">
        <v>18</v>
      </c>
      <c r="H25" s="27">
        <f>+E25</f>
        <v>95</v>
      </c>
      <c r="J25" s="21" t="s">
        <v>26</v>
      </c>
    </row>
    <row r="26" spans="1:18" ht="15" thickBot="1" x14ac:dyDescent="0.35">
      <c r="A26" s="4" t="s">
        <v>20</v>
      </c>
      <c r="B26" s="3"/>
      <c r="C26" s="28">
        <f>+F16</f>
        <v>47</v>
      </c>
      <c r="D26" s="29" t="s">
        <v>18</v>
      </c>
      <c r="E26" s="28">
        <f>+H16</f>
        <v>50</v>
      </c>
      <c r="F26" s="30">
        <f>+E26</f>
        <v>50</v>
      </c>
      <c r="G26" s="30" t="s">
        <v>18</v>
      </c>
      <c r="H26" s="30">
        <f>+C26</f>
        <v>47</v>
      </c>
      <c r="I26" s="31"/>
      <c r="J26" s="21"/>
      <c r="M26" s="107" t="s">
        <v>88</v>
      </c>
      <c r="N26" s="108" t="s">
        <v>135</v>
      </c>
      <c r="O26" s="47"/>
    </row>
    <row r="27" spans="1:18" ht="15" thickBot="1" x14ac:dyDescent="0.35">
      <c r="A27" s="3" t="s">
        <v>22</v>
      </c>
      <c r="B27" s="32"/>
      <c r="C27" s="33">
        <f>+C25/C26</f>
        <v>1.4893617021276595</v>
      </c>
      <c r="D27" s="34"/>
      <c r="E27" s="33">
        <f>+E25/E26</f>
        <v>1.9</v>
      </c>
      <c r="F27" s="33">
        <f>+F25/F26</f>
        <v>1.4</v>
      </c>
      <c r="G27" s="34"/>
      <c r="H27" s="33">
        <f>+H25/H26</f>
        <v>2.021276595744681</v>
      </c>
      <c r="I27" s="31"/>
      <c r="K27" s="1" t="s">
        <v>32</v>
      </c>
      <c r="L27" s="1" t="s">
        <v>136</v>
      </c>
      <c r="M27" s="109"/>
      <c r="N27" s="46"/>
      <c r="O27" s="47"/>
      <c r="P27" s="48"/>
      <c r="Q27" s="12"/>
      <c r="R27" s="13"/>
    </row>
    <row r="28" spans="1:18" ht="15" thickBot="1" x14ac:dyDescent="0.35">
      <c r="A28" s="3" t="s">
        <v>24</v>
      </c>
      <c r="B28" s="35"/>
      <c r="C28" s="36"/>
      <c r="D28" s="37">
        <v>1</v>
      </c>
      <c r="E28" s="38"/>
      <c r="F28" s="39"/>
      <c r="G28" s="40">
        <v>2</v>
      </c>
      <c r="H28" s="41" t="s">
        <v>25</v>
      </c>
      <c r="K28" s="1" t="s">
        <v>137</v>
      </c>
      <c r="M28" s="110">
        <v>135</v>
      </c>
      <c r="N28" s="111" t="s">
        <v>138</v>
      </c>
      <c r="O28" s="51"/>
      <c r="P28" s="52"/>
      <c r="Q28" s="7"/>
      <c r="R28" s="8"/>
    </row>
    <row r="29" spans="1:18" x14ac:dyDescent="0.3">
      <c r="A29" s="3"/>
      <c r="B29" s="22"/>
      <c r="C29" s="31"/>
      <c r="G29" s="42"/>
      <c r="H29" s="31"/>
      <c r="K29" s="1" t="s">
        <v>139</v>
      </c>
      <c r="M29" s="110">
        <v>135</v>
      </c>
      <c r="N29" s="112" t="s">
        <v>138</v>
      </c>
      <c r="O29" s="51"/>
      <c r="P29" s="52"/>
      <c r="Q29" s="7"/>
      <c r="R29" s="8"/>
    </row>
    <row r="30" spans="1:18" x14ac:dyDescent="0.3">
      <c r="A30" s="26" t="s">
        <v>27</v>
      </c>
      <c r="B30" s="26" t="s">
        <v>127</v>
      </c>
      <c r="D30" s="42" t="s">
        <v>28</v>
      </c>
      <c r="E30" s="43">
        <v>2.7629999999999999</v>
      </c>
      <c r="G30" s="1" t="s">
        <v>29</v>
      </c>
      <c r="H30" s="44">
        <v>0.1</v>
      </c>
      <c r="K30" s="1" t="s">
        <v>35</v>
      </c>
      <c r="M30" s="110">
        <v>200</v>
      </c>
      <c r="N30" s="112" t="s">
        <v>140</v>
      </c>
      <c r="O30" s="51"/>
      <c r="P30" s="52"/>
      <c r="Q30" s="7"/>
      <c r="R30" s="8"/>
    </row>
    <row r="31" spans="1:18" x14ac:dyDescent="0.3">
      <c r="A31" s="3"/>
      <c r="B31" s="3"/>
      <c r="C31" s="3"/>
      <c r="D31" s="45" t="s">
        <v>30</v>
      </c>
      <c r="E31" s="43">
        <f>+H30*E30</f>
        <v>0.27629999999999999</v>
      </c>
      <c r="H31" s="44"/>
      <c r="I31" s="31"/>
      <c r="K31" s="1" t="s">
        <v>37</v>
      </c>
      <c r="L31" s="1" t="s">
        <v>136</v>
      </c>
      <c r="M31" s="110"/>
      <c r="N31" s="112"/>
      <c r="O31" s="51"/>
      <c r="P31" s="52"/>
      <c r="Q31" s="7"/>
      <c r="R31" s="8"/>
    </row>
    <row r="32" spans="1:18" x14ac:dyDescent="0.3">
      <c r="D32" s="45" t="s">
        <v>31</v>
      </c>
      <c r="E32" s="49">
        <f>+E30-E31</f>
        <v>2.4866999999999999</v>
      </c>
      <c r="I32" s="31"/>
      <c r="K32" s="1" t="s">
        <v>39</v>
      </c>
      <c r="M32" s="110">
        <v>300</v>
      </c>
      <c r="N32" s="112" t="s">
        <v>140</v>
      </c>
      <c r="O32" s="51"/>
      <c r="P32" s="52"/>
      <c r="Q32" s="7"/>
      <c r="R32" s="8"/>
    </row>
    <row r="33" spans="1:18" x14ac:dyDescent="0.3">
      <c r="E33" s="22" t="s">
        <v>33</v>
      </c>
      <c r="F33" s="22" t="s">
        <v>34</v>
      </c>
      <c r="G33" s="22" t="s">
        <v>34</v>
      </c>
      <c r="H33" s="22" t="s">
        <v>34</v>
      </c>
      <c r="I33" s="31"/>
      <c r="K33" s="1" t="s">
        <v>40</v>
      </c>
      <c r="L33" s="1" t="s">
        <v>136</v>
      </c>
      <c r="M33" s="110"/>
      <c r="N33" s="112"/>
      <c r="O33" s="51"/>
      <c r="P33" s="52"/>
      <c r="Q33" s="7"/>
      <c r="R33" s="8"/>
    </row>
    <row r="34" spans="1:18" x14ac:dyDescent="0.3">
      <c r="D34" s="42" t="s">
        <v>36</v>
      </c>
      <c r="E34" s="54">
        <f>+E32</f>
        <v>2.4866999999999999</v>
      </c>
      <c r="F34" s="54">
        <v>0</v>
      </c>
      <c r="G34" s="54">
        <v>0</v>
      </c>
      <c r="H34" s="54">
        <v>0</v>
      </c>
      <c r="K34" s="1" t="s">
        <v>46</v>
      </c>
      <c r="L34" s="1" t="s">
        <v>136</v>
      </c>
      <c r="M34" s="110"/>
      <c r="N34" s="112"/>
      <c r="O34" s="51"/>
      <c r="P34" s="52"/>
      <c r="Q34" s="7"/>
      <c r="R34" s="8"/>
    </row>
    <row r="35" spans="1:18" x14ac:dyDescent="0.3">
      <c r="D35" s="42" t="s">
        <v>38</v>
      </c>
      <c r="E35" s="54">
        <f>+E34*1.15</f>
        <v>2.8597049999999995</v>
      </c>
      <c r="F35" s="54">
        <v>0</v>
      </c>
      <c r="G35" s="54">
        <v>0</v>
      </c>
      <c r="H35" s="54">
        <v>0</v>
      </c>
      <c r="K35" s="1" t="s">
        <v>48</v>
      </c>
      <c r="L35" s="1" t="s">
        <v>136</v>
      </c>
      <c r="M35" s="110"/>
      <c r="N35" s="112"/>
      <c r="O35" s="51"/>
      <c r="P35" s="52"/>
      <c r="Q35" s="7"/>
      <c r="R35" s="8"/>
    </row>
    <row r="36" spans="1:18" ht="15" thickBot="1" x14ac:dyDescent="0.35">
      <c r="A36" s="3"/>
      <c r="G36" s="42"/>
      <c r="K36" s="1" t="s">
        <v>51</v>
      </c>
      <c r="L36" s="1" t="s">
        <v>136</v>
      </c>
      <c r="M36" s="110"/>
      <c r="N36" s="112"/>
      <c r="O36" s="51"/>
      <c r="P36" s="52"/>
      <c r="Q36" s="7"/>
      <c r="R36" s="8"/>
    </row>
    <row r="37" spans="1:18" x14ac:dyDescent="0.3">
      <c r="A37" s="3"/>
      <c r="B37" s="22"/>
      <c r="C37" s="31"/>
      <c r="E37" s="11" t="s">
        <v>41</v>
      </c>
      <c r="F37" s="12" t="s">
        <v>42</v>
      </c>
      <c r="G37" s="12"/>
      <c r="H37" s="13"/>
      <c r="K37" s="1" t="s">
        <v>54</v>
      </c>
      <c r="L37" s="1" t="s">
        <v>136</v>
      </c>
      <c r="M37" s="110"/>
      <c r="N37" s="112"/>
      <c r="O37" s="51"/>
      <c r="P37" s="52"/>
      <c r="Q37" s="7"/>
      <c r="R37" s="8"/>
    </row>
    <row r="38" spans="1:18" ht="15" thickBot="1" x14ac:dyDescent="0.35">
      <c r="A38" s="4" t="s">
        <v>43</v>
      </c>
      <c r="C38" s="55">
        <v>2</v>
      </c>
      <c r="D38" s="56" t="s">
        <v>44</v>
      </c>
      <c r="E38" s="14"/>
      <c r="F38" s="15" t="s">
        <v>45</v>
      </c>
      <c r="G38" s="15"/>
      <c r="H38" s="16"/>
      <c r="K38" s="1" t="s">
        <v>57</v>
      </c>
      <c r="L38" s="1" t="s">
        <v>136</v>
      </c>
      <c r="M38" s="110"/>
      <c r="N38" s="112"/>
      <c r="O38" s="51"/>
      <c r="P38" s="52"/>
      <c r="Q38" s="7"/>
      <c r="R38" s="8"/>
    </row>
    <row r="39" spans="1:18" x14ac:dyDescent="0.3">
      <c r="A39" s="4"/>
      <c r="C39" s="22"/>
      <c r="D39" s="1" t="s">
        <v>47</v>
      </c>
      <c r="E39" s="3"/>
      <c r="F39" s="3"/>
      <c r="K39" s="1" t="s">
        <v>59</v>
      </c>
      <c r="L39" s="1" t="s">
        <v>136</v>
      </c>
      <c r="M39" s="110"/>
      <c r="N39" s="112"/>
      <c r="O39" s="51"/>
      <c r="P39" s="52"/>
      <c r="Q39" s="7"/>
      <c r="R39" s="8"/>
    </row>
    <row r="40" spans="1:18" x14ac:dyDescent="0.3">
      <c r="A40" s="4" t="s">
        <v>49</v>
      </c>
      <c r="B40" s="5"/>
      <c r="C40" s="57">
        <f>+B48/F17</f>
        <v>325</v>
      </c>
      <c r="D40" s="25">
        <v>500</v>
      </c>
      <c r="F40" s="45" t="s">
        <v>50</v>
      </c>
      <c r="G40" s="24">
        <v>1</v>
      </c>
      <c r="H40" s="3"/>
      <c r="K40" s="1" t="s">
        <v>61</v>
      </c>
      <c r="M40" s="110">
        <v>120</v>
      </c>
      <c r="N40" s="112" t="s">
        <v>138</v>
      </c>
      <c r="O40" s="51"/>
      <c r="P40" s="52"/>
      <c r="Q40" s="7"/>
      <c r="R40" s="8"/>
    </row>
    <row r="41" spans="1:18" x14ac:dyDescent="0.3">
      <c r="A41" s="4" t="s">
        <v>52</v>
      </c>
      <c r="C41" s="35">
        <f>+C40+D40</f>
        <v>825</v>
      </c>
      <c r="F41" s="45" t="s">
        <v>53</v>
      </c>
      <c r="G41" s="24">
        <v>2</v>
      </c>
      <c r="H41" s="3"/>
      <c r="K41" s="1" t="s">
        <v>141</v>
      </c>
      <c r="M41" s="50"/>
      <c r="N41" s="53"/>
      <c r="O41" s="51"/>
      <c r="P41" s="52"/>
      <c r="Q41" s="7"/>
      <c r="R41" s="8"/>
    </row>
    <row r="42" spans="1:18" ht="15" thickBot="1" x14ac:dyDescent="0.35">
      <c r="A42" s="4" t="s">
        <v>55</v>
      </c>
      <c r="C42" s="35">
        <f>+C41/C38</f>
        <v>412.5</v>
      </c>
      <c r="F42" s="45" t="s">
        <v>56</v>
      </c>
      <c r="G42" s="24"/>
      <c r="H42" s="3"/>
      <c r="K42" s="1" t="s">
        <v>63</v>
      </c>
      <c r="M42" s="59"/>
      <c r="N42" s="60"/>
      <c r="O42" s="61"/>
      <c r="P42" s="62"/>
      <c r="Q42" s="15"/>
      <c r="R42" s="16"/>
    </row>
    <row r="43" spans="1:18" x14ac:dyDescent="0.3">
      <c r="A43" s="4" t="s">
        <v>110</v>
      </c>
      <c r="C43" s="22">
        <f>+(C42*C38)*F17</f>
        <v>1650</v>
      </c>
      <c r="F43" s="42" t="s">
        <v>58</v>
      </c>
      <c r="G43" s="24">
        <f>+C40/1000</f>
        <v>0.32500000000000001</v>
      </c>
      <c r="H43" s="3"/>
      <c r="M43" s="7"/>
      <c r="N43" s="10"/>
      <c r="O43" s="85"/>
      <c r="P43" s="85"/>
      <c r="Q43" s="7"/>
      <c r="R43" s="7"/>
    </row>
    <row r="44" spans="1:18" ht="15.75" x14ac:dyDescent="0.3">
      <c r="A44" s="4"/>
      <c r="C44" s="58"/>
      <c r="F44" s="45" t="s">
        <v>60</v>
      </c>
      <c r="G44" s="55">
        <f>+C41</f>
        <v>825</v>
      </c>
      <c r="H44" s="3"/>
      <c r="K44"/>
      <c r="L44"/>
      <c r="M44"/>
      <c r="N44"/>
      <c r="O44"/>
      <c r="P44"/>
      <c r="Q44"/>
      <c r="R44"/>
    </row>
    <row r="45" spans="1:18" ht="15.75" x14ac:dyDescent="0.3">
      <c r="A45" s="4"/>
      <c r="C45" s="22"/>
      <c r="E45" s="45"/>
      <c r="F45" s="45"/>
      <c r="G45" s="31"/>
      <c r="I45" s="3"/>
      <c r="K45"/>
      <c r="L45"/>
      <c r="M45"/>
      <c r="N45"/>
      <c r="O45"/>
      <c r="P45"/>
      <c r="Q45"/>
      <c r="R45"/>
    </row>
    <row r="46" spans="1:18" ht="15.75" x14ac:dyDescent="0.3">
      <c r="A46" s="4" t="s">
        <v>62</v>
      </c>
      <c r="C46" s="26">
        <f>+C42*C38</f>
        <v>825</v>
      </c>
      <c r="F46" s="45"/>
      <c r="G46" s="31"/>
      <c r="H46" s="3"/>
      <c r="K46"/>
      <c r="L46"/>
      <c r="M46"/>
      <c r="N46"/>
      <c r="O46"/>
      <c r="P46"/>
      <c r="Q46"/>
      <c r="R46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10</v>
      </c>
    </row>
    <row r="48" spans="1:18" x14ac:dyDescent="0.3">
      <c r="A48" s="4" t="s">
        <v>95</v>
      </c>
      <c r="B48" s="22">
        <f>+cartón!B48</f>
        <v>650</v>
      </c>
      <c r="C48" s="22"/>
      <c r="D48" s="26" t="s">
        <v>64</v>
      </c>
      <c r="E48" s="26" t="s">
        <v>65</v>
      </c>
      <c r="F48" s="26" t="s">
        <v>66</v>
      </c>
      <c r="G48" s="26" t="s">
        <v>67</v>
      </c>
      <c r="H48" s="26" t="s">
        <v>68</v>
      </c>
      <c r="J48" s="11"/>
      <c r="K48" s="12" t="s">
        <v>120</v>
      </c>
      <c r="L48" s="12"/>
      <c r="M48" s="12"/>
      <c r="N48" s="12"/>
      <c r="O48" s="12"/>
      <c r="P48" s="12"/>
      <c r="Q48" s="12"/>
      <c r="R48" s="13"/>
    </row>
    <row r="49" spans="1:23" x14ac:dyDescent="0.3">
      <c r="A49" s="63" t="s">
        <v>69</v>
      </c>
      <c r="B49" s="64"/>
      <c r="C49" s="3"/>
      <c r="D49" s="22">
        <v>4</v>
      </c>
      <c r="E49" s="22">
        <v>1</v>
      </c>
      <c r="F49" s="22" t="s">
        <v>70</v>
      </c>
      <c r="G49" s="31">
        <v>295</v>
      </c>
      <c r="H49" s="31">
        <f>+(D49*E49)*G49</f>
        <v>1180</v>
      </c>
      <c r="J49" s="6"/>
      <c r="K49" s="85">
        <f>+F16</f>
        <v>47</v>
      </c>
      <c r="L49" s="85">
        <f>+H16</f>
        <v>50</v>
      </c>
      <c r="M49" s="7" t="s">
        <v>119</v>
      </c>
      <c r="N49" s="85" t="s">
        <v>121</v>
      </c>
      <c r="O49" s="7" t="s">
        <v>122</v>
      </c>
      <c r="P49" s="7" t="s">
        <v>123</v>
      </c>
      <c r="Q49" s="7"/>
      <c r="R49" s="8"/>
    </row>
    <row r="50" spans="1:23" x14ac:dyDescent="0.3">
      <c r="A50" s="64" t="s">
        <v>71</v>
      </c>
      <c r="B50" s="65">
        <f>+E34*C42</f>
        <v>1025.7637500000001</v>
      </c>
      <c r="C50" s="3"/>
      <c r="D50" s="22">
        <v>4</v>
      </c>
      <c r="E50" s="22">
        <v>1</v>
      </c>
      <c r="F50" s="22" t="s">
        <v>96</v>
      </c>
      <c r="G50" s="31">
        <v>160</v>
      </c>
      <c r="H50" s="31">
        <f>+(D50*E50)*G50</f>
        <v>640</v>
      </c>
      <c r="J50" s="6"/>
      <c r="K50" s="85">
        <f>0.47*0.505*C41</f>
        <v>195.81374999999997</v>
      </c>
      <c r="L50" s="90">
        <f>3.9*3</f>
        <v>11.7</v>
      </c>
      <c r="M50" s="90">
        <f>+K50*L50</f>
        <v>2291.0208749999997</v>
      </c>
      <c r="N50" s="90">
        <v>0</v>
      </c>
      <c r="O50" s="90">
        <f>+M50+N50</f>
        <v>2291.0208749999997</v>
      </c>
      <c r="P50" s="87" t="s">
        <v>172</v>
      </c>
      <c r="Q50" s="7"/>
      <c r="R50" s="8"/>
    </row>
    <row r="51" spans="1:23" x14ac:dyDescent="0.3">
      <c r="A51" s="64" t="s">
        <v>13</v>
      </c>
      <c r="B51" s="65">
        <f>+H63</f>
        <v>4781.0208750000002</v>
      </c>
      <c r="C51" s="3"/>
      <c r="D51" s="22">
        <v>0</v>
      </c>
      <c r="E51" s="22">
        <v>0</v>
      </c>
      <c r="F51" s="22" t="s">
        <v>102</v>
      </c>
      <c r="G51" s="31">
        <v>500</v>
      </c>
      <c r="H51" s="31">
        <f>+G51*E51*D51</f>
        <v>0</v>
      </c>
      <c r="J51" s="6"/>
      <c r="K51" s="7"/>
      <c r="L51" s="90"/>
      <c r="M51" s="90"/>
      <c r="N51" s="90"/>
      <c r="O51" s="90"/>
      <c r="P51" s="7"/>
      <c r="Q51" s="7"/>
      <c r="R51" s="8"/>
    </row>
    <row r="52" spans="1:23" x14ac:dyDescent="0.3">
      <c r="A52" s="64" t="s">
        <v>32</v>
      </c>
      <c r="B52" s="65">
        <v>600</v>
      </c>
      <c r="C52" s="3"/>
      <c r="D52" s="22">
        <v>1</v>
      </c>
      <c r="E52" s="22">
        <v>1</v>
      </c>
      <c r="F52" s="22" t="s">
        <v>117</v>
      </c>
      <c r="G52" s="31">
        <v>400</v>
      </c>
      <c r="H52" s="31">
        <f t="shared" ref="H52:H53" si="0">+G52*E52</f>
        <v>400</v>
      </c>
      <c r="I52" s="31">
        <f>+(B78/100)*2</f>
        <v>978.04590125000004</v>
      </c>
      <c r="J52" s="6"/>
      <c r="K52" s="85">
        <f>+K49</f>
        <v>47</v>
      </c>
      <c r="L52" s="85">
        <f>+L49</f>
        <v>50</v>
      </c>
      <c r="M52" s="7" t="s">
        <v>119</v>
      </c>
      <c r="N52" s="85" t="s">
        <v>121</v>
      </c>
      <c r="O52" s="7" t="s">
        <v>122</v>
      </c>
      <c r="P52" s="7" t="s">
        <v>124</v>
      </c>
      <c r="Q52" s="7"/>
      <c r="R52" s="8"/>
    </row>
    <row r="53" spans="1:23" ht="16.5" x14ac:dyDescent="0.3">
      <c r="A53" s="67" t="s">
        <v>170</v>
      </c>
      <c r="B53" s="65">
        <v>200</v>
      </c>
      <c r="C53" s="3"/>
      <c r="D53" s="22">
        <v>1</v>
      </c>
      <c r="E53" s="22">
        <v>1</v>
      </c>
      <c r="F53" s="22" t="s">
        <v>169</v>
      </c>
      <c r="G53" s="31">
        <v>135</v>
      </c>
      <c r="H53" s="31">
        <f t="shared" si="0"/>
        <v>135</v>
      </c>
      <c r="I53" s="66"/>
      <c r="J53" s="6"/>
      <c r="K53" s="85">
        <f>0.28*0.325*C41</f>
        <v>75.075000000000003</v>
      </c>
      <c r="L53" s="90">
        <f>3.9*3</f>
        <v>11.7</v>
      </c>
      <c r="M53" s="90">
        <f>+K53*L53</f>
        <v>878.37749999999994</v>
      </c>
      <c r="N53" s="90">
        <v>360</v>
      </c>
      <c r="O53" s="90">
        <f>+M53+N53</f>
        <v>1238.3775000000001</v>
      </c>
      <c r="P53" s="87" t="s">
        <v>125</v>
      </c>
      <c r="Q53" s="7"/>
      <c r="R53" s="8"/>
    </row>
    <row r="54" spans="1:23" ht="16.5" x14ac:dyDescent="0.3">
      <c r="A54" s="67" t="s">
        <v>171</v>
      </c>
      <c r="B54" s="65">
        <f>+L69</f>
        <v>600</v>
      </c>
      <c r="C54" s="3"/>
      <c r="D54" s="22">
        <v>1</v>
      </c>
      <c r="E54" s="22">
        <v>1</v>
      </c>
      <c r="F54" s="22" t="s">
        <v>139</v>
      </c>
      <c r="G54" s="31">
        <v>135</v>
      </c>
      <c r="H54" s="31">
        <f t="shared" ref="H54:H59" si="1">+G54*E54</f>
        <v>135</v>
      </c>
      <c r="I54" s="66"/>
      <c r="J54" s="6"/>
      <c r="K54" s="85"/>
      <c r="L54" s="90"/>
      <c r="M54" s="90"/>
      <c r="N54" s="90"/>
      <c r="O54" s="90"/>
      <c r="P54" s="87"/>
      <c r="Q54" s="7"/>
      <c r="R54" s="8"/>
    </row>
    <row r="55" spans="1:23" x14ac:dyDescent="0.3">
      <c r="A55" s="67" t="s">
        <v>175</v>
      </c>
      <c r="B55" s="65">
        <f>+((B48*2)*1.1)</f>
        <v>1430.0000000000002</v>
      </c>
      <c r="C55" s="3"/>
      <c r="D55" s="22">
        <v>0</v>
      </c>
      <c r="E55" s="22">
        <v>0</v>
      </c>
      <c r="F55" s="22" t="s">
        <v>114</v>
      </c>
      <c r="G55" s="31">
        <v>120</v>
      </c>
      <c r="H55" s="31">
        <f t="shared" si="1"/>
        <v>0</v>
      </c>
      <c r="J55" s="6"/>
      <c r="K55" s="7"/>
      <c r="L55" s="90"/>
      <c r="M55" s="90"/>
      <c r="N55" s="90"/>
      <c r="O55" s="90"/>
      <c r="P55" s="7"/>
      <c r="Q55" s="7"/>
      <c r="R55" s="8"/>
    </row>
    <row r="56" spans="1:23" x14ac:dyDescent="0.3">
      <c r="A56" s="67" t="s">
        <v>177</v>
      </c>
      <c r="B56" s="65">
        <f>+Q69</f>
        <v>1750</v>
      </c>
      <c r="C56" s="3"/>
      <c r="D56" s="22">
        <v>0</v>
      </c>
      <c r="E56" s="22">
        <v>0</v>
      </c>
      <c r="F56" s="22" t="s">
        <v>39</v>
      </c>
      <c r="G56" s="31">
        <v>1.5</v>
      </c>
      <c r="H56" s="31">
        <f t="shared" si="1"/>
        <v>0</v>
      </c>
      <c r="J56" s="6"/>
      <c r="K56" s="7"/>
      <c r="L56" s="90"/>
      <c r="M56" s="90"/>
      <c r="N56" s="90"/>
      <c r="O56" s="90"/>
      <c r="P56" s="7"/>
      <c r="Q56" s="7"/>
      <c r="R56" s="8"/>
    </row>
    <row r="57" spans="1:23" ht="15" thickBot="1" x14ac:dyDescent="0.35">
      <c r="A57" s="67" t="s">
        <v>115</v>
      </c>
      <c r="B57" s="65">
        <f>+((25*B48)*1.1)</f>
        <v>17875</v>
      </c>
      <c r="D57" s="22">
        <v>0</v>
      </c>
      <c r="E57" s="22">
        <v>0</v>
      </c>
      <c r="F57" s="22" t="s">
        <v>73</v>
      </c>
      <c r="G57" s="31">
        <v>1.5</v>
      </c>
      <c r="H57" s="31">
        <f t="shared" si="1"/>
        <v>0</v>
      </c>
      <c r="J57" s="14"/>
      <c r="K57" s="15"/>
      <c r="L57" s="15"/>
      <c r="M57" s="15"/>
      <c r="N57" s="15"/>
      <c r="O57" s="15"/>
      <c r="P57" s="15"/>
      <c r="Q57" s="15"/>
      <c r="R57" s="16"/>
    </row>
    <row r="58" spans="1:23" x14ac:dyDescent="0.3">
      <c r="A58" s="67" t="s">
        <v>150</v>
      </c>
      <c r="B58" s="65">
        <f>+L77</f>
        <v>1787.5000000000005</v>
      </c>
      <c r="D58" s="22">
        <v>1</v>
      </c>
      <c r="E58" s="22">
        <v>1</v>
      </c>
      <c r="F58" s="3" t="s">
        <v>76</v>
      </c>
      <c r="G58" s="31">
        <f>+O50</f>
        <v>2291.0208749999997</v>
      </c>
      <c r="H58" s="31">
        <f t="shared" si="1"/>
        <v>2291.0208749999997</v>
      </c>
    </row>
    <row r="59" spans="1:23" x14ac:dyDescent="0.3">
      <c r="A59" s="67" t="s">
        <v>173</v>
      </c>
      <c r="B59" s="65">
        <f>400+500</f>
        <v>900</v>
      </c>
      <c r="D59" s="22"/>
      <c r="E59" s="22"/>
      <c r="F59" s="3"/>
      <c r="G59" s="3"/>
      <c r="H59" s="31">
        <f t="shared" si="1"/>
        <v>0</v>
      </c>
      <c r="J59" s="5" t="s">
        <v>74</v>
      </c>
    </row>
    <row r="60" spans="1:23" ht="15.75" x14ac:dyDescent="0.3">
      <c r="A60" s="63" t="s">
        <v>75</v>
      </c>
      <c r="B60" s="68">
        <f>SUM(B50:B59)</f>
        <v>30949.284625</v>
      </c>
      <c r="C60" s="3"/>
      <c r="L60" s="5"/>
      <c r="S60"/>
      <c r="T60"/>
      <c r="U60"/>
      <c r="V60"/>
      <c r="W60"/>
    </row>
    <row r="61" spans="1:23" ht="15.75" x14ac:dyDescent="0.3">
      <c r="A61" s="9"/>
      <c r="B61" s="69"/>
      <c r="C61" s="3"/>
      <c r="K61" s="72" t="s">
        <v>77</v>
      </c>
      <c r="L61" s="121" t="s">
        <v>171</v>
      </c>
      <c r="M61" s="122"/>
      <c r="P61" s="72" t="s">
        <v>77</v>
      </c>
      <c r="Q61" s="121" t="s">
        <v>178</v>
      </c>
      <c r="R61" s="122"/>
      <c r="U61"/>
      <c r="V61"/>
      <c r="W61"/>
    </row>
    <row r="62" spans="1:23" ht="15.75" x14ac:dyDescent="0.3">
      <c r="A62" s="9"/>
      <c r="B62" s="33">
        <f>+B60/B48</f>
        <v>47.614284038461541</v>
      </c>
      <c r="C62" s="4" t="s">
        <v>78</v>
      </c>
      <c r="D62" s="3"/>
      <c r="E62" s="3"/>
      <c r="F62" s="3"/>
      <c r="G62" s="3"/>
      <c r="K62" s="42" t="s">
        <v>2</v>
      </c>
      <c r="L62" s="70"/>
      <c r="M62" s="71"/>
      <c r="P62" s="42" t="s">
        <v>2</v>
      </c>
      <c r="Q62" s="70" t="s">
        <v>179</v>
      </c>
      <c r="R62" s="71"/>
      <c r="U62"/>
      <c r="V62"/>
      <c r="W62"/>
    </row>
    <row r="63" spans="1:23" ht="15.75" x14ac:dyDescent="0.3">
      <c r="A63" s="3"/>
      <c r="B63" s="3"/>
      <c r="D63" s="3"/>
      <c r="E63" s="3"/>
      <c r="F63" s="3"/>
      <c r="G63" s="72" t="s">
        <v>79</v>
      </c>
      <c r="H63" s="31">
        <f>SUM(H49:H62)</f>
        <v>4781.0208750000002</v>
      </c>
      <c r="K63" s="42" t="s">
        <v>15</v>
      </c>
      <c r="L63" s="113" t="s">
        <v>143</v>
      </c>
      <c r="M63" s="71"/>
      <c r="P63" s="42" t="s">
        <v>15</v>
      </c>
      <c r="Q63" s="70" t="s">
        <v>180</v>
      </c>
      <c r="R63" s="71"/>
      <c r="U63"/>
      <c r="V63"/>
      <c r="W63"/>
    </row>
    <row r="64" spans="1:23" ht="15.75" x14ac:dyDescent="0.3">
      <c r="D64" s="3"/>
      <c r="E64" s="3"/>
      <c r="G64" s="1" t="s">
        <v>80</v>
      </c>
      <c r="H64" s="73">
        <v>1.5</v>
      </c>
      <c r="K64" s="42" t="s">
        <v>81</v>
      </c>
      <c r="L64" s="113"/>
      <c r="M64" s="71" t="s">
        <v>144</v>
      </c>
      <c r="P64" s="42" t="s">
        <v>81</v>
      </c>
      <c r="Q64" s="70" t="s">
        <v>182</v>
      </c>
      <c r="R64" s="71"/>
      <c r="U64"/>
      <c r="V64"/>
      <c r="W64"/>
    </row>
    <row r="65" spans="1:23" ht="15.75" x14ac:dyDescent="0.3">
      <c r="A65" s="4" t="s">
        <v>82</v>
      </c>
      <c r="B65" s="3"/>
      <c r="C65" s="3"/>
      <c r="E65" s="33"/>
      <c r="G65" s="1" t="s">
        <v>83</v>
      </c>
      <c r="H65" s="73">
        <v>1.75</v>
      </c>
      <c r="K65" s="42" t="s">
        <v>84</v>
      </c>
      <c r="L65" s="113">
        <v>4100</v>
      </c>
      <c r="M65" s="71" t="s">
        <v>181</v>
      </c>
      <c r="P65" s="42" t="s">
        <v>84</v>
      </c>
      <c r="Q65" s="70" t="s">
        <v>183</v>
      </c>
      <c r="R65" s="71"/>
      <c r="U65"/>
      <c r="V65"/>
      <c r="W65"/>
    </row>
    <row r="66" spans="1:23" ht="15.75" x14ac:dyDescent="0.3">
      <c r="A66" s="3"/>
      <c r="B66" s="4" t="s">
        <v>85</v>
      </c>
      <c r="C66" s="26" t="s">
        <v>86</v>
      </c>
      <c r="D66" s="3"/>
      <c r="E66" s="3"/>
      <c r="F66" s="3"/>
      <c r="G66" s="5" t="s">
        <v>83</v>
      </c>
      <c r="H66" s="88">
        <v>2</v>
      </c>
      <c r="K66" s="42" t="s">
        <v>87</v>
      </c>
      <c r="L66" s="113">
        <v>2</v>
      </c>
      <c r="M66" s="114"/>
      <c r="P66" s="42" t="s">
        <v>87</v>
      </c>
      <c r="Q66" s="70">
        <v>700</v>
      </c>
      <c r="R66" s="71" t="s">
        <v>140</v>
      </c>
      <c r="U66"/>
      <c r="V66"/>
      <c r="W66"/>
    </row>
    <row r="67" spans="1:23" ht="15.75" x14ac:dyDescent="0.3">
      <c r="A67" s="63" t="s">
        <v>88</v>
      </c>
      <c r="B67" s="64"/>
      <c r="C67" s="3"/>
      <c r="D67" s="3">
        <f>+B78*C73</f>
        <v>0</v>
      </c>
      <c r="E67" s="3"/>
      <c r="F67" s="3"/>
      <c r="G67" s="5" t="s">
        <v>99</v>
      </c>
      <c r="H67" s="73">
        <v>2.5</v>
      </c>
      <c r="K67" s="42" t="s">
        <v>89</v>
      </c>
      <c r="L67" s="115"/>
      <c r="M67" s="71"/>
      <c r="P67" s="42" t="s">
        <v>89</v>
      </c>
      <c r="Q67" s="116">
        <v>2.5</v>
      </c>
      <c r="R67" s="71"/>
      <c r="U67"/>
      <c r="V67"/>
      <c r="W67"/>
    </row>
    <row r="68" spans="1:23" ht="15.75" x14ac:dyDescent="0.3">
      <c r="A68" s="64" t="s">
        <v>71</v>
      </c>
      <c r="B68" s="65">
        <f>+E35*C42</f>
        <v>1179.6283124999998</v>
      </c>
      <c r="C68" s="74"/>
      <c r="K68" s="42" t="s">
        <v>145</v>
      </c>
      <c r="L68" s="115">
        <v>300</v>
      </c>
      <c r="M68" s="117"/>
      <c r="P68" s="42" t="s">
        <v>184</v>
      </c>
      <c r="Q68" s="115"/>
      <c r="R68" s="117" t="s">
        <v>148</v>
      </c>
      <c r="U68"/>
      <c r="V68"/>
      <c r="W68"/>
    </row>
    <row r="69" spans="1:23" ht="15.75" x14ac:dyDescent="0.3">
      <c r="A69" s="64" t="s">
        <v>13</v>
      </c>
      <c r="B69" s="65">
        <f>+H63*H66</f>
        <v>9562.0417500000003</v>
      </c>
      <c r="C69" s="74"/>
      <c r="K69" s="72" t="s">
        <v>91</v>
      </c>
      <c r="L69" s="120">
        <f>+L68*L66</f>
        <v>600</v>
      </c>
      <c r="M69" s="117"/>
      <c r="N69" s="5"/>
      <c r="O69" s="5"/>
      <c r="P69" s="72" t="s">
        <v>91</v>
      </c>
      <c r="Q69" s="120">
        <f>+Q67*Q66</f>
        <v>1750</v>
      </c>
      <c r="R69" s="117"/>
      <c r="U69"/>
      <c r="V69"/>
      <c r="W69"/>
    </row>
    <row r="70" spans="1:23" ht="15.75" x14ac:dyDescent="0.3">
      <c r="A70" s="64" t="str">
        <f>+A52</f>
        <v>Tabla de suaje</v>
      </c>
      <c r="B70" s="65">
        <f>+B52*H64</f>
        <v>900</v>
      </c>
      <c r="C70" s="74"/>
      <c r="L70" s="115"/>
      <c r="M70" s="71"/>
      <c r="P70" s="42"/>
      <c r="Q70" s="70"/>
      <c r="R70" s="71"/>
      <c r="U70"/>
      <c r="V70"/>
      <c r="W70"/>
    </row>
    <row r="71" spans="1:23" ht="15.75" x14ac:dyDescent="0.3">
      <c r="A71" s="64" t="str">
        <f>+A53</f>
        <v>Prueba de Color</v>
      </c>
      <c r="B71" s="65">
        <f>+B53*H64</f>
        <v>300</v>
      </c>
      <c r="C71" s="74"/>
      <c r="K71" s="72" t="s">
        <v>77</v>
      </c>
      <c r="L71" s="121" t="s">
        <v>150</v>
      </c>
      <c r="M71" s="122"/>
      <c r="P71" s="42"/>
      <c r="Q71" s="70"/>
      <c r="R71" s="71"/>
      <c r="U71"/>
      <c r="V71"/>
      <c r="W71"/>
    </row>
    <row r="72" spans="1:23" ht="15.75" x14ac:dyDescent="0.3">
      <c r="A72" s="64" t="str">
        <f>+A54</f>
        <v>Velcro</v>
      </c>
      <c r="B72" s="65">
        <f>+B54*H64</f>
        <v>900</v>
      </c>
      <c r="C72" s="74"/>
      <c r="K72" s="42" t="s">
        <v>185</v>
      </c>
      <c r="L72" s="113">
        <f>+B48*1.1</f>
        <v>715.00000000000011</v>
      </c>
      <c r="M72" s="71"/>
      <c r="P72" s="42"/>
      <c r="Q72" s="70"/>
      <c r="R72" s="71"/>
      <c r="U72"/>
      <c r="V72"/>
      <c r="W72"/>
    </row>
    <row r="73" spans="1:23" ht="15.75" x14ac:dyDescent="0.3">
      <c r="A73" s="67" t="s">
        <v>175</v>
      </c>
      <c r="B73" s="65">
        <f>+B55*H64</f>
        <v>2145.0000000000005</v>
      </c>
      <c r="C73" s="74"/>
      <c r="G73" s="75" t="s">
        <v>90</v>
      </c>
      <c r="H73" s="33">
        <f>+B62</f>
        <v>47.614284038461541</v>
      </c>
      <c r="I73" s="76">
        <f>+H73*B48</f>
        <v>30949.284625</v>
      </c>
      <c r="K73" s="42" t="s">
        <v>186</v>
      </c>
      <c r="L73" s="115">
        <f>0.5*L72</f>
        <v>357.50000000000006</v>
      </c>
      <c r="M73" s="71"/>
      <c r="Q73" s="70"/>
      <c r="R73" s="71"/>
      <c r="U73"/>
      <c r="V73"/>
      <c r="W73"/>
    </row>
    <row r="74" spans="1:23" ht="15.75" x14ac:dyDescent="0.3">
      <c r="A74" s="67" t="str">
        <f>+A56</f>
        <v>Celofan</v>
      </c>
      <c r="B74" s="65">
        <f>+B56*H64</f>
        <v>2625</v>
      </c>
      <c r="C74" s="74"/>
      <c r="G74" s="75" t="s">
        <v>92</v>
      </c>
      <c r="H74" s="33">
        <f>+C78</f>
        <v>75.234300096153845</v>
      </c>
      <c r="I74" s="76">
        <f>+H74*B48</f>
        <v>48902.295062500001</v>
      </c>
      <c r="K74" s="42" t="s">
        <v>187</v>
      </c>
      <c r="L74" s="118">
        <f>+L72*0.5</f>
        <v>357.50000000000006</v>
      </c>
      <c r="M74" s="119"/>
      <c r="Q74" s="70"/>
      <c r="R74" s="71"/>
      <c r="U74"/>
      <c r="V74"/>
      <c r="W74"/>
    </row>
    <row r="75" spans="1:23" ht="15.75" x14ac:dyDescent="0.3">
      <c r="A75" s="64" t="str">
        <f>+A57</f>
        <v>Encuadernación</v>
      </c>
      <c r="B75" s="65">
        <f>+B57*H64</f>
        <v>26812.5</v>
      </c>
      <c r="C75" s="77"/>
      <c r="G75" s="78" t="s">
        <v>93</v>
      </c>
      <c r="H75" s="79">
        <f>+H74-H73</f>
        <v>27.620016057692304</v>
      </c>
      <c r="I75" s="94">
        <f>+H75*B48</f>
        <v>17953.010437499997</v>
      </c>
      <c r="K75" s="42" t="s">
        <v>188</v>
      </c>
      <c r="L75" s="118">
        <f>0.5*L72</f>
        <v>357.50000000000006</v>
      </c>
      <c r="M75" s="119"/>
      <c r="Q75" s="70"/>
      <c r="R75" s="71"/>
      <c r="U75"/>
      <c r="V75"/>
      <c r="W75"/>
    </row>
    <row r="76" spans="1:23" ht="15.75" x14ac:dyDescent="0.3">
      <c r="A76" s="64" t="str">
        <f>+A58</f>
        <v>Maquila Armado</v>
      </c>
      <c r="B76" s="65">
        <f>+B58*H65</f>
        <v>3128.1250000000009</v>
      </c>
      <c r="C76" s="77"/>
      <c r="G76" s="124" t="s">
        <v>129</v>
      </c>
      <c r="H76" s="124"/>
      <c r="I76" s="97">
        <f>+(A82/100)*2.5</f>
        <v>1638.0486031249998</v>
      </c>
      <c r="K76" s="42" t="s">
        <v>189</v>
      </c>
      <c r="L76" s="118">
        <f>1*L72</f>
        <v>715.00000000000011</v>
      </c>
      <c r="M76" s="119"/>
      <c r="Q76" s="70"/>
      <c r="R76" s="71"/>
      <c r="U76"/>
      <c r="V76"/>
      <c r="W76"/>
    </row>
    <row r="77" spans="1:23" ht="15.75" x14ac:dyDescent="0.3">
      <c r="A77" s="64" t="str">
        <f>+A59</f>
        <v>Mensajeria y Empaque</v>
      </c>
      <c r="B77" s="65">
        <f>+B59*H64</f>
        <v>1350</v>
      </c>
      <c r="C77" s="79" t="s">
        <v>154</v>
      </c>
      <c r="D77" s="27"/>
      <c r="E77" s="27"/>
      <c r="F77" s="27" t="s">
        <v>90</v>
      </c>
      <c r="K77" s="72" t="s">
        <v>91</v>
      </c>
      <c r="L77" s="120">
        <f>SUM(L73:L76)</f>
        <v>1787.5000000000005</v>
      </c>
      <c r="M77" s="71"/>
      <c r="Q77" s="70"/>
      <c r="R77" s="71"/>
      <c r="U77"/>
      <c r="V77"/>
      <c r="W77"/>
    </row>
    <row r="78" spans="1:23" ht="15.75" x14ac:dyDescent="0.3">
      <c r="A78" s="63" t="s">
        <v>75</v>
      </c>
      <c r="B78" s="68">
        <f>SUM(B67:B77)</f>
        <v>48902.295062500001</v>
      </c>
      <c r="C78" s="79">
        <f>+B78/B48</f>
        <v>75.234300096153845</v>
      </c>
      <c r="D78" s="5" t="s">
        <v>174</v>
      </c>
      <c r="F78" s="89">
        <f>+B62</f>
        <v>47.614284038461541</v>
      </c>
      <c r="G78" s="7"/>
      <c r="L78" s="70"/>
      <c r="M78" s="71"/>
      <c r="Q78" s="70"/>
      <c r="R78" s="71"/>
      <c r="U78"/>
      <c r="V78"/>
      <c r="W78"/>
    </row>
    <row r="79" spans="1:23" x14ac:dyDescent="0.3">
      <c r="C79" s="89">
        <f>+'forro EXT '!C73</f>
        <v>16.743517788461538</v>
      </c>
      <c r="D79" s="5" t="str">
        <f>+'forro EXT '!D73</f>
        <v>forro EXT</v>
      </c>
      <c r="F79" s="89">
        <f>+'forro EXT '!B60</f>
        <v>10.497756538461537</v>
      </c>
    </row>
    <row r="80" spans="1:23" x14ac:dyDescent="0.3">
      <c r="C80" s="89">
        <f>+cartón!C72</f>
        <v>5.8251730769230772</v>
      </c>
      <c r="D80" s="5" t="str">
        <f>+cartón!D72</f>
        <v xml:space="preserve">cartón </v>
      </c>
      <c r="E80" s="5"/>
      <c r="F80" s="89">
        <f>+cartón!B60</f>
        <v>4.8780769230769234</v>
      </c>
    </row>
    <row r="81" spans="1:18" x14ac:dyDescent="0.3">
      <c r="C81" s="91">
        <v>3</v>
      </c>
      <c r="D81" s="5" t="s">
        <v>190</v>
      </c>
      <c r="E81" s="5"/>
      <c r="F81" s="91">
        <v>2</v>
      </c>
      <c r="J81" s="7"/>
    </row>
    <row r="82" spans="1:18" x14ac:dyDescent="0.3">
      <c r="A82" s="123">
        <f>+C82*B48</f>
        <v>65521.944124999995</v>
      </c>
      <c r="B82" s="123"/>
      <c r="C82" s="93">
        <f>SUM(C78:C81)</f>
        <v>100.80299096153846</v>
      </c>
      <c r="D82" s="5" t="s">
        <v>118</v>
      </c>
      <c r="F82" s="95">
        <f>SUM(F78:F81)</f>
        <v>64.990117499999997</v>
      </c>
      <c r="G82" s="96">
        <f>+F82*B48</f>
        <v>42243.576374999997</v>
      </c>
      <c r="I82" s="123">
        <f>+A82-G82</f>
        <v>23278.367749999998</v>
      </c>
      <c r="J82" s="123"/>
    </row>
    <row r="88" spans="1:18" ht="16.5" x14ac:dyDescent="0.3">
      <c r="J88" s="66"/>
      <c r="K88" s="66"/>
      <c r="L88" s="66"/>
      <c r="M88" s="66"/>
      <c r="N88" s="66"/>
      <c r="O88" s="66"/>
      <c r="P88" s="66"/>
      <c r="Q88" s="66"/>
      <c r="R88" s="66"/>
    </row>
    <row r="89" spans="1:18" ht="16.5" x14ac:dyDescent="0.3">
      <c r="J89" s="66"/>
      <c r="K89" s="66"/>
      <c r="L89" s="66"/>
      <c r="M89" s="66"/>
      <c r="N89" s="66"/>
      <c r="O89" s="66"/>
      <c r="P89" s="66"/>
      <c r="Q89" s="66"/>
      <c r="R89" s="66"/>
    </row>
    <row r="90" spans="1:18" ht="16.5" x14ac:dyDescent="0.3">
      <c r="J90" s="66"/>
      <c r="K90" s="66"/>
      <c r="L90" s="66"/>
      <c r="M90" s="66"/>
      <c r="N90" s="66"/>
      <c r="O90" s="66"/>
      <c r="P90" s="66"/>
      <c r="Q90" s="66"/>
      <c r="R90" s="66"/>
    </row>
    <row r="91" spans="1:18" ht="16.5" x14ac:dyDescent="0.3">
      <c r="J91" s="66"/>
      <c r="K91" s="66"/>
      <c r="L91" s="66"/>
      <c r="M91" s="66"/>
      <c r="N91" s="66"/>
      <c r="O91" s="66"/>
      <c r="P91" s="66"/>
      <c r="Q91" s="66"/>
      <c r="R91" s="66"/>
    </row>
    <row r="92" spans="1:18" ht="16.5" x14ac:dyDescent="0.3">
      <c r="J92" s="66"/>
      <c r="K92" s="66"/>
      <c r="L92" s="66"/>
      <c r="M92" s="66"/>
      <c r="N92" s="66"/>
      <c r="O92" s="66"/>
      <c r="P92" s="66"/>
      <c r="Q92" s="66"/>
      <c r="R92" s="66"/>
    </row>
    <row r="93" spans="1:18" ht="16.5" x14ac:dyDescent="0.3">
      <c r="J93" s="66"/>
      <c r="K93" s="66"/>
      <c r="L93" s="66"/>
      <c r="M93" s="66"/>
      <c r="N93" s="66"/>
      <c r="O93" s="66"/>
      <c r="P93" s="66"/>
      <c r="Q93" s="66"/>
      <c r="R93" s="66"/>
    </row>
    <row r="94" spans="1:18" ht="16.5" x14ac:dyDescent="0.3">
      <c r="J94" s="66"/>
      <c r="K94" s="66"/>
      <c r="L94" s="66"/>
      <c r="M94" s="66"/>
      <c r="N94" s="66"/>
      <c r="O94" s="66"/>
      <c r="P94" s="66"/>
      <c r="Q94" s="66"/>
      <c r="R94" s="66"/>
    </row>
    <row r="95" spans="1:18" ht="16.5" x14ac:dyDescent="0.3">
      <c r="J95" s="66"/>
      <c r="K95" s="66"/>
      <c r="L95" s="66"/>
      <c r="M95" s="66"/>
      <c r="N95" s="66"/>
      <c r="O95" s="66"/>
      <c r="P95" s="66"/>
      <c r="Q95" s="66"/>
      <c r="R95" s="66"/>
    </row>
    <row r="96" spans="1:18" ht="16.5" x14ac:dyDescent="0.3">
      <c r="J96" s="66"/>
      <c r="K96" s="66"/>
      <c r="L96" s="66"/>
      <c r="M96" s="66"/>
      <c r="N96" s="66"/>
      <c r="O96" s="66"/>
      <c r="P96" s="66"/>
      <c r="Q96" s="66"/>
      <c r="R96" s="66"/>
    </row>
    <row r="97" spans="10:18" ht="16.5" x14ac:dyDescent="0.3">
      <c r="J97" s="66"/>
      <c r="K97" s="66"/>
      <c r="L97" s="66"/>
      <c r="M97" s="66"/>
      <c r="N97" s="66"/>
      <c r="O97" s="66"/>
      <c r="P97" s="66"/>
      <c r="Q97" s="66"/>
      <c r="R97" s="66"/>
    </row>
  </sheetData>
  <mergeCells count="6">
    <mergeCell ref="Q61:R61"/>
    <mergeCell ref="A82:B82"/>
    <mergeCell ref="L71:M71"/>
    <mergeCell ref="G76:H76"/>
    <mergeCell ref="I82:J82"/>
    <mergeCell ref="L61:M61"/>
  </mergeCells>
  <pageMargins left="0.70866141732283472" right="0.70866141732283472" top="0.74803149606299213" bottom="0.74803149606299213" header="0.31496062992125984" footer="0.31496062992125984"/>
  <pageSetup scale="41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cartón</vt:lpstr>
      <vt:lpstr>forro EXT </vt:lpstr>
      <vt:lpstr>forro INT guarda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2016-09-12T17:02:26Z</cp:lastPrinted>
  <dcterms:created xsi:type="dcterms:W3CDTF">2013-03-04T22:24:31Z</dcterms:created>
  <dcterms:modified xsi:type="dcterms:W3CDTF">2016-09-19T22:41:46Z</dcterms:modified>
</cp:coreProperties>
</file>