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E47F7748-BA8C-4E37-967C-FA2B05C7595F}" xr6:coauthVersionLast="47" xr6:coauthVersionMax="47" xr10:uidLastSave="{00000000-0000-0000-0000-000000000000}"/>
  <bookViews>
    <workbookView xWindow="-120" yWindow="-120" windowWidth="29040" windowHeight="15720" activeTab="1" xr2:uid="{858EECC8-30FB-4D42-A70B-DA5455FDD71D}"/>
  </bookViews>
  <sheets>
    <sheet name="SolverRepos" sheetId="3" r:id="rId1"/>
    <sheet name="Model" sheetId="1" r:id="rId2"/>
    <sheet name="Affald2021" sheetId="2" r:id="rId3"/>
  </sheets>
  <definedNames>
    <definedName name="AFV">Model!$C$34</definedName>
    <definedName name="AndelAffald">Model!$C$23</definedName>
    <definedName name="AndelBioaffald">Model!$D$23</definedName>
    <definedName name="ATL">Model!$C$35</definedName>
    <definedName name="CO2afgift">Model!$C$36</definedName>
    <definedName name="CO2indholdAfgift">Model!$C$26</definedName>
    <definedName name="CO2indholdKvote">Model!$C$27</definedName>
    <definedName name="DBmedRGK">Model!$K$72</definedName>
    <definedName name="DBudenRGK">Model!$J$72</definedName>
    <definedName name="Elpris">Model!$C$31</definedName>
    <definedName name="ElprodTarif">Model!$C$32</definedName>
    <definedName name="ENSkvoteLHV">Model!$C$28</definedName>
    <definedName name="EtaE">Model!$D$17</definedName>
    <definedName name="EtaQmaxOvn2">Model!$C$16</definedName>
    <definedName name="EtaQmaxOvn3">Model!$D$16</definedName>
    <definedName name="EtaQNomOvn2">Model!$C$14</definedName>
    <definedName name="EtaQNomOvn3">Model!$D$14</definedName>
    <definedName name="EtaRgkOvn2">Model!$C$15</definedName>
    <definedName name="EtaRgkOvn3">Model!$D$15</definedName>
    <definedName name="Ftotal">Model!$C$40</definedName>
    <definedName name="Htotal">Model!$C$41</definedName>
    <definedName name="KapQcool">Model!$E$10</definedName>
    <definedName name="KapQnomOvn2">Model!$C$10</definedName>
    <definedName name="KapQnomOvn3">Model!$D$10</definedName>
    <definedName name="Kvotepris">Model!$C$33</definedName>
    <definedName name="LHVaffald">Model!$C$25</definedName>
    <definedName name="LHVbioaffald">Model!$D$25</definedName>
    <definedName name="NSvarme">Model!$E$22</definedName>
    <definedName name="Qdemand">Model!$C$39</definedName>
    <definedName name="RGKudnyttelse">Model!$C$5</definedName>
    <definedName name="solver_adj" localSheetId="1" hidden="1">Model!$C$5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Model!$C$5</definedName>
    <definedName name="solver_lhs2" localSheetId="1" hidden="1">Model!$C$5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Model!$K$72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mesalgspris">Model!$C$30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N35" i="1"/>
  <c r="N13" i="1"/>
  <c r="N9" i="1"/>
  <c r="O8" i="1"/>
  <c r="N10" i="1"/>
  <c r="N11" i="1"/>
  <c r="N8" i="1"/>
  <c r="N7" i="1"/>
  <c r="N6" i="1"/>
  <c r="O5" i="1"/>
  <c r="N56" i="1"/>
  <c r="J57" i="1"/>
  <c r="K13" i="1"/>
  <c r="K57" i="1" s="1"/>
  <c r="D15" i="1"/>
  <c r="C15" i="1"/>
  <c r="P5" i="1" l="1"/>
  <c r="K38" i="1" l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C40" i="1" l="1"/>
  <c r="C41" i="1" s="1"/>
  <c r="D23" i="1"/>
  <c r="C23" i="1"/>
  <c r="K6" i="1"/>
  <c r="K7" i="1" s="1"/>
  <c r="J6" i="1"/>
  <c r="J7" i="1" s="1"/>
  <c r="D24" i="1"/>
  <c r="D16" i="1"/>
  <c r="C16" i="1"/>
  <c r="K10" i="1" l="1"/>
  <c r="J10" i="1"/>
  <c r="J8" i="1"/>
  <c r="K8" i="1"/>
  <c r="J14" i="1"/>
  <c r="K11" i="1" l="1"/>
  <c r="J11" i="1"/>
  <c r="D41" i="1"/>
  <c r="J9" i="1"/>
  <c r="K9" i="1"/>
  <c r="K14" i="1" s="1"/>
  <c r="K15" i="1" l="1"/>
  <c r="L14" i="1"/>
  <c r="K16" i="1" l="1"/>
  <c r="J27" i="1"/>
  <c r="K27" i="1" s="1"/>
  <c r="L27" i="1" s="1"/>
  <c r="J15" i="1"/>
  <c r="L15" i="1" s="1"/>
  <c r="J16" i="1"/>
  <c r="J18" i="1" s="1"/>
  <c r="K18" i="1" l="1"/>
  <c r="L18" i="1" s="1"/>
  <c r="L16" i="1"/>
  <c r="K17" i="1"/>
  <c r="J17" i="1"/>
  <c r="J19" i="1"/>
  <c r="K19" i="1" l="1"/>
  <c r="L19" i="1" s="1"/>
  <c r="L17" i="1"/>
  <c r="J20" i="1"/>
  <c r="K20" i="1" l="1"/>
  <c r="K21" i="1" s="1"/>
  <c r="K23" i="1" s="1"/>
  <c r="J22" i="1"/>
  <c r="J25" i="1" s="1"/>
  <c r="J24" i="1"/>
  <c r="J26" i="1"/>
  <c r="K26" i="1" s="1"/>
  <c r="L26" i="1" s="1"/>
  <c r="J21" i="1"/>
  <c r="J23" i="1" s="1"/>
  <c r="K43" i="1" l="1"/>
  <c r="K64" i="1" s="1"/>
  <c r="K22" i="1"/>
  <c r="K25" i="1" s="1"/>
  <c r="L25" i="1" s="1"/>
  <c r="K24" i="1"/>
  <c r="L24" i="1" s="1"/>
  <c r="L20" i="1"/>
  <c r="L23" i="1"/>
  <c r="L21" i="1"/>
  <c r="K36" i="1"/>
  <c r="K28" i="1"/>
  <c r="J28" i="1"/>
  <c r="J29" i="1" s="1"/>
  <c r="J36" i="1"/>
  <c r="L43" i="1" l="1"/>
  <c r="L22" i="1"/>
  <c r="P8" i="1"/>
  <c r="L28" i="1"/>
  <c r="L36" i="1"/>
  <c r="K61" i="1"/>
  <c r="K41" i="1"/>
  <c r="K63" i="1"/>
  <c r="K35" i="1"/>
  <c r="K50" i="1" s="1"/>
  <c r="J41" i="1"/>
  <c r="O7" i="1" s="1"/>
  <c r="J35" i="1"/>
  <c r="J63" i="1"/>
  <c r="K29" i="1"/>
  <c r="J61" i="1"/>
  <c r="J30" i="1"/>
  <c r="J37" i="1"/>
  <c r="L61" i="1" l="1"/>
  <c r="L63" i="1"/>
  <c r="K49" i="1"/>
  <c r="K68" i="1"/>
  <c r="L35" i="1"/>
  <c r="K30" i="1"/>
  <c r="L30" i="1" s="1"/>
  <c r="L29" i="1"/>
  <c r="P7" i="1"/>
  <c r="L41" i="1"/>
  <c r="J31" i="1"/>
  <c r="J40" i="1" s="1"/>
  <c r="J68" i="1"/>
  <c r="J50" i="1"/>
  <c r="L50" i="1" s="1"/>
  <c r="J49" i="1"/>
  <c r="K37" i="1"/>
  <c r="J39" i="1"/>
  <c r="J59" i="1" s="1"/>
  <c r="L49" i="1" l="1"/>
  <c r="L68" i="1"/>
  <c r="J32" i="1"/>
  <c r="J33" i="1" s="1"/>
  <c r="K39" i="1"/>
  <c r="L37" i="1"/>
  <c r="K31" i="1"/>
  <c r="O6" i="1"/>
  <c r="J42" i="1"/>
  <c r="J45" i="1" s="1"/>
  <c r="J51" i="1" s="1"/>
  <c r="J52" i="1" s="1"/>
  <c r="J54" i="1" s="1"/>
  <c r="J66" i="1" s="1"/>
  <c r="J34" i="1"/>
  <c r="O9" i="1" s="1"/>
  <c r="K40" i="1" l="1"/>
  <c r="L31" i="1"/>
  <c r="K34" i="1"/>
  <c r="K32" i="1"/>
  <c r="J64" i="1"/>
  <c r="K59" i="1"/>
  <c r="L59" i="1" s="1"/>
  <c r="L39" i="1"/>
  <c r="J46" i="1"/>
  <c r="O10" i="1" s="1"/>
  <c r="J67" i="1"/>
  <c r="J55" i="1"/>
  <c r="J53" i="1"/>
  <c r="J58" i="1" l="1"/>
  <c r="J70" i="1" s="1"/>
  <c r="J47" i="1"/>
  <c r="O11" i="1" s="1"/>
  <c r="J65" i="1"/>
  <c r="J71" i="1" s="1"/>
  <c r="K33" i="1"/>
  <c r="L33" i="1" s="1"/>
  <c r="L32" i="1"/>
  <c r="P9" i="1"/>
  <c r="L34" i="1"/>
  <c r="L40" i="1"/>
  <c r="L64" i="1"/>
  <c r="P6" i="1"/>
  <c r="K42" i="1"/>
  <c r="J72" i="1" l="1"/>
  <c r="K45" i="1"/>
  <c r="L42" i="1"/>
  <c r="K46" i="1"/>
  <c r="L46" i="1" l="1"/>
  <c r="P10" i="1"/>
  <c r="K58" i="1"/>
  <c r="L58" i="1" s="1"/>
  <c r="K47" i="1"/>
  <c r="K65" i="1"/>
  <c r="L65" i="1" s="1"/>
  <c r="K44" i="1"/>
  <c r="L44" i="1" s="1"/>
  <c r="L45" i="1"/>
  <c r="K51" i="1"/>
  <c r="L51" i="1" l="1"/>
  <c r="K53" i="1"/>
  <c r="L53" i="1" s="1"/>
  <c r="K52" i="1"/>
  <c r="P11" i="1"/>
  <c r="L47" i="1"/>
  <c r="L52" i="1" l="1"/>
  <c r="K54" i="1"/>
  <c r="L54" i="1" l="1"/>
  <c r="K55" i="1"/>
  <c r="L55" i="1" s="1"/>
  <c r="K66" i="1"/>
  <c r="K67" i="1"/>
  <c r="L67" i="1" s="1"/>
  <c r="L66" i="1" l="1"/>
  <c r="K60" i="1"/>
  <c r="K71" i="1"/>
  <c r="L71" i="1" s="1"/>
  <c r="K70" i="1" l="1"/>
  <c r="L60" i="1"/>
  <c r="L70" i="1" l="1"/>
  <c r="K72" i="1"/>
  <c r="L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5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A26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27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</commentList>
</comments>
</file>

<file path=xl/sharedStrings.xml><?xml version="1.0" encoding="utf-8"?>
<sst xmlns="http://schemas.openxmlformats.org/spreadsheetml/2006/main" count="287" uniqueCount="157">
  <si>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</si>
  <si>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</si>
  <si>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</si>
  <si>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</si>
  <si>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</si>
  <si>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</si>
  <si>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</si>
  <si>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</si>
  <si>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</si>
  <si>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</si>
  <si>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</si>
  <si>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</si>
  <si>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</si>
  <si>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</si>
  <si>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</si>
  <si>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</si>
  <si>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</si>
  <si>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</si>
  <si>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</si>
  <si>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</si>
  <si>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</si>
  <si>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</si>
  <si>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</si>
  <si>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</si>
  <si>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</si>
  <si>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</si>
  <si>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</si>
  <si>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</si>
  <si>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</si>
  <si>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</si>
  <si>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</si>
  <si>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</si>
  <si>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</si>
  <si>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</si>
  <si>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</si>
  <si>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</si>
  <si>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</si>
  <si>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</si>
  <si>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</si>
  <si>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</si>
  <si>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</si>
  <si>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</si>
  <si>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</si>
  <si>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</si>
  <si>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</si>
  <si>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</si>
  <si>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</si>
  <si>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</si>
  <si>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</si>
  <si>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</si>
  <si>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</si>
  <si>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</si>
  <si>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</si>
  <si>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</si>
  <si>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</si>
  <si>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</si>
  <si>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</si>
  <si>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</si>
  <si>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</si>
  <si>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</si>
  <si>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</si>
  <si>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</si>
  <si>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</si>
  <si>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</si>
  <si>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</si>
  <si>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</si>
  <si>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</si>
  <si>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</si>
  <si>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</si>
  <si>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</si>
  <si>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</si>
  <si>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</si>
  <si>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</si>
  <si>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</si>
  <si>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</si>
  <si>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</si>
  <si>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</si>
  <si>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</si>
  <si>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</si>
  <si>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</si>
  <si>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</si>
  <si>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</si>
  <si>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</si>
  <si>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</si>
  <si>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</si>
  <si>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</si>
  <si>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</si>
  <si>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</si>
  <si>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</si>
  <si>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</si>
  <si>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</si>
  <si>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</si>
  <si>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</si>
  <si>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</si>
  <si>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</si>
  <si>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</si>
  <si>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</si>
  <si>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</si>
  <si>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</si>
  <si>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</si>
  <si>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</si>
  <si>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</si>
  <si>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</si>
  <si>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</si>
  <si>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</si>
  <si>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</si>
  <si>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</si>
  <si>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</si>
  <si>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</si>
  <si>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</si>
  <si>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</si>
  <si>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</si>
  <si>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</si>
  <si>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</si>
  <si>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</si>
  <si>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</si>
  <si>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</si>
  <si>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</si>
  <si>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</si>
  <si>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</si>
  <si>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</si>
  <si>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</si>
  <si>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</si>
  <si>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</si>
  <si>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</si>
  <si>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</si>
  <si>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</si>
  <si>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</si>
  <si>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</si>
  <si>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</si>
  <si>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</si>
  <si>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</si>
  <si>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</si>
  <si>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</si>
  <si>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</si>
  <si>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</si>
  <si>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</si>
  <si>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</si>
  <si>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</si>
  <si>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</si>
  <si>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</si>
  <si>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For begge ovne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</si>
  <si>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</si>
  <si>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</si>
  <si>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</si>
  <si>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</si>
  <si>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</si>
  <si>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</si>
  <si>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</si>
  <si>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</si>
  <si>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</si>
  <si>
    <t>AFBILDNINGER</t>
  </si>
  <si>
    <t>Navn</t>
  </si>
  <si>
    <t>SOLVER-opsætninger</t>
  </si>
  <si>
    <t>Beskrivelse</t>
  </si>
  <si>
    <t>Maksimerer dækningsbidrag med RGK-udnyttelse som fri variabel</t>
  </si>
  <si>
    <t>Restriktioner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</si>
</sst>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#,##0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3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1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3" fontId="0" fillId="0" borderId="0" xfId="0" applyNumberFormat="1" applyAlignment="1">
      <alignment horizontal="center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vertical="top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Model!$N$56</c:f>
          <c:strCache>
            <c:ptCount val="1"/>
            <c:pt idx="0">
              <c:v>Økonomiske nøgletal: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Model!$J$57</c:f>
              <c:strCache>
                <c:ptCount val="1"/>
                <c:pt idx="0">
                  <c:v>Uden RGK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Model!$J$58:$J$72</c:f>
              <c:numCache>
                <c:formatCode>#,##0,</c:formatCode>
                <c:ptCount val="15"/>
                <c:pt idx="0">
                  <c:v>7404288</c:v>
                </c:pt>
                <c:pt idx="1">
                  <c:v>3947332.4512195126</c:v>
                </c:pt>
                <c:pt idx="2">
                  <c:v>0</c:v>
                </c:pt>
                <c:pt idx="3">
                  <c:v>6280117.9904397326</c:v>
                </c:pt>
                <c:pt idx="5">
                  <c:v>0</c:v>
                </c:pt>
                <c:pt idx="6">
                  <c:v>1049040</c:v>
                </c:pt>
                <c:pt idx="7">
                  <c:v>2211287.04</c:v>
                </c:pt>
                <c:pt idx="8">
                  <c:v>2271283.2000000002</c:v>
                </c:pt>
                <c:pt idx="9">
                  <c:v>471719.80799999996</c:v>
                </c:pt>
                <c:pt idx="10">
                  <c:v>2209465.1303317542</c:v>
                </c:pt>
                <c:pt idx="12">
                  <c:v>17631738.441659246</c:v>
                </c:pt>
                <c:pt idx="13">
                  <c:v>8212795.1783317551</c:v>
                </c:pt>
                <c:pt idx="14">
                  <c:v>9418943.2633274905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tx>
            <c:strRef>
              <c:f>Model!$K$57</c:f>
              <c:strCache>
                <c:ptCount val="1"/>
                <c:pt idx="0">
                  <c:v>Med 100% RGK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Model!$K$58:$K$72</c:f>
              <c:numCache>
                <c:formatCode>#,##0,</c:formatCode>
                <c:ptCount val="15"/>
                <c:pt idx="0">
                  <c:v>7499765</c:v>
                </c:pt>
                <c:pt idx="1">
                  <c:v>3822931.3787708599</c:v>
                </c:pt>
                <c:pt idx="2">
                  <c:v>201730.28555860883</c:v>
                </c:pt>
                <c:pt idx="3">
                  <c:v>5444927.3260209365</c:v>
                </c:pt>
                <c:pt idx="5">
                  <c:v>0</c:v>
                </c:pt>
                <c:pt idx="6">
                  <c:v>1100462.4495554105</c:v>
                </c:pt>
                <c:pt idx="7">
                  <c:v>2239801.2000000002</c:v>
                </c:pt>
                <c:pt idx="8">
                  <c:v>2017302.855586088</c:v>
                </c:pt>
                <c:pt idx="9">
                  <c:v>418970.96571441251</c:v>
                </c:pt>
                <c:pt idx="10">
                  <c:v>1915629.1461956135</c:v>
                </c:pt>
                <c:pt idx="12">
                  <c:v>16969353.990350407</c:v>
                </c:pt>
                <c:pt idx="13">
                  <c:v>7692166.617051525</c:v>
                </c:pt>
                <c:pt idx="14">
                  <c:v>9277187.3732988816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Model!$N$13</c:f>
          <c:strCache>
            <c:ptCount val="1"/>
            <c:pt idx="0">
              <c:v>Varmemængder: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Model!$O$5</c:f>
              <c:strCache>
                <c:ptCount val="1"/>
                <c:pt idx="0">
                  <c:v>Uden RGK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Model!$N$6:$N$11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Model!$O$6:$O$11</c:f>
              <c:numCache>
                <c:formatCode>#,##0</c:formatCode>
                <c:ptCount val="6"/>
                <c:pt idx="0">
                  <c:v>7068</c:v>
                </c:pt>
                <c:pt idx="1">
                  <c:v>16740</c:v>
                </c:pt>
                <c:pt idx="2">
                  <c:v>0</c:v>
                </c:pt>
                <c:pt idx="3">
                  <c:v>0</c:v>
                </c:pt>
                <c:pt idx="4">
                  <c:v>23808</c:v>
                </c:pt>
                <c:pt idx="5">
                  <c:v>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Model!$P$5</c:f>
              <c:strCache>
                <c:ptCount val="1"/>
                <c:pt idx="0">
                  <c:v>Med 100% RGK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Model!$N$6:$N$11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Model!$P$6:$P$11</c:f>
              <c:numCache>
                <c:formatCode>#,##0</c:formatCode>
                <c:ptCount val="6"/>
                <c:pt idx="0">
                  <c:v>3850.78947368421</c:v>
                </c:pt>
                <c:pt idx="1">
                  <c:v>20264.21052631579</c:v>
                </c:pt>
                <c:pt idx="2">
                  <c:v>5142.2449555410485</c:v>
                </c:pt>
                <c:pt idx="3">
                  <c:v>0</c:v>
                </c:pt>
                <c:pt idx="4">
                  <c:v>24115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Model!$N$35</c:f>
          <c:strCache>
            <c:ptCount val="1"/>
            <c:pt idx="0">
              <c:v>RGK ift. Nominel: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Model!$L$57</c:f>
              <c:strCache>
                <c:ptCount val="1"/>
                <c:pt idx="0">
                  <c:v>RGK ift. nominel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Model!$H$58:$H$72</c:f>
              <c:strCache>
                <c:ptCount val="15"/>
                <c:pt idx="0">
                  <c:v>Varmesalg</c:v>
                </c:pt>
                <c:pt idx="1">
                  <c:v>Elsalg</c:v>
                </c:pt>
                <c:pt idx="2">
                  <c:v>RGK-rabat</c:v>
                </c:pt>
                <c:pt idx="3">
                  <c:v>Modtagebetaling affald</c:v>
                </c:pt>
                <c:pt idx="5">
                  <c:v>Betaling bioaffald</c:v>
                </c:pt>
                <c:pt idx="6">
                  <c:v>DV-omkostninger</c:v>
                </c:pt>
                <c:pt idx="7">
                  <c:v>Affaldvarme-afgift</c:v>
                </c:pt>
                <c:pt idx="8">
                  <c:v>Tillægsafgift</c:v>
                </c:pt>
                <c:pt idx="9">
                  <c:v>CO2-afgift</c:v>
                </c:pt>
                <c:pt idx="10">
                  <c:v>Kvote-omkostning</c:v>
                </c:pt>
                <c:pt idx="12">
                  <c:v>Indtægter total</c:v>
                </c:pt>
                <c:pt idx="13">
                  <c:v>Omkostninger total</c:v>
                </c:pt>
                <c:pt idx="14">
                  <c:v>Dækningsbidrag</c:v>
                </c:pt>
              </c:strCache>
            </c:strRef>
          </c:cat>
          <c:val>
            <c:numRef>
              <c:f>Model!$L$58:$L$72</c:f>
              <c:numCache>
                <c:formatCode>#,##0,</c:formatCode>
                <c:ptCount val="15"/>
                <c:pt idx="0">
                  <c:v>95477</c:v>
                </c:pt>
                <c:pt idx="1">
                  <c:v>-124401.0724486527</c:v>
                </c:pt>
                <c:pt idx="2">
                  <c:v>201730.28555860883</c:v>
                </c:pt>
                <c:pt idx="3">
                  <c:v>-835190.66441879608</c:v>
                </c:pt>
                <c:pt idx="5">
                  <c:v>0</c:v>
                </c:pt>
                <c:pt idx="6">
                  <c:v>51422.449555410538</c:v>
                </c:pt>
                <c:pt idx="7">
                  <c:v>28514.160000000149</c:v>
                </c:pt>
                <c:pt idx="8">
                  <c:v>-253980.34441391216</c:v>
                </c:pt>
                <c:pt idx="9">
                  <c:v>-52748.842285587452</c:v>
                </c:pt>
                <c:pt idx="10">
                  <c:v>-293835.98413614067</c:v>
                </c:pt>
                <c:pt idx="12">
                  <c:v>-662384.45130883902</c:v>
                </c:pt>
                <c:pt idx="13">
                  <c:v>-520628.56128023006</c:v>
                </c:pt>
                <c:pt idx="14">
                  <c:v>-141755.89002860896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525413</xdr:colOff>
      <xdr:row>13</xdr:row>
      <xdr:rowOff>151778</xdr:rowOff>
    </xdr:from>
    <xdr:to>
      <xdr:col>28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13</xdr:col>
      <xdr:colOff>12324</xdr:colOff>
      <xdr:row>56</xdr:row>
      <xdr:rowOff>38098</xdr:rowOff>
    </xdr:from>
    <xdr:to>
      <xdr:col>19</xdr:col>
      <xdr:colOff>585972</xdr:colOff>
      <xdr:row>75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14007</xdr:colOff>
      <xdr:row>13</xdr:row>
      <xdr:rowOff>19050</xdr:rowOff>
    </xdr:from>
    <xdr:to>
      <xdr:col>19</xdr:col>
      <xdr:colOff>587655</xdr:colOff>
      <xdr:row>31</xdr:row>
      <xdr:rowOff>190050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11206</xdr:colOff>
      <xdr:row>35</xdr:row>
      <xdr:rowOff>22412</xdr:rowOff>
    </xdr:from>
    <xdr:to>
      <xdr:col>19</xdr:col>
      <xdr:colOff>584854</xdr:colOff>
      <xdr:row>54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610-527A-4758-9182-C399B9E67627}">
  <dimension ref="A1:J11"/>
  <sheetViews>
    <sheetView workbookViewId="0">
      <selection activeCell="B6" sqref="B6"/>
    </sheetView>
  </sheetViews>
  <sheetFormatPr defaultRowHeight="15" x14ac:dyDescent="0.25"/>
  <cols>
    <col min="1" max="1" width="13.28515625" customWidth="1"/>
    <col min="2" max="10" width="30.7109375" customWidth="1"/>
  </cols>
  <sheetData>
    <row r="1" spans="1:10" x14ac:dyDescent="0.25">
      <c r="A1" s="5" t="s">
        <v>153</v>
      </c>
    </row>
    <row r="2" spans="1:10" x14ac:dyDescent="0.25">
      <c r="A2" s="5"/>
    </row>
    <row r="3" spans="1:10" x14ac:dyDescent="0.25">
      <c r="A3" s="5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</row>
    <row r="4" spans="1:10" x14ac:dyDescent="0.25">
      <c r="A4" s="5" t="s">
        <v>152</v>
      </c>
      <c r="B4" t="s">
        <v>138</v>
      </c>
    </row>
    <row r="5" spans="1:10" ht="45" x14ac:dyDescent="0.25">
      <c r="A5" s="32" t="s">
        <v>154</v>
      </c>
      <c r="B5" s="30" t="s">
        <v>155</v>
      </c>
    </row>
    <row r="6" spans="1:10" x14ac:dyDescent="0.25">
      <c r="A6" s="5" t="s">
        <v>156</v>
      </c>
      <c r="B6">
        <f>MAX($K$74)</f>
        <v>0</v>
      </c>
    </row>
    <row r="7" spans="1:10" x14ac:dyDescent="0.25">
      <c r="B7">
        <f>COUNT($C$7)</f>
        <v>0</v>
      </c>
    </row>
    <row r="8" spans="1:10" x14ac:dyDescent="0.25">
      <c r="B8" t="b">
        <f>RGKudnyttelse&lt;=1</f>
        <v>1</v>
      </c>
    </row>
    <row r="9" spans="1:10" x14ac:dyDescent="0.25">
      <c r="B9" t="b">
        <f>RGKudnyttelse&gt;=0</f>
        <v>1</v>
      </c>
    </row>
    <row r="10" spans="1:10" x14ac:dyDescent="0.25">
      <c r="B10">
        <f>{32767;32767;0.000001;0.01;FALSE;FALSE;TRUE;1;1;1;0.0001;TRUE}</f>
        <v>32767</v>
      </c>
    </row>
    <row r="11" spans="1:10" x14ac:dyDescent="0.25">
      <c r="B11">
        <f>{0;0;1;100;0;FALSE;TRUE;0.075;0;0;FALSE;30}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T7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9" sqref="L19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customWidth="1"/>
    <col min="8" max="8" width="30.7109375" bestFit="1" customWidth="1"/>
    <col min="9" max="9" width="11" style="7" customWidth="1"/>
    <col min="10" max="10" width="13.28515625" style="18" customWidth="1"/>
    <col min="11" max="11" width="14.42578125" style="18" bestFit="1" customWidth="1"/>
    <col min="12" max="12" width="18.28515625" customWidth="1"/>
    <col min="13" max="13" width="2.85546875" customWidth="1"/>
    <col min="14" max="14" width="29.7109375" style="7" customWidth="1"/>
    <col min="15" max="16" width="13" customWidth="1"/>
  </cols>
  <sheetData>
    <row r="2" spans="1:20" x14ac:dyDescent="0.25">
      <c r="A2" s="28" t="s">
        <v>0</v>
      </c>
      <c r="B2" s="28"/>
      <c r="C2" s="28"/>
      <c r="D2" s="28"/>
      <c r="E2" s="28"/>
      <c r="F2" s="28"/>
      <c r="H2" s="29" t="s">
        <v>50</v>
      </c>
      <c r="I2" s="29"/>
      <c r="J2" s="29"/>
      <c r="K2" s="29"/>
      <c r="L2" s="29"/>
      <c r="N2" s="29" t="s">
        <v>151</v>
      </c>
      <c r="O2" s="29"/>
      <c r="P2" s="29"/>
      <c r="Q2" s="29"/>
      <c r="R2" s="29"/>
      <c r="S2" s="29"/>
      <c r="T2" s="29"/>
    </row>
    <row r="4" spans="1:20" x14ac:dyDescent="0.25">
      <c r="A4" s="5" t="s">
        <v>139</v>
      </c>
      <c r="B4" s="11" t="s">
        <v>55</v>
      </c>
      <c r="C4" s="6"/>
      <c r="D4" s="6"/>
      <c r="E4" s="6"/>
      <c r="F4" s="9" t="s">
        <v>49</v>
      </c>
      <c r="I4" s="11" t="s">
        <v>55</v>
      </c>
      <c r="J4" s="21"/>
      <c r="K4" s="21"/>
      <c r="L4" s="5"/>
    </row>
    <row r="5" spans="1:20" x14ac:dyDescent="0.25">
      <c r="A5" s="7" t="s">
        <v>138</v>
      </c>
      <c r="B5" s="7" t="s">
        <v>140</v>
      </c>
      <c r="C5" s="23">
        <v>1</v>
      </c>
      <c r="F5" t="s">
        <v>141</v>
      </c>
      <c r="H5" s="5" t="s">
        <v>144</v>
      </c>
      <c r="I5" s="11"/>
      <c r="J5" s="21" t="s">
        <v>1</v>
      </c>
      <c r="K5" s="21" t="s">
        <v>2</v>
      </c>
      <c r="N5" s="11" t="s">
        <v>149</v>
      </c>
      <c r="O5" s="26" t="str">
        <f>J13</f>
        <v>Uden RGK</v>
      </c>
      <c r="P5" s="26" t="str">
        <f>K13</f>
        <v>Med 100% RGK</v>
      </c>
    </row>
    <row r="6" spans="1:20" x14ac:dyDescent="0.25">
      <c r="A6" s="7"/>
      <c r="H6" s="8" t="s">
        <v>57</v>
      </c>
      <c r="I6" s="11"/>
      <c r="J6" s="18">
        <f>24*C$9</f>
        <v>744</v>
      </c>
      <c r="K6" s="18">
        <f>24*D$9</f>
        <v>744</v>
      </c>
      <c r="N6" s="7" t="str">
        <f>H40</f>
        <v>Varmeproduktion Ovn2</v>
      </c>
      <c r="O6" s="18">
        <f>J40</f>
        <v>7068</v>
      </c>
      <c r="P6" s="18">
        <f>K40</f>
        <v>3850.78947368421</v>
      </c>
    </row>
    <row r="7" spans="1:20" x14ac:dyDescent="0.25">
      <c r="A7" s="7"/>
      <c r="H7" s="8" t="s">
        <v>58</v>
      </c>
      <c r="I7" s="7" t="s">
        <v>48</v>
      </c>
      <c r="J7" s="22">
        <f>J6*C10</f>
        <v>7068</v>
      </c>
      <c r="K7" s="22">
        <f>K6*D10</f>
        <v>16740</v>
      </c>
      <c r="L7" s="17"/>
      <c r="N7" s="7" t="str">
        <f>H41</f>
        <v>Varmeproduktion Ovn3</v>
      </c>
      <c r="O7" s="18">
        <f>J41</f>
        <v>16740</v>
      </c>
      <c r="P7" s="18">
        <f>K41</f>
        <v>20264.21052631579</v>
      </c>
    </row>
    <row r="8" spans="1:20" x14ac:dyDescent="0.25">
      <c r="A8" s="5" t="s">
        <v>15</v>
      </c>
      <c r="B8" s="11"/>
      <c r="C8" s="6" t="s">
        <v>1</v>
      </c>
      <c r="D8" s="6" t="s">
        <v>2</v>
      </c>
      <c r="E8" s="6" t="s">
        <v>8</v>
      </c>
      <c r="F8" s="6" t="s">
        <v>150</v>
      </c>
      <c r="H8" s="8" t="s">
        <v>71</v>
      </c>
      <c r="I8" s="20" t="s">
        <v>48</v>
      </c>
      <c r="J8" s="22">
        <f>EtaRgkOvn2/EtaQNomOvn2*J7</f>
        <v>1488</v>
      </c>
      <c r="K8" s="22">
        <f>EtaRgkOvn2/EtaQNomOvn2*K7</f>
        <v>3524.2105263157891</v>
      </c>
      <c r="N8" s="7" t="str">
        <f>H43</f>
        <v>Heraf RGK-varme</v>
      </c>
      <c r="O8" s="18">
        <f>J43</f>
        <v>0</v>
      </c>
      <c r="P8" s="18">
        <f>K43</f>
        <v>5142.2449555410485</v>
      </c>
    </row>
    <row r="9" spans="1:20" x14ac:dyDescent="0.25">
      <c r="A9" s="7" t="s">
        <v>13</v>
      </c>
      <c r="C9">
        <v>31</v>
      </c>
      <c r="D9">
        <v>31</v>
      </c>
      <c r="E9">
        <v>31</v>
      </c>
      <c r="H9" s="8" t="s">
        <v>72</v>
      </c>
      <c r="I9" s="20" t="s">
        <v>48</v>
      </c>
      <c r="J9" s="22">
        <f>SUM(J7:J8)</f>
        <v>8556</v>
      </c>
      <c r="K9" s="22">
        <f>SUM(K7:K8)</f>
        <v>20264.21052631579</v>
      </c>
      <c r="N9" s="7" t="str">
        <f>H34</f>
        <v>Bortkølet varme</v>
      </c>
      <c r="O9" s="18">
        <f>J34</f>
        <v>0</v>
      </c>
      <c r="P9" s="18">
        <f>K34</f>
        <v>0</v>
      </c>
    </row>
    <row r="10" spans="1:20" x14ac:dyDescent="0.25">
      <c r="A10" s="7" t="s">
        <v>3</v>
      </c>
      <c r="B10" s="7" t="s">
        <v>4</v>
      </c>
      <c r="C10">
        <v>9.5</v>
      </c>
      <c r="D10">
        <v>22.5</v>
      </c>
      <c r="E10">
        <v>15</v>
      </c>
      <c r="H10" s="8" t="s">
        <v>59</v>
      </c>
      <c r="I10" s="7" t="s">
        <v>60</v>
      </c>
      <c r="J10" s="18">
        <f>J7/EtaQNomOvn2</f>
        <v>8374.4075829383892</v>
      </c>
      <c r="K10" s="18">
        <f>K7/EtaQNomOvn3</f>
        <v>25518.292682926829</v>
      </c>
      <c r="N10" s="7" t="str">
        <f>H46</f>
        <v>Leveret varme</v>
      </c>
      <c r="O10" s="18">
        <f>J46</f>
        <v>23808</v>
      </c>
      <c r="P10" s="18">
        <f>K46</f>
        <v>24115</v>
      </c>
    </row>
    <row r="11" spans="1:20" x14ac:dyDescent="0.25">
      <c r="A11" s="7" t="s">
        <v>9</v>
      </c>
      <c r="B11" s="7" t="s">
        <v>4</v>
      </c>
      <c r="C11">
        <v>2</v>
      </c>
      <c r="D11">
        <v>5.5</v>
      </c>
      <c r="H11" s="8" t="s">
        <v>61</v>
      </c>
      <c r="I11" s="20" t="s">
        <v>18</v>
      </c>
      <c r="J11" s="22">
        <f>J10*3.6/Htotal</f>
        <v>2955.6732645664906</v>
      </c>
      <c r="K11" s="22">
        <f>K10/(Htotal/3.6)</f>
        <v>9006.456241033</v>
      </c>
      <c r="N11" s="7" t="str">
        <f>H47</f>
        <v>Spidslastvarme</v>
      </c>
      <c r="O11" s="18">
        <f>J47</f>
        <v>4307</v>
      </c>
      <c r="P11" s="18">
        <f>K47</f>
        <v>4000</v>
      </c>
    </row>
    <row r="12" spans="1:20" x14ac:dyDescent="0.25">
      <c r="A12" s="7" t="s">
        <v>5</v>
      </c>
      <c r="B12" s="7" t="s">
        <v>6</v>
      </c>
      <c r="D12">
        <v>8</v>
      </c>
      <c r="H12" s="7"/>
      <c r="J12" s="22"/>
      <c r="K12" s="22"/>
    </row>
    <row r="13" spans="1:20" x14ac:dyDescent="0.25">
      <c r="A13" s="7" t="s">
        <v>7</v>
      </c>
      <c r="B13" s="7" t="s">
        <v>14</v>
      </c>
      <c r="D13">
        <v>25</v>
      </c>
      <c r="H13" s="9" t="s">
        <v>145</v>
      </c>
      <c r="J13" s="21" t="s">
        <v>51</v>
      </c>
      <c r="K13" s="21" t="str">
        <f>"Med "&amp;TEXT(C5,"0%")&amp;" RGK"</f>
        <v>Med 100% RGK</v>
      </c>
      <c r="L13" s="5" t="s">
        <v>148</v>
      </c>
      <c r="N13" s="27" t="str">
        <f>"Varmemængder: "&amp;C22&amp;" ton affald, "&amp;D22&amp;" ton bioaffald"</f>
        <v>Varmemængder: 12000 ton affald, 0 ton bioaffald</v>
      </c>
      <c r="O13" s="13"/>
      <c r="P13" s="13"/>
      <c r="Q13" s="13"/>
      <c r="R13" s="13"/>
      <c r="S13" s="13"/>
      <c r="T13" s="13"/>
    </row>
    <row r="14" spans="1:20" x14ac:dyDescent="0.25">
      <c r="A14" s="7" t="s">
        <v>10</v>
      </c>
      <c r="C14" s="3">
        <v>0.84399999999999997</v>
      </c>
      <c r="D14" s="3">
        <v>0.65600000000000003</v>
      </c>
      <c r="H14" s="8" t="s">
        <v>63</v>
      </c>
      <c r="I14" s="7" t="s">
        <v>48</v>
      </c>
      <c r="J14" s="22">
        <f>MIN(Qdemand,K7,EtaQNomOvn3*Ftotal*Htotal/3.6)</f>
        <v>16740</v>
      </c>
      <c r="K14" s="22">
        <f>MIN(Qdemand,K9,EtaQmaxOvn3*Ftotal*Htotal/3.6)</f>
        <v>20264.21052631579</v>
      </c>
      <c r="L14" s="18">
        <f>K14-J14</f>
        <v>3524.21052631579</v>
      </c>
    </row>
    <row r="15" spans="1:20" x14ac:dyDescent="0.25">
      <c r="A15" s="7" t="s">
        <v>11</v>
      </c>
      <c r="C15" s="4">
        <f>$C$5*C11/C10*C14</f>
        <v>0.17768421052631578</v>
      </c>
      <c r="D15" s="4">
        <f>$C$5*D11/D10*D14</f>
        <v>0.16035555555555556</v>
      </c>
      <c r="H15" s="7" t="s">
        <v>66</v>
      </c>
      <c r="I15" s="7" t="s">
        <v>18</v>
      </c>
      <c r="J15" s="18">
        <f>$J$14/EtaQNomOvn3/(Htotal/3.6)</f>
        <v>9006.456241033</v>
      </c>
      <c r="K15" s="18">
        <f>$K$14/EtaQmaxOvn3/(Htotal/3.6)</f>
        <v>8760.9795201777761</v>
      </c>
      <c r="L15" s="18">
        <f t="shared" ref="L15:L55" si="0">K15-J15</f>
        <v>-245.4767208552239</v>
      </c>
    </row>
    <row r="16" spans="1:20" x14ac:dyDescent="0.25">
      <c r="A16" s="7" t="s">
        <v>75</v>
      </c>
      <c r="C16" s="4">
        <f>SUM(C14:C15)</f>
        <v>1.0216842105263158</v>
      </c>
      <c r="D16" s="4">
        <f>SUM(D14:D15)</f>
        <v>0.81635555555555561</v>
      </c>
      <c r="H16" s="7" t="s">
        <v>64</v>
      </c>
      <c r="I16" s="7" t="s">
        <v>48</v>
      </c>
      <c r="J16" s="22">
        <f>Qdemand-J14</f>
        <v>11375</v>
      </c>
      <c r="K16" s="22">
        <f>Qdemand-K14</f>
        <v>7850.78947368421</v>
      </c>
      <c r="L16" s="18">
        <f t="shared" si="0"/>
        <v>-3524.21052631579</v>
      </c>
    </row>
    <row r="17" spans="1:12" x14ac:dyDescent="0.25">
      <c r="A17" s="7" t="s">
        <v>12</v>
      </c>
      <c r="D17" s="1">
        <v>0.22470000000000001</v>
      </c>
      <c r="H17" s="7" t="s">
        <v>65</v>
      </c>
      <c r="I17" s="7" t="s">
        <v>18</v>
      </c>
      <c r="J17" s="22">
        <f>Ftotal-J15</f>
        <v>2993.543758967</v>
      </c>
      <c r="K17" s="22">
        <f>Ftotal-K15</f>
        <v>3239.0204798222239</v>
      </c>
      <c r="L17" s="18">
        <f t="shared" si="0"/>
        <v>245.4767208552239</v>
      </c>
    </row>
    <row r="18" spans="1:12" x14ac:dyDescent="0.25">
      <c r="A18" s="7" t="s">
        <v>23</v>
      </c>
      <c r="B18" s="7" t="s">
        <v>24</v>
      </c>
      <c r="C18">
        <v>30</v>
      </c>
      <c r="D18">
        <v>50</v>
      </c>
      <c r="E18">
        <v>10</v>
      </c>
      <c r="F18">
        <v>10</v>
      </c>
      <c r="H18" s="8" t="s">
        <v>69</v>
      </c>
      <c r="I18" s="7" t="s">
        <v>48</v>
      </c>
      <c r="J18" s="22">
        <f>MIN(J16,NSvarme)</f>
        <v>4000</v>
      </c>
      <c r="K18" s="22">
        <f>MIN(K16,NSvarme)</f>
        <v>4000</v>
      </c>
      <c r="L18" s="18">
        <f t="shared" si="0"/>
        <v>0</v>
      </c>
    </row>
    <row r="19" spans="1:12" x14ac:dyDescent="0.25">
      <c r="A19" s="7"/>
      <c r="H19" s="7" t="s">
        <v>64</v>
      </c>
      <c r="I19" s="7" t="s">
        <v>48</v>
      </c>
      <c r="J19" s="22">
        <f>J16-J18</f>
        <v>7375</v>
      </c>
      <c r="K19" s="22">
        <f>K16-K18</f>
        <v>3850.78947368421</v>
      </c>
      <c r="L19" s="18">
        <f t="shared" si="0"/>
        <v>-3524.21052631579</v>
      </c>
    </row>
    <row r="20" spans="1:12" x14ac:dyDescent="0.25">
      <c r="A20" s="9" t="s">
        <v>16</v>
      </c>
      <c r="C20" s="6" t="s">
        <v>17</v>
      </c>
      <c r="D20" s="6" t="s">
        <v>19</v>
      </c>
      <c r="E20" s="6" t="s">
        <v>25</v>
      </c>
      <c r="H20" s="8" t="s">
        <v>70</v>
      </c>
      <c r="I20" s="7" t="s">
        <v>48</v>
      </c>
      <c r="J20" s="22">
        <f>MIN($J$19,J7,EtaQNomOvn2*(J17*Htotal)/3.6)</f>
        <v>7068</v>
      </c>
      <c r="K20" s="22">
        <f>MIN($K$19,J9,EtaQmaxOvn2*(K17*Htotal)/3.6)</f>
        <v>3850.78947368421</v>
      </c>
      <c r="L20" s="18">
        <f t="shared" si="0"/>
        <v>-3217.21052631579</v>
      </c>
    </row>
    <row r="21" spans="1:12" x14ac:dyDescent="0.25">
      <c r="A21" s="7" t="s">
        <v>21</v>
      </c>
      <c r="B21" s="7" t="s">
        <v>22</v>
      </c>
      <c r="C21" s="10">
        <v>1</v>
      </c>
      <c r="D21" s="10">
        <v>1</v>
      </c>
      <c r="E21">
        <v>1</v>
      </c>
      <c r="H21" s="7" t="s">
        <v>66</v>
      </c>
      <c r="I21" s="7" t="s">
        <v>18</v>
      </c>
      <c r="J21" s="22">
        <f>$J$20/EtaQNomOvn2/(Htotal/3.6)</f>
        <v>2955.6732645664906</v>
      </c>
      <c r="K21" s="22">
        <f>$K$20/EtaQNomOvn2/(Htotal/3.6)</f>
        <v>1610.3106246240077</v>
      </c>
      <c r="L21" s="18">
        <f t="shared" si="0"/>
        <v>-1345.3626399424829</v>
      </c>
    </row>
    <row r="22" spans="1:12" x14ac:dyDescent="0.25">
      <c r="A22" s="7" t="s">
        <v>20</v>
      </c>
      <c r="B22" s="7" t="s">
        <v>18</v>
      </c>
      <c r="C22">
        <v>12000</v>
      </c>
      <c r="D22">
        <v>0</v>
      </c>
      <c r="E22">
        <v>4000</v>
      </c>
      <c r="H22" s="7" t="s">
        <v>64</v>
      </c>
      <c r="I22" s="7" t="s">
        <v>48</v>
      </c>
      <c r="J22" s="22">
        <f>J19-J20</f>
        <v>307</v>
      </c>
      <c r="K22" s="22">
        <f>K19-K20</f>
        <v>0</v>
      </c>
      <c r="L22" s="18">
        <f t="shared" si="0"/>
        <v>-307</v>
      </c>
    </row>
    <row r="23" spans="1:12" x14ac:dyDescent="0.25">
      <c r="A23" s="7" t="s">
        <v>62</v>
      </c>
      <c r="C23" s="2">
        <f>C22/SUM($C$22:$D$22)</f>
        <v>1</v>
      </c>
      <c r="D23" s="2">
        <f>D22/SUM($C$22:$D$22)</f>
        <v>0</v>
      </c>
      <c r="H23" s="7" t="s">
        <v>65</v>
      </c>
      <c r="I23" s="7" t="s">
        <v>18</v>
      </c>
      <c r="J23" s="22">
        <f>J17-J21</f>
        <v>37.870494400509415</v>
      </c>
      <c r="K23" s="22">
        <f>K17-K21</f>
        <v>1628.7098551982162</v>
      </c>
      <c r="L23" s="18">
        <f t="shared" si="0"/>
        <v>1590.8393607977068</v>
      </c>
    </row>
    <row r="24" spans="1:12" x14ac:dyDescent="0.25">
      <c r="A24" s="7" t="s">
        <v>45</v>
      </c>
      <c r="B24" s="7" t="s">
        <v>29</v>
      </c>
      <c r="C24">
        <v>525</v>
      </c>
      <c r="D24">
        <f>-6.5*3.6</f>
        <v>-23.400000000000002</v>
      </c>
      <c r="E24">
        <v>0</v>
      </c>
      <c r="H24" s="8" t="s">
        <v>73</v>
      </c>
      <c r="I24" s="7" t="s">
        <v>48</v>
      </c>
      <c r="J24" s="22">
        <f>J14+J20</f>
        <v>23808</v>
      </c>
      <c r="K24" s="22">
        <f>K14+K20</f>
        <v>24115</v>
      </c>
      <c r="L24" s="18">
        <f t="shared" si="0"/>
        <v>307</v>
      </c>
    </row>
    <row r="25" spans="1:12" x14ac:dyDescent="0.25">
      <c r="A25" s="7" t="s">
        <v>34</v>
      </c>
      <c r="B25" s="7" t="s">
        <v>35</v>
      </c>
      <c r="C25">
        <v>10.199999999999999</v>
      </c>
      <c r="D25">
        <v>14</v>
      </c>
      <c r="E25">
        <v>3.6</v>
      </c>
      <c r="H25" s="8" t="s">
        <v>74</v>
      </c>
      <c r="I25" s="7" t="s">
        <v>48</v>
      </c>
      <c r="J25" s="22">
        <f>J22</f>
        <v>307</v>
      </c>
      <c r="K25" s="22">
        <f>K22</f>
        <v>0</v>
      </c>
      <c r="L25" s="18">
        <f t="shared" si="0"/>
        <v>-307</v>
      </c>
    </row>
    <row r="26" spans="1:12" x14ac:dyDescent="0.25">
      <c r="A26" s="7" t="s">
        <v>42</v>
      </c>
      <c r="B26" s="7" t="s">
        <v>40</v>
      </c>
      <c r="C26">
        <v>37</v>
      </c>
      <c r="D26">
        <v>0</v>
      </c>
      <c r="E26">
        <v>0</v>
      </c>
      <c r="H26" s="7" t="s">
        <v>104</v>
      </c>
      <c r="I26" s="7" t="s">
        <v>48</v>
      </c>
      <c r="J26" s="18">
        <f>$J$7-$J$20</f>
        <v>0</v>
      </c>
      <c r="K26" s="18">
        <f>J26</f>
        <v>0</v>
      </c>
      <c r="L26" s="18">
        <f t="shared" si="0"/>
        <v>0</v>
      </c>
    </row>
    <row r="27" spans="1:12" x14ac:dyDescent="0.25">
      <c r="A27" s="7" t="s">
        <v>43</v>
      </c>
      <c r="B27" s="7" t="s">
        <v>40</v>
      </c>
      <c r="C27">
        <v>42.5</v>
      </c>
      <c r="D27">
        <v>0</v>
      </c>
      <c r="E27">
        <v>0</v>
      </c>
      <c r="H27" s="7" t="s">
        <v>105</v>
      </c>
      <c r="I27" s="7" t="s">
        <v>48</v>
      </c>
      <c r="J27" s="18">
        <f>$K$7-$J$14</f>
        <v>0</v>
      </c>
      <c r="K27" s="18">
        <f>J27</f>
        <v>0</v>
      </c>
      <c r="L27" s="18">
        <f t="shared" si="0"/>
        <v>0</v>
      </c>
    </row>
    <row r="28" spans="1:12" x14ac:dyDescent="0.25">
      <c r="A28" s="7" t="s">
        <v>146</v>
      </c>
      <c r="B28" s="7" t="s">
        <v>35</v>
      </c>
      <c r="C28">
        <v>10.6</v>
      </c>
      <c r="D28">
        <v>0</v>
      </c>
      <c r="E28">
        <v>0</v>
      </c>
      <c r="H28" s="7" t="s">
        <v>107</v>
      </c>
      <c r="I28" s="7" t="s">
        <v>48</v>
      </c>
      <c r="J28" s="18">
        <f>MIN(J27,EtaQNomOvn3*J23*Htotal/3.6,24*E9*KapQcool)</f>
        <v>0</v>
      </c>
      <c r="K28" s="18">
        <f>MIN(K27,EtaQNomOvn3*K23*Htotal/3.6,24*E9*KapQcool)</f>
        <v>0</v>
      </c>
      <c r="L28" s="18">
        <f t="shared" si="0"/>
        <v>0</v>
      </c>
    </row>
    <row r="29" spans="1:12" x14ac:dyDescent="0.25">
      <c r="A29" s="9" t="s">
        <v>26</v>
      </c>
      <c r="H29" s="7" t="s">
        <v>108</v>
      </c>
      <c r="I29" s="7" t="s">
        <v>18</v>
      </c>
      <c r="J29" s="18">
        <f>J28/EtaQNomOvn3/(Htotal/3.6)</f>
        <v>0</v>
      </c>
      <c r="K29" s="18">
        <f>K28/EtaQNomOvn3/(Htotal/3.6)</f>
        <v>0</v>
      </c>
      <c r="L29" s="18">
        <f t="shared" si="0"/>
        <v>0</v>
      </c>
    </row>
    <row r="30" spans="1:12" x14ac:dyDescent="0.25">
      <c r="A30" s="7" t="s">
        <v>33</v>
      </c>
      <c r="B30" s="7" t="s">
        <v>28</v>
      </c>
      <c r="C30">
        <v>311</v>
      </c>
      <c r="H30" s="7" t="s">
        <v>65</v>
      </c>
      <c r="I30" s="7" t="s">
        <v>18</v>
      </c>
      <c r="J30" s="18">
        <f>J23-J29</f>
        <v>37.870494400509415</v>
      </c>
      <c r="K30" s="18">
        <f>K23-K29</f>
        <v>1628.7098551982162</v>
      </c>
      <c r="L30" s="18">
        <f t="shared" si="0"/>
        <v>1590.8393607977068</v>
      </c>
    </row>
    <row r="31" spans="1:12" x14ac:dyDescent="0.25">
      <c r="A31" s="7" t="s">
        <v>30</v>
      </c>
      <c r="B31" s="7" t="s">
        <v>31</v>
      </c>
      <c r="C31">
        <v>800</v>
      </c>
      <c r="H31" s="7" t="s">
        <v>106</v>
      </c>
      <c r="I31" s="7" t="s">
        <v>48</v>
      </c>
      <c r="J31" s="18">
        <f>MIN(J26,EtaQNomOvn3*J30*Htotal/3.6,24*E9*KapQcool-J28)</f>
        <v>0</v>
      </c>
      <c r="K31" s="18">
        <f>MIN(K26,EtaQNomOvn3*K30*Htotal/3.6,24*E9*KapQcool-K28)</f>
        <v>0</v>
      </c>
      <c r="L31" s="18">
        <f t="shared" si="0"/>
        <v>0</v>
      </c>
    </row>
    <row r="32" spans="1:12" x14ac:dyDescent="0.25">
      <c r="A32" s="7" t="s">
        <v>46</v>
      </c>
      <c r="B32" s="7" t="s">
        <v>31</v>
      </c>
      <c r="C32">
        <v>4</v>
      </c>
      <c r="H32" s="7" t="s">
        <v>109</v>
      </c>
      <c r="I32" s="7" t="s">
        <v>18</v>
      </c>
      <c r="J32" s="18">
        <f>J31/EtaQNomOvn2/(Htotal/3.6)</f>
        <v>0</v>
      </c>
      <c r="K32" s="18">
        <f>K31/EtaQNomOvn2/(Htotal/3.6)</f>
        <v>0</v>
      </c>
      <c r="L32" s="18">
        <f t="shared" si="0"/>
        <v>0</v>
      </c>
    </row>
    <row r="33" spans="1:20" x14ac:dyDescent="0.25">
      <c r="A33" s="7" t="s">
        <v>32</v>
      </c>
      <c r="B33" s="7" t="s">
        <v>44</v>
      </c>
      <c r="C33">
        <v>410</v>
      </c>
      <c r="H33" s="7" t="s">
        <v>65</v>
      </c>
      <c r="I33" s="7" t="s">
        <v>18</v>
      </c>
      <c r="J33" s="18">
        <f>J30-J32</f>
        <v>37.870494400509415</v>
      </c>
      <c r="K33" s="18">
        <f>K30-K32</f>
        <v>1628.7098551982162</v>
      </c>
      <c r="L33" s="18">
        <f t="shared" si="0"/>
        <v>1590.8393607977068</v>
      </c>
    </row>
    <row r="34" spans="1:20" x14ac:dyDescent="0.25">
      <c r="A34" s="7" t="s">
        <v>36</v>
      </c>
      <c r="B34" s="7" t="s">
        <v>41</v>
      </c>
      <c r="C34">
        <v>25.8</v>
      </c>
      <c r="H34" s="7" t="s">
        <v>52</v>
      </c>
      <c r="I34" s="7" t="s">
        <v>48</v>
      </c>
      <c r="J34" s="18">
        <f>J28+J31</f>
        <v>0</v>
      </c>
      <c r="K34" s="18">
        <f>K28+K31</f>
        <v>0</v>
      </c>
      <c r="L34" s="18">
        <f t="shared" si="0"/>
        <v>0</v>
      </c>
    </row>
    <row r="35" spans="1:20" x14ac:dyDescent="0.25">
      <c r="A35" s="7" t="s">
        <v>37</v>
      </c>
      <c r="B35" s="7" t="s">
        <v>41</v>
      </c>
      <c r="C35">
        <v>31.8</v>
      </c>
      <c r="H35" s="7" t="s">
        <v>124</v>
      </c>
      <c r="I35" s="7" t="s">
        <v>18</v>
      </c>
      <c r="J35" s="18">
        <f>SUM($C$22:$D$22)-J36</f>
        <v>11962.129505599491</v>
      </c>
      <c r="K35" s="18">
        <f>SUM($C$22:$D$22)-K36</f>
        <v>10371.290144801784</v>
      </c>
      <c r="L35" s="18">
        <f t="shared" si="0"/>
        <v>-1590.8393607977068</v>
      </c>
      <c r="N35" s="27" t="str">
        <f>"RGK ift. Nominel: "&amp;C22&amp;" ton affald, "&amp;D22&amp;" ton bioaffald"</f>
        <v>RGK ift. Nominel: 12000 ton affald, 0 ton bioaffald</v>
      </c>
      <c r="O35" s="12"/>
      <c r="P35" s="12"/>
      <c r="Q35" s="12"/>
      <c r="R35" s="12"/>
      <c r="S35" s="12"/>
      <c r="T35" s="12"/>
    </row>
    <row r="36" spans="1:20" x14ac:dyDescent="0.25">
      <c r="A36" s="7" t="s">
        <v>38</v>
      </c>
      <c r="B36" s="7" t="s">
        <v>44</v>
      </c>
      <c r="C36">
        <v>178.5</v>
      </c>
      <c r="H36" s="7" t="s">
        <v>125</v>
      </c>
      <c r="I36" s="7" t="s">
        <v>18</v>
      </c>
      <c r="J36" s="22">
        <f>J23</f>
        <v>37.870494400509415</v>
      </c>
      <c r="K36" s="22">
        <f>K23</f>
        <v>1628.7098551982162</v>
      </c>
      <c r="L36" s="18">
        <f t="shared" si="0"/>
        <v>1590.8393607977068</v>
      </c>
    </row>
    <row r="37" spans="1:20" x14ac:dyDescent="0.25">
      <c r="H37" t="s">
        <v>53</v>
      </c>
      <c r="I37" s="7" t="s">
        <v>56</v>
      </c>
      <c r="J37" s="18">
        <f>EtaE*(J15+J29)*Htotal/3.6</f>
        <v>5733.9603658536589</v>
      </c>
      <c r="K37" s="18">
        <f>EtaE*(K15+K29)*Htotal/3.6</f>
        <v>5577.6776115211806</v>
      </c>
      <c r="L37" s="18">
        <f t="shared" si="0"/>
        <v>-156.28275433247836</v>
      </c>
    </row>
    <row r="38" spans="1:20" x14ac:dyDescent="0.25">
      <c r="A38" s="9" t="s">
        <v>39</v>
      </c>
      <c r="H38" t="s">
        <v>7</v>
      </c>
      <c r="I38" s="7" t="s">
        <v>56</v>
      </c>
      <c r="J38" s="18">
        <f>$D$9*$D$13</f>
        <v>775</v>
      </c>
      <c r="K38" s="18">
        <f>$D$9*$D$13</f>
        <v>775</v>
      </c>
      <c r="L38" s="18">
        <f t="shared" si="0"/>
        <v>0</v>
      </c>
    </row>
    <row r="39" spans="1:20" x14ac:dyDescent="0.25">
      <c r="A39" s="7" t="s">
        <v>47</v>
      </c>
      <c r="B39" s="7" t="s">
        <v>48</v>
      </c>
      <c r="C39">
        <v>28115</v>
      </c>
      <c r="H39" t="s">
        <v>54</v>
      </c>
      <c r="I39" s="7" t="s">
        <v>56</v>
      </c>
      <c r="J39" s="18">
        <f>J37-J38</f>
        <v>4958.9603658536589</v>
      </c>
      <c r="K39" s="18">
        <f>K37-K38</f>
        <v>4802.6776115211806</v>
      </c>
      <c r="L39" s="18">
        <f t="shared" si="0"/>
        <v>-156.28275433247836</v>
      </c>
    </row>
    <row r="40" spans="1:20" x14ac:dyDescent="0.25">
      <c r="A40" s="7" t="s">
        <v>68</v>
      </c>
      <c r="B40" s="7" t="s">
        <v>18</v>
      </c>
      <c r="C40" s="15">
        <f>SUM(C22:D22)</f>
        <v>12000</v>
      </c>
      <c r="H40" t="s">
        <v>120</v>
      </c>
      <c r="I40" s="7" t="s">
        <v>48</v>
      </c>
      <c r="J40" s="18">
        <f>J20+J31</f>
        <v>7068</v>
      </c>
      <c r="K40" s="18">
        <f>K20+K31</f>
        <v>3850.78947368421</v>
      </c>
      <c r="L40" s="18">
        <f t="shared" si="0"/>
        <v>-3217.21052631579</v>
      </c>
    </row>
    <row r="41" spans="1:20" x14ac:dyDescent="0.25">
      <c r="A41" s="7" t="s">
        <v>67</v>
      </c>
      <c r="B41" s="7" t="s">
        <v>35</v>
      </c>
      <c r="C41" s="16">
        <f>(C22*LHVaffald+D22*LHVbioaffald)/Ftotal</f>
        <v>10.199999999999999</v>
      </c>
      <c r="D41" s="14">
        <f>Htotal/3.6</f>
        <v>2.833333333333333</v>
      </c>
      <c r="H41" t="s">
        <v>121</v>
      </c>
      <c r="I41" s="7" t="s">
        <v>48</v>
      </c>
      <c r="J41" s="18">
        <f>J14+J28</f>
        <v>16740</v>
      </c>
      <c r="K41" s="18">
        <f>K14+K28</f>
        <v>20264.21052631579</v>
      </c>
      <c r="L41" s="18">
        <f t="shared" si="0"/>
        <v>3524.21052631579</v>
      </c>
    </row>
    <row r="42" spans="1:20" x14ac:dyDescent="0.25">
      <c r="A42" s="7"/>
      <c r="H42" t="s">
        <v>116</v>
      </c>
      <c r="I42" s="7" t="s">
        <v>48</v>
      </c>
      <c r="J42" s="18">
        <f>SUM(J40:J41)</f>
        <v>23808</v>
      </c>
      <c r="K42" s="18">
        <f>SUM(K40:K41)</f>
        <v>24115</v>
      </c>
      <c r="L42" s="18">
        <f t="shared" si="0"/>
        <v>307</v>
      </c>
    </row>
    <row r="43" spans="1:20" x14ac:dyDescent="0.25">
      <c r="H43" s="7" t="s">
        <v>122</v>
      </c>
      <c r="I43" s="7" t="s">
        <v>48</v>
      </c>
      <c r="J43" s="18">
        <v>0</v>
      </c>
      <c r="K43" s="18">
        <f>(EtaRgkOvn2*K15+EtaRgkOvn3*K21)*Htotal/3.6</f>
        <v>5142.2449555410485</v>
      </c>
      <c r="L43" s="18">
        <f t="shared" si="0"/>
        <v>5142.2449555410485</v>
      </c>
    </row>
    <row r="44" spans="1:20" x14ac:dyDescent="0.25">
      <c r="H44" s="7" t="s">
        <v>135</v>
      </c>
      <c r="J44" s="18">
        <v>0</v>
      </c>
      <c r="K44" s="2">
        <f>K43/K45</f>
        <v>0.17318225802397103</v>
      </c>
      <c r="L44" s="18">
        <f t="shared" si="0"/>
        <v>0.17318225802397103</v>
      </c>
    </row>
    <row r="45" spans="1:20" x14ac:dyDescent="0.25">
      <c r="H45" t="s">
        <v>114</v>
      </c>
      <c r="I45" s="7" t="s">
        <v>115</v>
      </c>
      <c r="J45" s="18">
        <f>J42+J37</f>
        <v>29541.960365853658</v>
      </c>
      <c r="K45" s="18">
        <f>K42+K37</f>
        <v>29692.67761152118</v>
      </c>
      <c r="L45" s="18">
        <f t="shared" si="0"/>
        <v>150.71724566752164</v>
      </c>
    </row>
    <row r="46" spans="1:20" x14ac:dyDescent="0.25">
      <c r="H46" t="s">
        <v>117</v>
      </c>
      <c r="I46" s="7" t="s">
        <v>48</v>
      </c>
      <c r="J46" s="18">
        <f>J42-J34</f>
        <v>23808</v>
      </c>
      <c r="K46" s="18">
        <f>K42-K34</f>
        <v>24115</v>
      </c>
      <c r="L46" s="18">
        <f t="shared" si="0"/>
        <v>307</v>
      </c>
    </row>
    <row r="47" spans="1:20" x14ac:dyDescent="0.25">
      <c r="H47" t="s">
        <v>142</v>
      </c>
      <c r="I47" s="7" t="s">
        <v>48</v>
      </c>
      <c r="J47" s="18">
        <f>Qdemand-J46</f>
        <v>4307</v>
      </c>
      <c r="K47" s="18">
        <f>Qdemand-K46</f>
        <v>4000</v>
      </c>
      <c r="L47" s="18">
        <f t="shared" si="0"/>
        <v>-307</v>
      </c>
    </row>
    <row r="48" spans="1:20" x14ac:dyDescent="0.25">
      <c r="H48" s="5" t="s">
        <v>129</v>
      </c>
      <c r="L48" s="18"/>
    </row>
    <row r="49" spans="8:20" x14ac:dyDescent="0.25">
      <c r="H49" t="s">
        <v>131</v>
      </c>
      <c r="I49" s="7" t="s">
        <v>60</v>
      </c>
      <c r="J49" s="18">
        <f>J$35*$C$23*LHVaffald/3.6</f>
        <v>33892.70026586522</v>
      </c>
      <c r="K49" s="18">
        <f>K$35*$C$23*LHVaffald/3.6</f>
        <v>29385.322076938384</v>
      </c>
      <c r="L49" s="18">
        <f t="shared" si="0"/>
        <v>-4507.3781889268357</v>
      </c>
    </row>
    <row r="50" spans="8:20" x14ac:dyDescent="0.25">
      <c r="H50" t="s">
        <v>132</v>
      </c>
      <c r="I50" s="7" t="s">
        <v>60</v>
      </c>
      <c r="J50" s="18">
        <f>J$35*AndelBioaffald*LHVbioaffald/3.6</f>
        <v>0</v>
      </c>
      <c r="K50" s="18">
        <f>K$35*AndelBioaffald*LHVbioaffald/3.6</f>
        <v>0</v>
      </c>
      <c r="L50" s="18">
        <f t="shared" si="0"/>
        <v>0</v>
      </c>
    </row>
    <row r="51" spans="8:20" x14ac:dyDescent="0.25">
      <c r="H51" t="s">
        <v>130</v>
      </c>
      <c r="I51" s="7" t="s">
        <v>115</v>
      </c>
      <c r="J51" s="18">
        <f>J45/0.85 - J50</f>
        <v>34755.247489239599</v>
      </c>
      <c r="K51" s="18">
        <f>K45/0.95 - K50</f>
        <v>31255.450117390716</v>
      </c>
      <c r="L51" s="18">
        <f t="shared" si="0"/>
        <v>-3499.7973718488829</v>
      </c>
    </row>
    <row r="52" spans="8:20" x14ac:dyDescent="0.25">
      <c r="H52" t="s">
        <v>136</v>
      </c>
      <c r="I52" s="7" t="s">
        <v>48</v>
      </c>
      <c r="J52" s="18">
        <f>J42*J51/(J51+J50)</f>
        <v>23808</v>
      </c>
      <c r="K52" s="18">
        <f>K42*K51/(K51+K50)</f>
        <v>24115</v>
      </c>
      <c r="L52" s="18">
        <f t="shared" si="0"/>
        <v>307</v>
      </c>
    </row>
    <row r="53" spans="8:20" x14ac:dyDescent="0.25">
      <c r="H53" t="s">
        <v>133</v>
      </c>
      <c r="I53" s="7" t="s">
        <v>56</v>
      </c>
      <c r="J53" s="18">
        <f>J37*J51/(J51+J50)</f>
        <v>5733.9603658536589</v>
      </c>
      <c r="K53" s="18">
        <f>K37*K51/(K51+K50)</f>
        <v>5577.6776115211806</v>
      </c>
      <c r="L53" s="18">
        <f t="shared" si="0"/>
        <v>-156.28275433247836</v>
      </c>
    </row>
    <row r="54" spans="8:20" x14ac:dyDescent="0.25">
      <c r="H54" t="s">
        <v>134</v>
      </c>
      <c r="I54" s="7" t="s">
        <v>48</v>
      </c>
      <c r="J54" s="18">
        <f>J52/1.2</f>
        <v>19840</v>
      </c>
      <c r="K54" s="18">
        <f>(K52-0.1*(K52+K53))/1.2</f>
        <v>17621.443532373236</v>
      </c>
      <c r="L54" s="18">
        <f t="shared" si="0"/>
        <v>-2218.5564676267641</v>
      </c>
    </row>
    <row r="55" spans="8:20" x14ac:dyDescent="0.25">
      <c r="H55" t="s">
        <v>137</v>
      </c>
      <c r="I55" s="7" t="s">
        <v>48</v>
      </c>
      <c r="J55" s="18">
        <f>J54</f>
        <v>19840</v>
      </c>
      <c r="K55" s="18">
        <f>K54</f>
        <v>17621.443532373236</v>
      </c>
      <c r="L55" s="18">
        <f t="shared" si="0"/>
        <v>-2218.5564676267641</v>
      </c>
    </row>
    <row r="56" spans="8:20" x14ac:dyDescent="0.25">
      <c r="N56" s="27" t="str">
        <f>"Økonomiske nøgletal: "&amp;C22&amp;" ton affald, "&amp;D22&amp;" ton bioaffald"</f>
        <v>Økonomiske nøgletal: 12000 ton affald, 0 ton bioaffald</v>
      </c>
      <c r="O56" s="12"/>
      <c r="P56" s="12"/>
      <c r="Q56" s="12"/>
      <c r="R56" s="12"/>
      <c r="S56" s="12"/>
      <c r="T56" s="12"/>
    </row>
    <row r="57" spans="8:20" x14ac:dyDescent="0.25">
      <c r="H57" s="5" t="s">
        <v>110</v>
      </c>
      <c r="I57" s="11"/>
      <c r="J57" s="21" t="str">
        <f>J13</f>
        <v>Uden RGK</v>
      </c>
      <c r="K57" s="21" t="str">
        <f>K13</f>
        <v>Med 100% RGK</v>
      </c>
      <c r="L57" s="5" t="s">
        <v>148</v>
      </c>
    </row>
    <row r="58" spans="8:20" x14ac:dyDescent="0.25">
      <c r="H58" s="20" t="s">
        <v>27</v>
      </c>
      <c r="I58" s="20" t="s">
        <v>147</v>
      </c>
      <c r="J58" s="24">
        <f>Varmesalgspris*J46</f>
        <v>7404288</v>
      </c>
      <c r="K58" s="24">
        <f>Varmesalgspris*K46</f>
        <v>7499765</v>
      </c>
      <c r="L58" s="25">
        <f>K58-J58</f>
        <v>95477</v>
      </c>
    </row>
    <row r="59" spans="8:20" x14ac:dyDescent="0.25">
      <c r="H59" s="20" t="s">
        <v>112</v>
      </c>
      <c r="I59" s="20" t="s">
        <v>147</v>
      </c>
      <c r="J59" s="24">
        <f>(Elpris-ElprodTarif)*J39</f>
        <v>3947332.4512195126</v>
      </c>
      <c r="K59" s="24">
        <f>(Elpris-ElprodTarif)*K39</f>
        <v>3822931.3787708599</v>
      </c>
      <c r="L59" s="25">
        <f t="shared" ref="L59:L72" si="1">K59-J59</f>
        <v>-124401.0724486527</v>
      </c>
    </row>
    <row r="60" spans="8:20" x14ac:dyDescent="0.25">
      <c r="H60" s="20" t="s">
        <v>113</v>
      </c>
      <c r="I60" s="20" t="s">
        <v>147</v>
      </c>
      <c r="J60" s="24">
        <v>0</v>
      </c>
      <c r="K60" s="24">
        <f>IF(K43&lt;7%*K45,0,10%)*K66</f>
        <v>201730.28555860883</v>
      </c>
      <c r="L60" s="25">
        <f t="shared" si="1"/>
        <v>201730.28555860883</v>
      </c>
    </row>
    <row r="61" spans="8:20" x14ac:dyDescent="0.25">
      <c r="H61" s="20" t="s">
        <v>111</v>
      </c>
      <c r="I61" s="20" t="s">
        <v>147</v>
      </c>
      <c r="J61" s="24">
        <f>$C$24*($C$22-J36*$C$23)</f>
        <v>6280117.9904397326</v>
      </c>
      <c r="K61" s="24">
        <f>$C$24*($C$22-K36*$C$23)</f>
        <v>5444927.3260209365</v>
      </c>
      <c r="L61" s="25">
        <f t="shared" si="1"/>
        <v>-835190.66441879608</v>
      </c>
    </row>
    <row r="62" spans="8:20" x14ac:dyDescent="0.25">
      <c r="I62" s="20"/>
      <c r="J62" s="25"/>
      <c r="K62" s="25"/>
      <c r="L62" s="25"/>
    </row>
    <row r="63" spans="8:20" x14ac:dyDescent="0.25">
      <c r="H63" s="20" t="s">
        <v>118</v>
      </c>
      <c r="I63" s="20" t="s">
        <v>147</v>
      </c>
      <c r="J63" s="25">
        <f>$D$24*($D$22-J36*AndelBioaffald)</f>
        <v>0</v>
      </c>
      <c r="K63" s="25">
        <f>$D$24*($D$22-K36*AndelBioaffald)</f>
        <v>0</v>
      </c>
      <c r="L63" s="25">
        <f t="shared" si="1"/>
        <v>0</v>
      </c>
    </row>
    <row r="64" spans="8:20" x14ac:dyDescent="0.25">
      <c r="H64" s="20" t="s">
        <v>119</v>
      </c>
      <c r="I64" s="20" t="s">
        <v>147</v>
      </c>
      <c r="J64" s="24">
        <f>$C$18*J40+$D$18*J41+$E$18*J34</f>
        <v>1049040</v>
      </c>
      <c r="K64" s="24">
        <f>J64+$F$18*$K$43</f>
        <v>1100462.4495554105</v>
      </c>
      <c r="L64" s="25">
        <f t="shared" si="1"/>
        <v>51422.449555410538</v>
      </c>
    </row>
    <row r="65" spans="8:12" x14ac:dyDescent="0.25">
      <c r="H65" s="20" t="s">
        <v>36</v>
      </c>
      <c r="I65" s="20" t="s">
        <v>147</v>
      </c>
      <c r="J65" s="24">
        <f>AFV*3.6*J46</f>
        <v>2211287.04</v>
      </c>
      <c r="K65" s="24">
        <f>AFV*3.6*K46</f>
        <v>2239801.2000000002</v>
      </c>
      <c r="L65" s="25">
        <f t="shared" si="1"/>
        <v>28514.160000000149</v>
      </c>
    </row>
    <row r="66" spans="8:12" x14ac:dyDescent="0.25">
      <c r="H66" s="20" t="s">
        <v>37</v>
      </c>
      <c r="I66" s="20" t="s">
        <v>147</v>
      </c>
      <c r="J66" s="25">
        <f>ATL*3.6*J54</f>
        <v>2271283.2000000002</v>
      </c>
      <c r="K66" s="25">
        <f>ATL*3.6*K54</f>
        <v>2017302.855586088</v>
      </c>
      <c r="L66" s="25">
        <f t="shared" si="1"/>
        <v>-253980.34441391216</v>
      </c>
    </row>
    <row r="67" spans="8:12" x14ac:dyDescent="0.25">
      <c r="H67" s="20" t="s">
        <v>38</v>
      </c>
      <c r="I67" s="20" t="s">
        <v>147</v>
      </c>
      <c r="J67" s="25">
        <f>CO2afgift*$C$26 /1000 *3.6*J54</f>
        <v>471719.80799999996</v>
      </c>
      <c r="K67" s="25">
        <f>CO2afgift*$C$26 /1000 *3.6*K54</f>
        <v>418970.96571441251</v>
      </c>
      <c r="L67" s="25">
        <f t="shared" si="1"/>
        <v>-52748.842285587452</v>
      </c>
    </row>
    <row r="68" spans="8:12" x14ac:dyDescent="0.25">
      <c r="H68" s="20" t="s">
        <v>123</v>
      </c>
      <c r="I68" s="20" t="s">
        <v>147</v>
      </c>
      <c r="J68" s="25">
        <f>Kvotepris*$C$27/1000*C28*J35</f>
        <v>2209465.1303317542</v>
      </c>
      <c r="K68" s="25">
        <f>Kvotepris*$C$27/1000*10.6*K35</f>
        <v>1915629.1461956135</v>
      </c>
      <c r="L68" s="25">
        <f t="shared" si="1"/>
        <v>-293835.98413614067</v>
      </c>
    </row>
    <row r="69" spans="8:12" x14ac:dyDescent="0.25">
      <c r="I69" s="20"/>
      <c r="J69" s="25"/>
      <c r="K69" s="25"/>
      <c r="L69" s="25"/>
    </row>
    <row r="70" spans="8:12" x14ac:dyDescent="0.25">
      <c r="H70" s="20" t="s">
        <v>126</v>
      </c>
      <c r="I70" s="20" t="s">
        <v>147</v>
      </c>
      <c r="J70" s="25">
        <f>SUM(J58:J61)</f>
        <v>17631738.441659246</v>
      </c>
      <c r="K70" s="25">
        <f>SUM(K58:K61)</f>
        <v>16969353.990350407</v>
      </c>
      <c r="L70" s="25">
        <f t="shared" si="1"/>
        <v>-662384.45130883902</v>
      </c>
    </row>
    <row r="71" spans="8:12" x14ac:dyDescent="0.25">
      <c r="H71" s="20" t="s">
        <v>127</v>
      </c>
      <c r="I71" s="20" t="s">
        <v>147</v>
      </c>
      <c r="J71" s="25">
        <f>SUM(J63:J68)</f>
        <v>8212795.1783317551</v>
      </c>
      <c r="K71" s="25">
        <f>SUM(K63:K68)</f>
        <v>7692166.617051525</v>
      </c>
      <c r="L71" s="25">
        <f t="shared" si="1"/>
        <v>-520628.56128023006</v>
      </c>
    </row>
    <row r="72" spans="8:12" x14ac:dyDescent="0.25">
      <c r="H72" s="20" t="s">
        <v>128</v>
      </c>
      <c r="I72" s="20" t="s">
        <v>147</v>
      </c>
      <c r="J72" s="25">
        <f>J70-J71</f>
        <v>9418943.2633274905</v>
      </c>
      <c r="K72" s="25">
        <f>K70-K71</f>
        <v>9277187.3732988816</v>
      </c>
      <c r="L72" s="25">
        <f t="shared" si="1"/>
        <v>-141755.89002860896</v>
      </c>
    </row>
  </sheetData>
  <mergeCells count="3">
    <mergeCell ref="A2:F2"/>
    <mergeCell ref="H2:L2"/>
    <mergeCell ref="N2:T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98</v>
      </c>
      <c r="F2" t="s">
        <v>143</v>
      </c>
      <c r="M2" t="s">
        <v>60</v>
      </c>
      <c r="N2" t="s">
        <v>60</v>
      </c>
    </row>
    <row r="3" spans="3:14" x14ac:dyDescent="0.25">
      <c r="D3" t="s">
        <v>76</v>
      </c>
      <c r="G3" t="s">
        <v>1</v>
      </c>
      <c r="H3" t="s">
        <v>2</v>
      </c>
      <c r="K3" t="s">
        <v>99</v>
      </c>
      <c r="M3" t="s">
        <v>1</v>
      </c>
      <c r="N3" t="s">
        <v>2</v>
      </c>
    </row>
    <row r="4" spans="3:14" x14ac:dyDescent="0.25">
      <c r="C4" t="s">
        <v>77</v>
      </c>
      <c r="D4" s="18">
        <v>11400.2114002</v>
      </c>
      <c r="F4" t="s">
        <v>77</v>
      </c>
      <c r="G4" s="18">
        <v>1382.27949725194</v>
      </c>
      <c r="H4" s="18">
        <v>2526.36441138806</v>
      </c>
      <c r="J4" t="s">
        <v>77</v>
      </c>
      <c r="K4" s="19">
        <v>10.5</v>
      </c>
      <c r="M4" s="18">
        <f>G4*$K4/3.6</f>
        <v>4031.6485336514916</v>
      </c>
      <c r="N4" s="18">
        <f>H4*$K4/3.6</f>
        <v>7368.5628665485083</v>
      </c>
    </row>
    <row r="5" spans="3:14" x14ac:dyDescent="0.25">
      <c r="C5" t="s">
        <v>78</v>
      </c>
      <c r="D5" s="18">
        <v>0</v>
      </c>
      <c r="F5" t="s">
        <v>78</v>
      </c>
      <c r="G5" s="18">
        <v>0</v>
      </c>
      <c r="H5" s="18">
        <v>0</v>
      </c>
      <c r="J5" t="s">
        <v>78</v>
      </c>
      <c r="K5" s="19">
        <v>10.5</v>
      </c>
      <c r="M5" s="18">
        <f t="shared" ref="M5:M24" si="0">G5*$K5/3.6</f>
        <v>0</v>
      </c>
      <c r="N5" s="18">
        <f t="shared" ref="N5:N24" si="1">H5*$K5/3.6</f>
        <v>0</v>
      </c>
    </row>
    <row r="6" spans="3:14" x14ac:dyDescent="0.25">
      <c r="C6" t="s">
        <v>79</v>
      </c>
      <c r="D6" s="18">
        <v>0</v>
      </c>
      <c r="F6" t="s">
        <v>79</v>
      </c>
      <c r="G6" s="18">
        <v>0</v>
      </c>
      <c r="H6" s="18">
        <v>0</v>
      </c>
      <c r="J6" t="s">
        <v>79</v>
      </c>
      <c r="K6" s="19">
        <v>10.5</v>
      </c>
      <c r="M6" s="18">
        <f t="shared" si="0"/>
        <v>0</v>
      </c>
      <c r="N6" s="18">
        <f t="shared" si="1"/>
        <v>0</v>
      </c>
    </row>
    <row r="7" spans="3:14" x14ac:dyDescent="0.25">
      <c r="C7" t="s">
        <v>80</v>
      </c>
      <c r="D7" s="18">
        <v>6154.3428210033298</v>
      </c>
      <c r="F7" t="s">
        <v>80</v>
      </c>
      <c r="G7" s="18">
        <v>0</v>
      </c>
      <c r="H7" s="18">
        <v>2356.9823569800001</v>
      </c>
      <c r="J7" t="s">
        <v>80</v>
      </c>
      <c r="K7" s="19">
        <v>9.4</v>
      </c>
      <c r="M7" s="18">
        <f t="shared" si="0"/>
        <v>0</v>
      </c>
      <c r="N7" s="18">
        <f t="shared" si="1"/>
        <v>6154.3428210033335</v>
      </c>
    </row>
    <row r="8" spans="3:14" x14ac:dyDescent="0.25">
      <c r="C8" t="s">
        <v>81</v>
      </c>
      <c r="D8" s="18">
        <v>1276.2179428833299</v>
      </c>
      <c r="F8" t="s">
        <v>81</v>
      </c>
      <c r="G8" s="18">
        <v>437.56043756000003</v>
      </c>
      <c r="H8" s="18">
        <v>0</v>
      </c>
      <c r="J8" t="s">
        <v>81</v>
      </c>
      <c r="K8" s="19">
        <v>10.5</v>
      </c>
      <c r="M8" s="18">
        <f t="shared" si="0"/>
        <v>1276.2179428833335</v>
      </c>
      <c r="N8" s="18">
        <f t="shared" si="1"/>
        <v>0</v>
      </c>
    </row>
    <row r="9" spans="3:14" x14ac:dyDescent="0.25">
      <c r="C9" t="s">
        <v>82</v>
      </c>
      <c r="D9" s="18">
        <v>0</v>
      </c>
      <c r="F9" t="s">
        <v>82</v>
      </c>
      <c r="G9" s="18">
        <v>0</v>
      </c>
      <c r="H9" s="18">
        <v>0</v>
      </c>
      <c r="J9" t="s">
        <v>82</v>
      </c>
      <c r="K9" s="19">
        <v>14.5</v>
      </c>
      <c r="M9" s="18">
        <f t="shared" si="0"/>
        <v>0</v>
      </c>
      <c r="N9" s="18">
        <f t="shared" si="1"/>
        <v>0</v>
      </c>
    </row>
    <row r="10" spans="3:14" x14ac:dyDescent="0.25">
      <c r="C10" t="s">
        <v>83</v>
      </c>
      <c r="D10" s="18">
        <v>972.20097220000002</v>
      </c>
      <c r="F10" t="s">
        <v>83</v>
      </c>
      <c r="G10" s="18">
        <v>291.66029165999998</v>
      </c>
      <c r="H10" s="18">
        <v>0</v>
      </c>
      <c r="J10" t="s">
        <v>83</v>
      </c>
      <c r="K10" s="19">
        <v>12</v>
      </c>
      <c r="M10" s="18">
        <f t="shared" si="0"/>
        <v>972.20097219999991</v>
      </c>
      <c r="N10" s="18">
        <f t="shared" si="1"/>
        <v>0</v>
      </c>
    </row>
    <row r="11" spans="3:14" x14ac:dyDescent="0.25">
      <c r="C11" t="s">
        <v>84</v>
      </c>
      <c r="D11" s="18">
        <v>15.375015375</v>
      </c>
      <c r="F11" t="s">
        <v>84</v>
      </c>
      <c r="G11" s="18">
        <v>6.1500061500000003</v>
      </c>
      <c r="H11" s="18">
        <v>0</v>
      </c>
      <c r="J11" t="s">
        <v>84</v>
      </c>
      <c r="K11" s="19">
        <v>9</v>
      </c>
      <c r="M11" s="18">
        <f t="shared" si="0"/>
        <v>15.375015375</v>
      </c>
      <c r="N11" s="18">
        <f t="shared" si="1"/>
        <v>0</v>
      </c>
    </row>
    <row r="12" spans="3:14" x14ac:dyDescent="0.25">
      <c r="C12" t="s">
        <v>85</v>
      </c>
      <c r="D12" s="18">
        <v>785.27856305555599</v>
      </c>
      <c r="F12" t="s">
        <v>85</v>
      </c>
      <c r="G12" s="18">
        <v>257.00025699999998</v>
      </c>
      <c r="H12" s="18">
        <v>0</v>
      </c>
      <c r="J12" t="s">
        <v>85</v>
      </c>
      <c r="K12" s="19">
        <v>11</v>
      </c>
      <c r="M12" s="18">
        <f t="shared" si="0"/>
        <v>785.27856305555542</v>
      </c>
      <c r="N12" s="18">
        <f t="shared" si="1"/>
        <v>0</v>
      </c>
    </row>
    <row r="13" spans="3:14" x14ac:dyDescent="0.25">
      <c r="C13" t="s">
        <v>86</v>
      </c>
      <c r="D13" s="18">
        <v>60.1667268333333</v>
      </c>
      <c r="F13" t="s">
        <v>86</v>
      </c>
      <c r="G13" s="18">
        <v>22.800022800000001</v>
      </c>
      <c r="H13" s="18">
        <v>0</v>
      </c>
      <c r="J13" t="s">
        <v>86</v>
      </c>
      <c r="K13" s="19">
        <v>9.5</v>
      </c>
      <c r="M13" s="18">
        <f t="shared" si="0"/>
        <v>60.166726833333335</v>
      </c>
      <c r="N13" s="18">
        <f t="shared" si="1"/>
        <v>0</v>
      </c>
    </row>
    <row r="14" spans="3:14" x14ac:dyDescent="0.25">
      <c r="C14" t="s">
        <v>87</v>
      </c>
      <c r="D14" s="18">
        <v>2540.00254</v>
      </c>
      <c r="F14" t="s">
        <v>87</v>
      </c>
      <c r="G14" s="18">
        <v>0</v>
      </c>
      <c r="H14" s="18">
        <v>1016.001016</v>
      </c>
      <c r="J14" t="s">
        <v>87</v>
      </c>
      <c r="K14" s="19">
        <v>9</v>
      </c>
      <c r="M14" s="18">
        <f t="shared" si="0"/>
        <v>0</v>
      </c>
      <c r="N14" s="18">
        <f t="shared" si="1"/>
        <v>2540.00254</v>
      </c>
    </row>
    <row r="15" spans="3:14" x14ac:dyDescent="0.25">
      <c r="C15" t="s">
        <v>88</v>
      </c>
      <c r="D15" s="18">
        <v>45.100045100000003</v>
      </c>
      <c r="F15" t="s">
        <v>88</v>
      </c>
      <c r="G15" s="18">
        <v>0</v>
      </c>
      <c r="H15" s="18">
        <v>13.53001353</v>
      </c>
      <c r="J15" t="s">
        <v>88</v>
      </c>
      <c r="K15" s="19">
        <v>12</v>
      </c>
      <c r="M15" s="18">
        <f t="shared" si="0"/>
        <v>0</v>
      </c>
      <c r="N15" s="18">
        <f t="shared" si="1"/>
        <v>45.100045100000003</v>
      </c>
    </row>
    <row r="16" spans="3:14" x14ac:dyDescent="0.25">
      <c r="C16" t="s">
        <v>89</v>
      </c>
      <c r="D16" s="18">
        <v>18.861129972222201</v>
      </c>
      <c r="F16" t="s">
        <v>89</v>
      </c>
      <c r="G16" s="18">
        <v>6.7900067899999996</v>
      </c>
      <c r="H16" s="18">
        <v>0</v>
      </c>
      <c r="J16" t="s">
        <v>89</v>
      </c>
      <c r="K16" s="19">
        <v>10</v>
      </c>
      <c r="M16" s="18">
        <f t="shared" si="0"/>
        <v>18.861129972222219</v>
      </c>
      <c r="N16" s="18">
        <f t="shared" si="1"/>
        <v>0</v>
      </c>
    </row>
    <row r="17" spans="3:16" x14ac:dyDescent="0.25">
      <c r="C17" t="s">
        <v>90</v>
      </c>
      <c r="D17" s="18">
        <v>0</v>
      </c>
      <c r="F17" t="s">
        <v>90</v>
      </c>
      <c r="G17" s="18">
        <v>0</v>
      </c>
      <c r="H17" s="18">
        <v>0</v>
      </c>
      <c r="J17" t="s">
        <v>90</v>
      </c>
      <c r="K17" s="19">
        <v>11</v>
      </c>
      <c r="M17" s="18">
        <f t="shared" si="0"/>
        <v>0</v>
      </c>
      <c r="N17" s="18">
        <f t="shared" si="1"/>
        <v>0</v>
      </c>
    </row>
    <row r="18" spans="3:16" x14ac:dyDescent="0.25">
      <c r="C18" t="s">
        <v>91</v>
      </c>
      <c r="D18" s="18">
        <v>9410.2844102750005</v>
      </c>
      <c r="F18" t="s">
        <v>91</v>
      </c>
      <c r="G18" s="18">
        <v>0</v>
      </c>
      <c r="H18" s="18">
        <v>3226.38322638</v>
      </c>
      <c r="J18" t="s">
        <v>91</v>
      </c>
      <c r="K18" s="19">
        <v>10.5</v>
      </c>
      <c r="M18" s="18">
        <f t="shared" si="0"/>
        <v>0</v>
      </c>
      <c r="N18" s="18">
        <f t="shared" si="1"/>
        <v>9410.2844102750005</v>
      </c>
    </row>
    <row r="19" spans="3:16" x14ac:dyDescent="0.25">
      <c r="C19" t="s">
        <v>92</v>
      </c>
      <c r="D19" s="18">
        <v>0</v>
      </c>
      <c r="F19" t="s">
        <v>92</v>
      </c>
      <c r="G19" s="18">
        <v>0</v>
      </c>
      <c r="H19" s="18">
        <v>0</v>
      </c>
      <c r="J19" t="s">
        <v>92</v>
      </c>
      <c r="K19" s="19">
        <v>10.5</v>
      </c>
      <c r="M19" s="18">
        <f t="shared" si="0"/>
        <v>0</v>
      </c>
      <c r="N19" s="18">
        <f t="shared" si="1"/>
        <v>0</v>
      </c>
    </row>
    <row r="20" spans="3:16" x14ac:dyDescent="0.25">
      <c r="C20" t="s">
        <v>93</v>
      </c>
      <c r="D20" s="18">
        <v>0</v>
      </c>
      <c r="F20" t="s">
        <v>93</v>
      </c>
      <c r="G20" s="18">
        <v>0</v>
      </c>
      <c r="H20" s="18">
        <v>0</v>
      </c>
      <c r="J20" t="s">
        <v>93</v>
      </c>
      <c r="K20" s="19">
        <v>13</v>
      </c>
      <c r="M20" s="18">
        <f t="shared" si="0"/>
        <v>0</v>
      </c>
      <c r="N20" s="18">
        <f t="shared" si="1"/>
        <v>0</v>
      </c>
    </row>
    <row r="21" spans="3:16" x14ac:dyDescent="0.25">
      <c r="C21" t="s">
        <v>94</v>
      </c>
      <c r="D21" s="18">
        <v>231.59745381944401</v>
      </c>
      <c r="F21" t="s">
        <v>94</v>
      </c>
      <c r="G21" s="18">
        <v>57.500057499999997</v>
      </c>
      <c r="H21" s="18">
        <v>0</v>
      </c>
      <c r="J21" t="s">
        <v>94</v>
      </c>
      <c r="K21" s="19">
        <v>14.5</v>
      </c>
      <c r="M21" s="18">
        <f t="shared" si="0"/>
        <v>231.59745381944444</v>
      </c>
      <c r="N21" s="18">
        <f t="shared" si="1"/>
        <v>0</v>
      </c>
    </row>
    <row r="22" spans="3:16" x14ac:dyDescent="0.25">
      <c r="C22" t="s">
        <v>95</v>
      </c>
      <c r="D22" s="18">
        <v>0</v>
      </c>
      <c r="F22" t="s">
        <v>95</v>
      </c>
      <c r="G22" s="18">
        <v>0</v>
      </c>
      <c r="H22" s="18">
        <v>0</v>
      </c>
      <c r="J22" t="s">
        <v>95</v>
      </c>
      <c r="K22" s="19">
        <v>14.7</v>
      </c>
      <c r="M22" s="18">
        <f t="shared" si="0"/>
        <v>0</v>
      </c>
      <c r="N22" s="18">
        <f t="shared" si="1"/>
        <v>0</v>
      </c>
    </row>
    <row r="23" spans="3:16" x14ac:dyDescent="0.25">
      <c r="C23" t="s">
        <v>96</v>
      </c>
      <c r="D23" s="18">
        <v>41.300041299999997</v>
      </c>
      <c r="F23" t="s">
        <v>96</v>
      </c>
      <c r="G23" s="18">
        <v>10.62001062</v>
      </c>
      <c r="H23" s="18">
        <v>0</v>
      </c>
      <c r="J23" t="s">
        <v>96</v>
      </c>
      <c r="K23" s="19">
        <v>14</v>
      </c>
      <c r="M23" s="18">
        <f t="shared" si="0"/>
        <v>41.300041299999997</v>
      </c>
      <c r="N23" s="18">
        <f t="shared" si="1"/>
        <v>0</v>
      </c>
    </row>
    <row r="24" spans="3:16" x14ac:dyDescent="0.25">
      <c r="C24" t="s">
        <v>97</v>
      </c>
      <c r="D24" s="18">
        <v>37.975037974999999</v>
      </c>
      <c r="F24" t="s">
        <v>97</v>
      </c>
      <c r="G24" s="18">
        <v>15.19001519</v>
      </c>
      <c r="H24" s="18">
        <v>0</v>
      </c>
      <c r="J24" t="s">
        <v>97</v>
      </c>
      <c r="K24" s="19">
        <v>9</v>
      </c>
      <c r="M24" s="18">
        <f t="shared" si="0"/>
        <v>37.975037974999999</v>
      </c>
      <c r="N24" s="18">
        <f t="shared" si="1"/>
        <v>0</v>
      </c>
    </row>
    <row r="25" spans="3:16" x14ac:dyDescent="0.25">
      <c r="D25" s="18">
        <f>SUM(D4:D24)</f>
        <v>32988.914099992209</v>
      </c>
      <c r="K25" s="18"/>
      <c r="L25" t="s">
        <v>102</v>
      </c>
      <c r="M25" s="18">
        <f>SUM(M4:M24)</f>
        <v>7470.6214170653802</v>
      </c>
      <c r="N25" s="18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101</v>
      </c>
      <c r="M27" s="18">
        <f>M25*0.844</f>
        <v>6305.2044760031804</v>
      </c>
      <c r="N27" s="18">
        <f>N25*0.656</f>
        <v>16740.000000000007</v>
      </c>
    </row>
    <row r="28" spans="3:16" x14ac:dyDescent="0.25">
      <c r="D28" s="18">
        <f>SUMPRODUCT(G4:G24,K4:K24)+SUMPRODUCT(H4:H24,K4:K24)</f>
        <v>118760.09075997199</v>
      </c>
      <c r="E28" t="s">
        <v>103</v>
      </c>
    </row>
    <row r="29" spans="3:16" x14ac:dyDescent="0.25">
      <c r="D29" s="14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100</v>
      </c>
    </row>
    <row r="30" spans="3:16" x14ac:dyDescent="0.25">
      <c r="L30" t="s">
        <v>76</v>
      </c>
      <c r="M30" s="18">
        <v>6305.2044760031904</v>
      </c>
      <c r="N30" s="18">
        <v>16740</v>
      </c>
      <c r="O30" s="18">
        <v>4000</v>
      </c>
      <c r="P30" s="18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SolverRepos</vt:lpstr>
      <vt:lpstr>Model</vt:lpstr>
      <vt:lpstr>Affald2021</vt:lpstr>
      <vt:lpstr>AFV</vt:lpstr>
      <vt:lpstr>AndelAffald</vt:lpstr>
      <vt:lpstr>AndelBioaffald</vt:lpstr>
      <vt:lpstr>ATL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2022-03-14T12:16:47Z</dcterms:modified>
</cp:coreProperties>
</file>