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EFA Affald\"/>
    </mc:Choice>
  </mc:AlternateContent>
  <xr:revisionPtr revIDLastSave="0" documentId="13_ncr:1_{3EDEC94F-257A-4739-BD44-E32ED873561F}" xr6:coauthVersionLast="47" xr6:coauthVersionMax="47" xr10:uidLastSave="{00000000-0000-0000-0000-000000000000}"/>
  <bookViews>
    <workbookView xWindow="-120" yWindow="-120" windowWidth="29040" windowHeight="15720" activeTab="1" xr2:uid="{858EECC8-30FB-4D42-A70B-DA5455FDD71D}"/>
    <workbookView xWindow="-15" yWindow="0" windowWidth="14550" windowHeight="15510" activeTab="1" xr2:uid="{16E12CA9-1556-4394-AFAE-8F484516E35F}"/>
  </bookViews>
  <sheets>
    <sheet name="SolverRepos" sheetId="3" r:id="rId1"/>
    <sheet name="Model" sheetId="1" r:id="rId2"/>
    <sheet name="Affald2021" sheetId="2" r:id="rId3"/>
  </sheets>
  <definedNames>
    <definedName name="AFV">Model!$C$34</definedName>
    <definedName name="AndelAffald">Model!$C$23</definedName>
    <definedName name="AndelBioaffald">Model!$D$23</definedName>
    <definedName name="ATL">Model!$C$35</definedName>
    <definedName name="BioAffaldTonnage">Model!$C$22</definedName>
    <definedName name="BioTonnage">Model!$D$22</definedName>
    <definedName name="CO2afgift">Model!$C$36</definedName>
    <definedName name="CO2indholdAfgift">Model!$C$26</definedName>
    <definedName name="CO2indholdKvote">Model!$C$27</definedName>
    <definedName name="DBmedRGK">Model!$K$72</definedName>
    <definedName name="DBudenRGK">Model!$J$72</definedName>
    <definedName name="Elpris">Model!$C$31</definedName>
    <definedName name="ElprodTarif">Model!$C$32</definedName>
    <definedName name="ENSkvoteLHV">Model!$C$28</definedName>
    <definedName name="EtaE">Model!$D$17</definedName>
    <definedName name="EtaQmaxOvn2">Model!$C$16</definedName>
    <definedName name="EtaQmaxOvn3">Model!$D$16</definedName>
    <definedName name="EtaQNomOvn2">Model!$C$14</definedName>
    <definedName name="EtaQNomOvn3">Model!$D$14</definedName>
    <definedName name="EtaRgkOvn2">Model!$C$15</definedName>
    <definedName name="EtaRgkOvn3">Model!$D$15</definedName>
    <definedName name="Ftotal">Model!$C$40</definedName>
    <definedName name="Htotal">Model!$C$41</definedName>
    <definedName name="KapQcool">Model!$E$10</definedName>
    <definedName name="KapQnomOvn2">Model!$C$10</definedName>
    <definedName name="KapQnomOvn3">Model!$D$10</definedName>
    <definedName name="Kvotepris">Model!$C$33</definedName>
    <definedName name="LHVaffald">Model!$C$25</definedName>
    <definedName name="LHVbioaffald">Model!$D$25</definedName>
    <definedName name="NSvarme">Model!$E$22</definedName>
    <definedName name="Qdemand">Model!$C$39</definedName>
    <definedName name="RGKudnyttelse">Model!$C$5</definedName>
    <definedName name="solver_adj" localSheetId="1" hidden="1">Model!$C$5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Model!$C$5</definedName>
    <definedName name="solver_lhs2" localSheetId="1" hidden="1">Model!$C$5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Model!$K$72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Varmesalgspris">Model!$C$30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1" l="1"/>
  <c r="O11" i="1"/>
  <c r="P11" i="1"/>
  <c r="O12" i="1"/>
  <c r="O14" i="1"/>
  <c r="O15" i="1"/>
  <c r="O16" i="1"/>
  <c r="O17" i="1"/>
  <c r="O18" i="1"/>
  <c r="O19" i="1"/>
  <c r="O5" i="1"/>
  <c r="O6" i="1"/>
  <c r="O7" i="1"/>
  <c r="N10" i="1"/>
  <c r="N11" i="1"/>
  <c r="N12" i="1"/>
  <c r="N14" i="1"/>
  <c r="N15" i="1"/>
  <c r="N16" i="1"/>
  <c r="N17" i="1"/>
  <c r="N18" i="1"/>
  <c r="N19" i="1"/>
  <c r="N5" i="1"/>
  <c r="N6" i="1"/>
  <c r="N7" i="1"/>
  <c r="R4" i="1"/>
  <c r="O9" i="1"/>
  <c r="N9" i="1"/>
  <c r="K13" i="1"/>
  <c r="C22" i="1"/>
  <c r="B11" i="3" l="1"/>
  <c r="B10" i="3"/>
  <c r="B9" i="3"/>
  <c r="B8" i="3"/>
  <c r="B7" i="3"/>
  <c r="B6" i="3"/>
  <c r="T4" i="1"/>
  <c r="T25" i="1"/>
  <c r="N25" i="1"/>
  <c r="P24" i="1"/>
  <c r="N26" i="1"/>
  <c r="N27" i="1"/>
  <c r="N24" i="1"/>
  <c r="N23" i="1"/>
  <c r="N22" i="1"/>
  <c r="T47" i="1"/>
  <c r="J57" i="1"/>
  <c r="P4" i="1" s="1"/>
  <c r="K57" i="1"/>
  <c r="Q4" i="1" s="1"/>
  <c r="D15" i="1"/>
  <c r="C15" i="1"/>
  <c r="K38" i="1" l="1"/>
  <c r="J38" i="1"/>
  <c r="D28" i="2"/>
  <c r="N27" i="2"/>
  <c r="M27" i="2"/>
  <c r="M5" i="2"/>
  <c r="N5" i="2"/>
  <c r="M6" i="2"/>
  <c r="N6" i="2"/>
  <c r="M7" i="2"/>
  <c r="N7" i="2"/>
  <c r="M8" i="2"/>
  <c r="N8" i="2"/>
  <c r="N25" i="2" s="1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N4" i="2"/>
  <c r="M4" i="2"/>
  <c r="D25" i="2"/>
  <c r="D26" i="2" s="1"/>
  <c r="L38" i="1" l="1"/>
  <c r="D29" i="2"/>
  <c r="M25" i="2"/>
  <c r="C40" i="1" l="1"/>
  <c r="D23" i="1"/>
  <c r="C23" i="1"/>
  <c r="K6" i="1"/>
  <c r="K7" i="1" s="1"/>
  <c r="J6" i="1"/>
  <c r="J7" i="1" s="1"/>
  <c r="D24" i="1"/>
  <c r="D16" i="1"/>
  <c r="C16" i="1"/>
  <c r="L7" i="1" l="1"/>
  <c r="K8" i="1"/>
  <c r="C41" i="1"/>
  <c r="K10" i="1"/>
  <c r="J10" i="1"/>
  <c r="J8" i="1"/>
  <c r="L8" i="1" l="1"/>
  <c r="L10" i="1"/>
  <c r="J14" i="1"/>
  <c r="K11" i="1"/>
  <c r="J11" i="1"/>
  <c r="D41" i="1"/>
  <c r="J9" i="1"/>
  <c r="K9" i="1"/>
  <c r="K14" i="1" s="1"/>
  <c r="L9" i="1" l="1"/>
  <c r="L11" i="1"/>
  <c r="K15" i="1"/>
  <c r="Q30" i="1" s="1"/>
  <c r="L14" i="1"/>
  <c r="K16" i="1" l="1"/>
  <c r="J27" i="1"/>
  <c r="K27" i="1" s="1"/>
  <c r="L27" i="1" s="1"/>
  <c r="J15" i="1"/>
  <c r="J16" i="1"/>
  <c r="J18" i="1" s="1"/>
  <c r="P31" i="1" s="1"/>
  <c r="L15" i="1" l="1"/>
  <c r="P30" i="1"/>
  <c r="K18" i="1"/>
  <c r="L16" i="1"/>
  <c r="K17" i="1"/>
  <c r="J17" i="1"/>
  <c r="J19" i="1"/>
  <c r="L18" i="1" l="1"/>
  <c r="Q31" i="1"/>
  <c r="R31" i="1" s="1"/>
  <c r="R30" i="1"/>
  <c r="K19" i="1"/>
  <c r="L17" i="1"/>
  <c r="J20" i="1"/>
  <c r="L19" i="1" l="1"/>
  <c r="K20" i="1"/>
  <c r="K21" i="1" s="1"/>
  <c r="J22" i="1"/>
  <c r="J25" i="1" s="1"/>
  <c r="J24" i="1"/>
  <c r="J26" i="1"/>
  <c r="K26" i="1" s="1"/>
  <c r="L26" i="1" s="1"/>
  <c r="J21" i="1"/>
  <c r="J23" i="1" l="1"/>
  <c r="J36" i="1" s="1"/>
  <c r="P36" i="1" s="1"/>
  <c r="P32" i="1"/>
  <c r="K22" i="1"/>
  <c r="K25" i="1" s="1"/>
  <c r="L25" i="1" s="1"/>
  <c r="K24" i="1"/>
  <c r="L24" i="1" s="1"/>
  <c r="L20" i="1"/>
  <c r="J28" i="1" l="1"/>
  <c r="J29" i="1" s="1"/>
  <c r="P33" i="1" s="1"/>
  <c r="P39" i="1" s="1"/>
  <c r="K23" i="1"/>
  <c r="K36" i="1" s="1"/>
  <c r="Q36" i="1" s="1"/>
  <c r="R36" i="1" s="1"/>
  <c r="Q32" i="1"/>
  <c r="L21" i="1"/>
  <c r="K43" i="1"/>
  <c r="L43" i="1" s="1"/>
  <c r="L22" i="1"/>
  <c r="J35" i="1"/>
  <c r="J63" i="1"/>
  <c r="P14" i="1" s="1"/>
  <c r="J61" i="1"/>
  <c r="P12" i="1" s="1"/>
  <c r="K63" i="1" l="1"/>
  <c r="Q14" i="1" s="1"/>
  <c r="K35" i="1"/>
  <c r="K50" i="1" s="1"/>
  <c r="K61" i="1"/>
  <c r="Q12" i="1" s="1"/>
  <c r="L36" i="1"/>
  <c r="K28" i="1"/>
  <c r="K29" i="1" s="1"/>
  <c r="Q33" i="1" s="1"/>
  <c r="R33" i="1" s="1"/>
  <c r="J41" i="1"/>
  <c r="P23" i="1" s="1"/>
  <c r="L23" i="1"/>
  <c r="J30" i="1"/>
  <c r="J31" i="1" s="1"/>
  <c r="J40" i="1" s="1"/>
  <c r="J37" i="1"/>
  <c r="J39" i="1" s="1"/>
  <c r="J59" i="1" s="1"/>
  <c r="P10" i="1" s="1"/>
  <c r="R32" i="1"/>
  <c r="Q24" i="1"/>
  <c r="R24" i="1" s="1"/>
  <c r="J68" i="1"/>
  <c r="P19" i="1" s="1"/>
  <c r="J50" i="1"/>
  <c r="J49" i="1"/>
  <c r="L50" i="1" l="1"/>
  <c r="L35" i="1"/>
  <c r="K68" i="1"/>
  <c r="Q19" i="1" s="1"/>
  <c r="K49" i="1"/>
  <c r="L49" i="1" s="1"/>
  <c r="L63" i="1"/>
  <c r="R14" i="1" s="1"/>
  <c r="Q39" i="1"/>
  <c r="R39" i="1" s="1"/>
  <c r="K30" i="1"/>
  <c r="L30" i="1" s="1"/>
  <c r="L61" i="1"/>
  <c r="R12" i="1" s="1"/>
  <c r="K41" i="1"/>
  <c r="Q23" i="1" s="1"/>
  <c r="R23" i="1" s="1"/>
  <c r="L29" i="1"/>
  <c r="L28" i="1"/>
  <c r="K37" i="1"/>
  <c r="K39" i="1" s="1"/>
  <c r="L68" i="1"/>
  <c r="R19" i="1" s="1"/>
  <c r="J32" i="1"/>
  <c r="P22" i="1"/>
  <c r="J42" i="1"/>
  <c r="J45" i="1" s="1"/>
  <c r="J51" i="1" s="1"/>
  <c r="J52" i="1" s="1"/>
  <c r="J54" i="1" s="1"/>
  <c r="J66" i="1" s="1"/>
  <c r="P17" i="1" s="1"/>
  <c r="J34" i="1"/>
  <c r="P25" i="1" s="1"/>
  <c r="P41" i="1" s="1"/>
  <c r="K31" i="1" l="1"/>
  <c r="K40" i="1" s="1"/>
  <c r="L37" i="1"/>
  <c r="L41" i="1"/>
  <c r="J33" i="1"/>
  <c r="P34" i="1"/>
  <c r="J64" i="1"/>
  <c r="K59" i="1"/>
  <c r="L39" i="1"/>
  <c r="J46" i="1"/>
  <c r="P26" i="1" s="1"/>
  <c r="J67" i="1"/>
  <c r="P18" i="1" s="1"/>
  <c r="J55" i="1"/>
  <c r="J53" i="1"/>
  <c r="K32" i="1" l="1"/>
  <c r="Q34" i="1" s="1"/>
  <c r="Q40" i="1" s="1"/>
  <c r="L31" i="1"/>
  <c r="K34" i="1"/>
  <c r="Q25" i="1" s="1"/>
  <c r="P40" i="1"/>
  <c r="P35" i="1"/>
  <c r="L59" i="1"/>
  <c r="R10" i="1" s="1"/>
  <c r="Q10" i="1"/>
  <c r="K64" i="1"/>
  <c r="Q15" i="1" s="1"/>
  <c r="P15" i="1"/>
  <c r="J58" i="1"/>
  <c r="J47" i="1"/>
  <c r="P27" i="1" s="1"/>
  <c r="J65" i="1"/>
  <c r="L40" i="1"/>
  <c r="Q22" i="1"/>
  <c r="R22" i="1" s="1"/>
  <c r="K42" i="1"/>
  <c r="K33" i="1" l="1"/>
  <c r="L33" i="1" s="1"/>
  <c r="Q35" i="1"/>
  <c r="R35" i="1" s="1"/>
  <c r="R34" i="1"/>
  <c r="L32" i="1"/>
  <c r="L34" i="1"/>
  <c r="R40" i="1"/>
  <c r="R25" i="1"/>
  <c r="Q41" i="1"/>
  <c r="R41" i="1" s="1"/>
  <c r="L64" i="1"/>
  <c r="R15" i="1" s="1"/>
  <c r="J71" i="1"/>
  <c r="P6" i="1" s="1"/>
  <c r="P16" i="1"/>
  <c r="J70" i="1"/>
  <c r="P5" i="1" s="1"/>
  <c r="P9" i="1"/>
  <c r="K45" i="1"/>
  <c r="L42" i="1"/>
  <c r="K46" i="1"/>
  <c r="J72" i="1" l="1"/>
  <c r="L46" i="1"/>
  <c r="Q26" i="1"/>
  <c r="R26" i="1" s="1"/>
  <c r="K58" i="1"/>
  <c r="K47" i="1"/>
  <c r="K65" i="1"/>
  <c r="K44" i="1"/>
  <c r="L44" i="1" s="1"/>
  <c r="L45" i="1"/>
  <c r="K51" i="1"/>
  <c r="P7" i="1" l="1"/>
  <c r="L65" i="1"/>
  <c r="R16" i="1" s="1"/>
  <c r="Q16" i="1"/>
  <c r="L58" i="1"/>
  <c r="R9" i="1" s="1"/>
  <c r="Q9" i="1"/>
  <c r="L51" i="1"/>
  <c r="K53" i="1"/>
  <c r="L53" i="1" s="1"/>
  <c r="K52" i="1"/>
  <c r="Q27" i="1"/>
  <c r="R27" i="1" s="1"/>
  <c r="L47" i="1"/>
  <c r="L52" i="1" l="1"/>
  <c r="K54" i="1"/>
  <c r="L54" i="1" l="1"/>
  <c r="K55" i="1"/>
  <c r="L55" i="1" s="1"/>
  <c r="K66" i="1"/>
  <c r="Q17" i="1" s="1"/>
  <c r="K67" i="1"/>
  <c r="L67" i="1" l="1"/>
  <c r="R18" i="1" s="1"/>
  <c r="Q18" i="1"/>
  <c r="L66" i="1"/>
  <c r="R17" i="1" s="1"/>
  <c r="K60" i="1"/>
  <c r="Q11" i="1" s="1"/>
  <c r="K71" i="1"/>
  <c r="L71" i="1" l="1"/>
  <c r="R6" i="1" s="1"/>
  <c r="Q6" i="1"/>
  <c r="K70" i="1"/>
  <c r="Q5" i="1" s="1"/>
  <c r="L60" i="1"/>
  <c r="R11" i="1" s="1"/>
  <c r="L70" i="1" l="1"/>
  <c r="R5" i="1" s="1"/>
  <c r="K72" i="1"/>
  <c r="Q7" i="1" s="1"/>
  <c r="L72" i="1" l="1"/>
  <c r="R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Mogens Bech Laursen</author>
  </authors>
  <commentList>
    <comment ref="A5" authorId="0" shapeId="0" xr:uid="{9E6784D6-CFB9-4ADD-B826-0EEF251BF123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RGK-udnyttelsen gælder RGK-varme for begge ovne.</t>
        </r>
      </text>
    </comment>
    <comment ref="H7" authorId="0" shapeId="0" xr:uid="{99E6E9A7-E7BD-4D43-896C-155B1FA97586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Bestemt af ovnenes modtryksvarmekapacitet.</t>
        </r>
      </text>
    </comment>
    <comment ref="H8" authorId="0" shapeId="0" xr:uid="{4D7CFC1E-0B74-43AD-9F74-D693C0CFD274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Bestemt af ovnenes RGK-varmekapacitet</t>
        </r>
      </text>
    </comment>
    <comment ref="H9" authorId="0" shapeId="0" xr:uid="{E8D6452C-48C2-409C-B1FE-5EF855F43057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Sum af modtryks- og RGK-kapacitet</t>
        </r>
      </text>
    </comment>
    <comment ref="H10" authorId="0" shapeId="0" xr:uid="{B69B3E21-4228-486A-B428-B190A9EE4DD3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Tilbageregning fra modtryksvarmekapacitet til indfyret effekt.</t>
        </r>
      </text>
    </comment>
    <comment ref="H11" authorId="0" shapeId="0" xr:uid="{C1760424-EF25-4286-83F8-5D112E5AD22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Omregning fra indfyret effekt til indfyret tonnage.</t>
        </r>
      </text>
    </comment>
    <comment ref="A26" authorId="0" shapeId="0" xr:uid="{2280859C-2DF6-4A51-A57E-C182B3B1294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Anvendes kun ift. CO2-afgift, da Energistyrelsen har fastsat en administrativ sats for kvote-beregning.</t>
        </r>
      </text>
    </comment>
    <comment ref="H26" authorId="0" shapeId="0" xr:uid="{D2876E8E-868B-4C35-AE54-6F4911DC1461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Modtryksvarme-kapacitet, da restkapaciteten kun skal bruges til at producere bortkøle-varme.</t>
        </r>
      </text>
    </comment>
    <comment ref="A27" authorId="0" shapeId="0" xr:uid="{27A6E152-F1EA-4DA9-9A23-A1C43403FE8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Energistyrelsen har fastsat en administrativ sats for nedre brændværdi på 10,6 GJ/ton ved kvote-beregning.</t>
        </r>
      </text>
    </comment>
    <comment ref="H27" authorId="0" shapeId="0" xr:uid="{4A972A95-DA8E-4F46-A3AD-84F96433A260}">
      <text>
        <r>
          <rPr>
            <b/>
            <sz val="9"/>
            <color indexed="81"/>
            <rFont val="Tahoma"/>
            <family val="2"/>
          </rPr>
          <t>Mogens Bech Laursen:</t>
        </r>
        <r>
          <rPr>
            <sz val="9"/>
            <color indexed="81"/>
            <rFont val="Tahoma"/>
            <family val="2"/>
          </rPr>
          <t xml:space="preserve">
Modtryksvarme-kapacitet, da restkapaciteten kun skal bruges til at producere bortkøle-varme.</t>
        </r>
      </text>
    </comment>
  </commentList>
</comments>
</file>

<file path=xl/sharedStrings.xml><?xml version="1.0" encoding="utf-8"?>
<sst xmlns="http://schemas.openxmlformats.org/spreadsheetml/2006/main" count="316" uniqueCount="169">
  <si>
    <t>INPUT</t>
  </si>
  <si>
    <t>Ovn2</t>
  </si>
  <si>
    <t>Ovn3</t>
  </si>
  <si>
    <t>Varmekapacitet</t>
  </si>
  <si>
    <t>MWq</t>
  </si>
  <si>
    <t>Elkapacitet</t>
  </si>
  <si>
    <t>MWe</t>
  </si>
  <si>
    <t>Egetforbrug</t>
  </si>
  <si>
    <t>Køler</t>
  </si>
  <si>
    <t>RGK-kapacitet</t>
  </si>
  <si>
    <t>Modtryksvarme-virkningsgrad</t>
  </si>
  <si>
    <t>RGK-varme-virkningsgrad</t>
  </si>
  <si>
    <t>El-virkningsgrad</t>
  </si>
  <si>
    <t>Antal rådige døgn</t>
  </si>
  <si>
    <t>MWhe/døgn</t>
  </si>
  <si>
    <t>Anlæg</t>
  </si>
  <si>
    <t>Brændsler</t>
  </si>
  <si>
    <t>Affald</t>
  </si>
  <si>
    <t>ton</t>
  </si>
  <si>
    <t>Bioaffald</t>
  </si>
  <si>
    <t>Rådig mængde</t>
  </si>
  <si>
    <t>Aktiv</t>
  </si>
  <si>
    <t>0/1</t>
  </si>
  <si>
    <t>DV-omk sats</t>
  </si>
  <si>
    <t>kr/MWhf</t>
  </si>
  <si>
    <t>NS</t>
  </si>
  <si>
    <t>Priser</t>
  </si>
  <si>
    <t>Varmesalg</t>
  </si>
  <si>
    <t>kr/MWhq</t>
  </si>
  <si>
    <t>kr/ton</t>
  </si>
  <si>
    <t>Elspotpris</t>
  </si>
  <si>
    <t>kr/MWhe</t>
  </si>
  <si>
    <t>CO2 kvotepris</t>
  </si>
  <si>
    <t>Varmesalgspris</t>
  </si>
  <si>
    <t>Nedre brændværdi</t>
  </si>
  <si>
    <t>GJ/ton</t>
  </si>
  <si>
    <t>Affaldvarme-afgift</t>
  </si>
  <si>
    <t>Tillægsafgift</t>
  </si>
  <si>
    <t>CO2-afgift</t>
  </si>
  <si>
    <t xml:space="preserve">Øvrige parametre </t>
  </si>
  <si>
    <t>kgCO2/GJ</t>
  </si>
  <si>
    <t>kr/GJq</t>
  </si>
  <si>
    <t>CO2-indhold ift. CO2-afgift</t>
  </si>
  <si>
    <t>CO2-indhold ift. CO2-kvote</t>
  </si>
  <si>
    <t>kr/tonCO2</t>
  </si>
  <si>
    <t>Modtagepris</t>
  </si>
  <si>
    <t>Elproduktions-tarif</t>
  </si>
  <si>
    <t>Varmebehov</t>
  </si>
  <si>
    <t>MWhq</t>
  </si>
  <si>
    <t>Kommentarer</t>
  </si>
  <si>
    <t>RESULTATER</t>
  </si>
  <si>
    <t>Uden RGK</t>
  </si>
  <si>
    <t>Bortkølet varme</t>
  </si>
  <si>
    <t>Brutto elproduktion</t>
  </si>
  <si>
    <t>Netto elproduktion</t>
  </si>
  <si>
    <t>Enhed</t>
  </si>
  <si>
    <t>MWhe</t>
  </si>
  <si>
    <t>Antal driftstimer</t>
  </si>
  <si>
    <t>Max modtryksvarme</t>
  </si>
  <si>
    <t>Max. indfyret effekt</t>
  </si>
  <si>
    <t>MWhf</t>
  </si>
  <si>
    <t>Max. affaldsmængde</t>
  </si>
  <si>
    <t>Mængdefordeling</t>
  </si>
  <si>
    <t>Max. varmeproduktion Ovn3</t>
  </si>
  <si>
    <t>Rest varmebehov</t>
  </si>
  <si>
    <t>Rest total affaldsmængde</t>
  </si>
  <si>
    <t>Affaldsmængde forbrug</t>
  </si>
  <si>
    <t>Nedre brændværdi affald ialt</t>
  </si>
  <si>
    <t>Affaldsmængde ialt</t>
  </si>
  <si>
    <t>Max. NS-varme</t>
  </si>
  <si>
    <t>Max. varmeproduktion Ovn2</t>
  </si>
  <si>
    <t>Max. RGK-varme</t>
  </si>
  <si>
    <t>Max. varmeproduktion affald</t>
  </si>
  <si>
    <t>Varmeproduktion affald ialt</t>
  </si>
  <si>
    <t>Udækket varmebehov</t>
  </si>
  <si>
    <t>Sum varmevirkningsgrad</t>
  </si>
  <si>
    <t>mo1</t>
  </si>
  <si>
    <t>DepoSort</t>
  </si>
  <si>
    <t>DepoSmaat</t>
  </si>
  <si>
    <t>DepoNedd</t>
  </si>
  <si>
    <t>Dagren</t>
  </si>
  <si>
    <t>AndetBrand</t>
  </si>
  <si>
    <t>Trae</t>
  </si>
  <si>
    <t>DagrenRast</t>
  </si>
  <si>
    <t>DagrenInst</t>
  </si>
  <si>
    <t>DagrenHandel</t>
  </si>
  <si>
    <t>DagrenRestau</t>
  </si>
  <si>
    <t>Erhverv</t>
  </si>
  <si>
    <t>DagrenErhverv</t>
  </si>
  <si>
    <t>HandelKontor</t>
  </si>
  <si>
    <t>Privat</t>
  </si>
  <si>
    <t>TyskRest</t>
  </si>
  <si>
    <t>PolskRest</t>
  </si>
  <si>
    <t>PcbTrae</t>
  </si>
  <si>
    <t>TraeRekv</t>
  </si>
  <si>
    <t>Halm</t>
  </si>
  <si>
    <t>Pulver</t>
  </si>
  <si>
    <t>FlisAffald</t>
  </si>
  <si>
    <t>FuelConsP</t>
  </si>
  <si>
    <t>LHV</t>
  </si>
  <si>
    <t>FlisK</t>
  </si>
  <si>
    <t>Qm</t>
  </si>
  <si>
    <t>Fp</t>
  </si>
  <si>
    <t>GJ</t>
  </si>
  <si>
    <t>Restvarmekapacitet Ovn2</t>
  </si>
  <si>
    <t>Restvarmekapacitet Ovn3</t>
  </si>
  <si>
    <t>Kølevarme Ovn2</t>
  </si>
  <si>
    <t>Kølevarme Ovn3</t>
  </si>
  <si>
    <t>Affaldsforbrug kølevarme Ovn3</t>
  </si>
  <si>
    <t>Affaldsforbrug kølevarme Ovn2</t>
  </si>
  <si>
    <t>Økonomi</t>
  </si>
  <si>
    <t>Modtagebetaling affald</t>
  </si>
  <si>
    <t>Elsalg</t>
  </si>
  <si>
    <t>RGK-rabat</t>
  </si>
  <si>
    <t>Energiproduktion</t>
  </si>
  <si>
    <t>MWh</t>
  </si>
  <si>
    <t>Varmeproduktion ialt affaldsovne</t>
  </si>
  <si>
    <t>Leveret varme</t>
  </si>
  <si>
    <t>Betaling bioaffald</t>
  </si>
  <si>
    <t>DV-omkostninger</t>
  </si>
  <si>
    <t>Varmeproduktion Ovn2</t>
  </si>
  <si>
    <t>Varmeproduktion Ovn3</t>
  </si>
  <si>
    <t>Heraf RGK-varme</t>
  </si>
  <si>
    <t>Kvote-omkostning</t>
  </si>
  <si>
    <t>Udnyttet affaldsmængde</t>
  </si>
  <si>
    <t>Ikke-udnyttet affaldsmængde</t>
  </si>
  <si>
    <t>Indtægter total</t>
  </si>
  <si>
    <t>Omkostninger total</t>
  </si>
  <si>
    <t>Dækningsbidrag</t>
  </si>
  <si>
    <t>Mellemregninger for afgifter</t>
  </si>
  <si>
    <t>Energiproduktion ATL</t>
  </si>
  <si>
    <t>Forbrugt fossilt affald</t>
  </si>
  <si>
    <t>Forbrugt bioaffald</t>
  </si>
  <si>
    <t>Fossil elproduktion ATL</t>
  </si>
  <si>
    <t>Varmegrundlag ATL</t>
  </si>
  <si>
    <t>RGK-andel af energiproduktion</t>
  </si>
  <si>
    <t>Fossil varmeproduktion ATL,CO2</t>
  </si>
  <si>
    <t>Varmegrundlag CO2</t>
  </si>
  <si>
    <t>RGK-udnyttelse</t>
  </si>
  <si>
    <t>Styringsparametre</t>
  </si>
  <si>
    <t>procent</t>
  </si>
  <si>
    <t>For begge ovne</t>
  </si>
  <si>
    <t>Spidslastvarme</t>
  </si>
  <si>
    <t>FuelConsT</t>
  </si>
  <si>
    <t>Ovnkapaciteter</t>
  </si>
  <si>
    <t>Realiseret energi og mængde</t>
  </si>
  <si>
    <t>Kvote brændværdi jf. ENS</t>
  </si>
  <si>
    <t>tkr</t>
  </si>
  <si>
    <t>RGK ift. nominel</t>
  </si>
  <si>
    <t>Varmemængder</t>
  </si>
  <si>
    <t>RGK</t>
  </si>
  <si>
    <t>AFBILDNINGER</t>
  </si>
  <si>
    <t>Navn</t>
  </si>
  <si>
    <t>SOLVER-opsætninger</t>
  </si>
  <si>
    <t>Beskrivelse</t>
  </si>
  <si>
    <t>Maksimerer dækningsbidrag med RGK-udnyttelse som fri variabel</t>
  </si>
  <si>
    <t>Restriktioner</t>
  </si>
  <si>
    <t>MELLEMREGNINGER</t>
  </si>
  <si>
    <t>Affaldsforbrug Ovn3</t>
  </si>
  <si>
    <t>Nordic Sugar varme</t>
  </si>
  <si>
    <t>Affaldsforbrug Ovn2</t>
  </si>
  <si>
    <t>Ikke-udnyttet affald</t>
  </si>
  <si>
    <t>Udnyttet affald</t>
  </si>
  <si>
    <t>Brændselsmængder</t>
  </si>
  <si>
    <t>Kapacitetsudnyttelse</t>
  </si>
  <si>
    <t>Ovn3 tonnage</t>
  </si>
  <si>
    <t>Ovn2 tonnage</t>
  </si>
  <si>
    <t>Bortkøleanlæg varme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</si>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</sst>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"/>
    <numFmt numFmtId="167" formatCode="#,##0,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4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4" fontId="2" fillId="2" borderId="1" xfId="2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0" fillId="4" borderId="0" xfId="0" applyFill="1"/>
    <xf numFmtId="0" fontId="3" fillId="4" borderId="0" xfId="0" applyFont="1" applyFill="1"/>
    <xf numFmtId="2" fontId="0" fillId="0" borderId="0" xfId="0" applyNumberFormat="1"/>
    <xf numFmtId="0" fontId="2" fillId="2" borderId="1" xfId="2"/>
    <xf numFmtId="165" fontId="2" fillId="2" borderId="1" xfId="2" applyNumberFormat="1"/>
    <xf numFmtId="3" fontId="0" fillId="0" borderId="0" xfId="0" applyNumberFormat="1"/>
    <xf numFmtId="166" fontId="0" fillId="0" borderId="0" xfId="0" applyNumberFormat="1"/>
    <xf numFmtId="0" fontId="0" fillId="0" borderId="0" xfId="0" applyFont="1" applyAlignment="1">
      <alignment horizontal="left" indent="1"/>
    </xf>
    <xf numFmtId="3" fontId="3" fillId="0" borderId="0" xfId="0" applyNumberFormat="1" applyFont="1" applyAlignment="1">
      <alignment horizontal="center"/>
    </xf>
    <xf numFmtId="3" fontId="0" fillId="0" borderId="0" xfId="0" applyNumberFormat="1" applyFont="1"/>
    <xf numFmtId="9" fontId="0" fillId="0" borderId="0" xfId="0" applyNumberFormat="1"/>
    <xf numFmtId="167" fontId="0" fillId="0" borderId="0" xfId="0" applyNumberFormat="1" applyFont="1"/>
    <xf numFmtId="167" fontId="0" fillId="0" borderId="0" xfId="0" applyNumberFormat="1"/>
    <xf numFmtId="0" fontId="3" fillId="4" borderId="0" xfId="0" applyFont="1" applyFill="1" applyAlignment="1">
      <alignment horizontal="left" indent="1"/>
    </xf>
    <xf numFmtId="0" fontId="0" fillId="0" borderId="0" xfId="0" applyAlignment="1">
      <alignment vertical="top" wrapText="1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center"/>
    </xf>
    <xf numFmtId="0" fontId="6" fillId="0" borderId="0" xfId="0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3">
    <cellStyle name="Calculation" xfId="2" builtinId="22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Model!$T$47</c:f>
          <c:strCache>
            <c:ptCount val="1"/>
            <c:pt idx="0">
              <c:v>Økonomiske nøgletal: 15000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3179196497151472"/>
          <c:y val="0.13775301764159703"/>
          <c:w val="0.71910013595718381"/>
          <c:h val="0.70151002712404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2"/>
              <c:layout>
                <c:manualLayout>
                  <c:x val="6.2597809076682318E-3"/>
                  <c:y val="2.22841225626740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7-4151-9579-4A35B12BE046}"/>
                </c:ext>
              </c:extLst>
            </c:dLbl>
            <c:dLbl>
              <c:idx val="13"/>
              <c:layout>
                <c:manualLayout>
                  <c:x val="2.503912363067292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47-4151-9579-4A35B12BE046}"/>
                </c:ext>
              </c:extLst>
            </c:dLbl>
            <c:dLbl>
              <c:idx val="14"/>
              <c:layout>
                <c:manualLayout>
                  <c:x val="5.4251434533124594E-2"/>
                  <c:y val="-3.4044793960164884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47-4151-9579-4A35B12B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Model!$N$5:$N$19</c:f>
              <c:strCache>
                <c:ptCount val="15"/>
                <c:pt idx="0">
                  <c:v>Indtægter total</c:v>
                </c:pt>
                <c:pt idx="1">
                  <c:v>Omkostninger total</c:v>
                </c:pt>
                <c:pt idx="2">
                  <c:v>Dækningsbidrag</c:v>
                </c:pt>
                <c:pt idx="4">
                  <c:v>Varmesalg</c:v>
                </c:pt>
                <c:pt idx="5">
                  <c:v>Elsalg</c:v>
                </c:pt>
                <c:pt idx="6">
                  <c:v>RGK-rabat</c:v>
                </c:pt>
                <c:pt idx="7">
                  <c:v>Modtagebetaling affald</c:v>
                </c:pt>
                <c:pt idx="9">
                  <c:v>Betaling bioaffald</c:v>
                </c:pt>
                <c:pt idx="10">
                  <c:v>DV-omkostninger</c:v>
                </c:pt>
                <c:pt idx="11">
                  <c:v>Affaldvarme-afgift</c:v>
                </c:pt>
                <c:pt idx="12">
                  <c:v>Tillægsafgift</c:v>
                </c:pt>
                <c:pt idx="13">
                  <c:v>CO2-afgift</c:v>
                </c:pt>
                <c:pt idx="14">
                  <c:v>Kvote-omkostning</c:v>
                </c:pt>
              </c:strCache>
            </c:strRef>
          </c:cat>
          <c:val>
            <c:numRef>
              <c:f>Model!$P$5:$P$19</c:f>
              <c:numCache>
                <c:formatCode>#,##0,</c:formatCode>
                <c:ptCount val="15"/>
                <c:pt idx="0">
                  <c:v>15999762.201966742</c:v>
                </c:pt>
                <c:pt idx="1">
                  <c:v>8097317.9067116277</c:v>
                </c:pt>
                <c:pt idx="2">
                  <c:v>7902444.2952551143</c:v>
                </c:pt>
                <c:pt idx="4">
                  <c:v>7404288</c:v>
                </c:pt>
                <c:pt idx="5">
                  <c:v>3947332.4512195126</c:v>
                </c:pt>
                <c:pt idx="6">
                  <c:v>0</c:v>
                </c:pt>
                <c:pt idx="7">
                  <c:v>4648141.7507472299</c:v>
                </c:pt>
                <c:pt idx="9">
                  <c:v>0</c:v>
                </c:pt>
                <c:pt idx="10">
                  <c:v>1049040</c:v>
                </c:pt>
                <c:pt idx="11">
                  <c:v>2211287.04</c:v>
                </c:pt>
                <c:pt idx="12">
                  <c:v>2271283.2000000002</c:v>
                </c:pt>
                <c:pt idx="13">
                  <c:v>471719.80799999996</c:v>
                </c:pt>
                <c:pt idx="14">
                  <c:v>2093987.8587116271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7-4151-9579-4A35B12BE04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Model!$N$5:$N$19</c:f>
              <c:strCache>
                <c:ptCount val="15"/>
                <c:pt idx="0">
                  <c:v>Indtægter total</c:v>
                </c:pt>
                <c:pt idx="1">
                  <c:v>Omkostninger total</c:v>
                </c:pt>
                <c:pt idx="2">
                  <c:v>Dækningsbidrag</c:v>
                </c:pt>
                <c:pt idx="4">
                  <c:v>Varmesalg</c:v>
                </c:pt>
                <c:pt idx="5">
                  <c:v>Elsalg</c:v>
                </c:pt>
                <c:pt idx="6">
                  <c:v>RGK-rabat</c:v>
                </c:pt>
                <c:pt idx="7">
                  <c:v>Modtagebetaling affald</c:v>
                </c:pt>
                <c:pt idx="9">
                  <c:v>Betaling bioaffald</c:v>
                </c:pt>
                <c:pt idx="10">
                  <c:v>DV-omkostninger</c:v>
                </c:pt>
                <c:pt idx="11">
                  <c:v>Affaldvarme-afgift</c:v>
                </c:pt>
                <c:pt idx="12">
                  <c:v>Tillægsafgift</c:v>
                </c:pt>
                <c:pt idx="13">
                  <c:v>CO2-afgift</c:v>
                </c:pt>
                <c:pt idx="14">
                  <c:v>Kvote-omkostning</c:v>
                </c:pt>
              </c:strCache>
            </c:strRef>
          </c:cat>
          <c:val>
            <c:numRef>
              <c:f>Model!$Q$5:$Q$19</c:f>
              <c:numCache>
                <c:formatCode>#,##0,</c:formatCode>
                <c:ptCount val="15"/>
                <c:pt idx="0">
                  <c:v>17981997.371777717</c:v>
                </c:pt>
                <c:pt idx="1">
                  <c:v>8912598.0433480591</c:v>
                </c:pt>
                <c:pt idx="2">
                  <c:v>9069399.328429658</c:v>
                </c:pt>
                <c:pt idx="4">
                  <c:v>9139668</c:v>
                </c:pt>
                <c:pt idx="5">
                  <c:v>3947332.4512195126</c:v>
                </c:pt>
                <c:pt idx="6">
                  <c:v>246855.16981097564</c:v>
                </c:pt>
                <c:pt idx="7">
                  <c:v>4648141.7507472299</c:v>
                </c:pt>
                <c:pt idx="9">
                  <c:v>0</c:v>
                </c:pt>
                <c:pt idx="10">
                  <c:v>1107810.8046975606</c:v>
                </c:pt>
                <c:pt idx="11">
                  <c:v>2729557.4400000004</c:v>
                </c:pt>
                <c:pt idx="12">
                  <c:v>2468551.6981097562</c:v>
                </c:pt>
                <c:pt idx="13">
                  <c:v>512690.2418291159</c:v>
                </c:pt>
                <c:pt idx="14">
                  <c:v>2093987.8587116271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7-4151-9579-4A35B12B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907630911"/>
        <c:axId val="907631327"/>
      </c:barChart>
      <c:catAx>
        <c:axId val="90763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1327"/>
        <c:crosses val="autoZero"/>
        <c:auto val="1"/>
        <c:lblAlgn val="ctr"/>
        <c:lblOffset val="100"/>
        <c:noMultiLvlLbl val="0"/>
      </c:catAx>
      <c:valAx>
        <c:axId val="9076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tkr</a:t>
                </a:r>
              </a:p>
            </c:rich>
          </c:tx>
          <c:layout>
            <c:manualLayout>
              <c:xMode val="edge"/>
              <c:yMode val="edge"/>
              <c:x val="0.89663146566773055"/>
              <c:y val="0.77686106785398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Model!$T$25</c:f>
          <c:strCache>
            <c:ptCount val="1"/>
            <c:pt idx="0">
              <c:v>Varmemængder: 15000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Model!$P$21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Model!$N$22:$N$27</c:f>
              <c:strCache>
                <c:ptCount val="6"/>
                <c:pt idx="0">
                  <c:v>Varmeproduktion Ovn2</c:v>
                </c:pt>
                <c:pt idx="1">
                  <c:v>Varmeproduktion Ovn3</c:v>
                </c:pt>
                <c:pt idx="2">
                  <c:v>Heraf RGK-varme</c:v>
                </c:pt>
                <c:pt idx="3">
                  <c:v>Bortkølet varme</c:v>
                </c:pt>
                <c:pt idx="4">
                  <c:v>Leveret varme</c:v>
                </c:pt>
                <c:pt idx="5">
                  <c:v>Spidslastvarme</c:v>
                </c:pt>
              </c:strCache>
            </c:strRef>
          </c:cat>
          <c:val>
            <c:numRef>
              <c:f>Model!$P$22:$P$27</c:f>
              <c:numCache>
                <c:formatCode>#,##0</c:formatCode>
                <c:ptCount val="6"/>
                <c:pt idx="0">
                  <c:v>7068</c:v>
                </c:pt>
                <c:pt idx="1">
                  <c:v>16740</c:v>
                </c:pt>
                <c:pt idx="2">
                  <c:v>0</c:v>
                </c:pt>
                <c:pt idx="3">
                  <c:v>0</c:v>
                </c:pt>
                <c:pt idx="4">
                  <c:v>23808</c:v>
                </c:pt>
                <c:pt idx="5">
                  <c:v>11192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4-49F1-B745-D6FCA8553D30}"/>
            </c:ext>
          </c:extLst>
        </c:ser>
        <c:ser>
          <c:idx val="1"/>
          <c:order val="1"/>
          <c:tx>
            <c:strRef>
              <c:f>Model!$Q$21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Model!$N$22:$N$27</c:f>
              <c:strCache>
                <c:ptCount val="6"/>
                <c:pt idx="0">
                  <c:v>Varmeproduktion Ovn2</c:v>
                </c:pt>
                <c:pt idx="1">
                  <c:v>Varmeproduktion Ovn3</c:v>
                </c:pt>
                <c:pt idx="2">
                  <c:v>Heraf RGK-varme</c:v>
                </c:pt>
                <c:pt idx="3">
                  <c:v>Bortkølet varme</c:v>
                </c:pt>
                <c:pt idx="4">
                  <c:v>Leveret varme</c:v>
                </c:pt>
                <c:pt idx="5">
                  <c:v>Spidslastvarme</c:v>
                </c:pt>
              </c:strCache>
            </c:strRef>
          </c:cat>
          <c:val>
            <c:numRef>
              <c:f>Model!$Q$22:$Q$27</c:f>
              <c:numCache>
                <c:formatCode>#,##0</c:formatCode>
                <c:ptCount val="6"/>
                <c:pt idx="0">
                  <c:v>8556</c:v>
                </c:pt>
                <c:pt idx="1">
                  <c:v>20832</c:v>
                </c:pt>
                <c:pt idx="2">
                  <c:v>5877.080469756057</c:v>
                </c:pt>
                <c:pt idx="3">
                  <c:v>0</c:v>
                </c:pt>
                <c:pt idx="4">
                  <c:v>29388</c:v>
                </c:pt>
                <c:pt idx="5">
                  <c:v>5612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4-49F1-B745-D6FCA8553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795770207"/>
        <c:axId val="795780607"/>
      </c:barChart>
      <c:catAx>
        <c:axId val="7957702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5780607"/>
        <c:crosses val="autoZero"/>
        <c:auto val="1"/>
        <c:lblAlgn val="ctr"/>
        <c:lblOffset val="100"/>
        <c:noMultiLvlLbl val="0"/>
      </c:catAx>
      <c:valAx>
        <c:axId val="7957806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577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Model!$T$4</c:f>
          <c:strCache>
            <c:ptCount val="1"/>
            <c:pt idx="0">
              <c:v>RGK ift. Nominel: 15000 ton affald, 0 ton bioaffald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5886580647107943"/>
          <c:y val="0.13775301764159703"/>
          <c:w val="0.7055502752638998"/>
          <c:h val="0.765009999999999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Model!$N$5:$N$19</c:f>
              <c:strCache>
                <c:ptCount val="15"/>
                <c:pt idx="0">
                  <c:v>Indtægter total</c:v>
                </c:pt>
                <c:pt idx="1">
                  <c:v>Omkostninger total</c:v>
                </c:pt>
                <c:pt idx="2">
                  <c:v>Dækningsbidrag</c:v>
                </c:pt>
                <c:pt idx="4">
                  <c:v>Varmesalg</c:v>
                </c:pt>
                <c:pt idx="5">
                  <c:v>Elsalg</c:v>
                </c:pt>
                <c:pt idx="6">
                  <c:v>RGK-rabat</c:v>
                </c:pt>
                <c:pt idx="7">
                  <c:v>Modtagebetaling affald</c:v>
                </c:pt>
                <c:pt idx="9">
                  <c:v>Betaling bioaffald</c:v>
                </c:pt>
                <c:pt idx="10">
                  <c:v>DV-omkostninger</c:v>
                </c:pt>
                <c:pt idx="11">
                  <c:v>Affaldvarme-afgift</c:v>
                </c:pt>
                <c:pt idx="12">
                  <c:v>Tillægsafgift</c:v>
                </c:pt>
                <c:pt idx="13">
                  <c:v>CO2-afgift</c:v>
                </c:pt>
                <c:pt idx="14">
                  <c:v>Kvote-omkostning</c:v>
                </c:pt>
              </c:strCache>
            </c:strRef>
          </c:cat>
          <c:val>
            <c:numRef>
              <c:f>Model!$R$5:$R$19</c:f>
              <c:numCache>
                <c:formatCode>#,##0,</c:formatCode>
                <c:ptCount val="15"/>
                <c:pt idx="0">
                  <c:v>1982235.169810975</c:v>
                </c:pt>
                <c:pt idx="1">
                  <c:v>815280.13663643133</c:v>
                </c:pt>
                <c:pt idx="2">
                  <c:v>1166955.0331745436</c:v>
                </c:pt>
                <c:pt idx="4">
                  <c:v>1735380</c:v>
                </c:pt>
                <c:pt idx="5">
                  <c:v>0</c:v>
                </c:pt>
                <c:pt idx="6">
                  <c:v>246855.16981097564</c:v>
                </c:pt>
                <c:pt idx="7">
                  <c:v>0</c:v>
                </c:pt>
                <c:pt idx="9">
                  <c:v>0</c:v>
                </c:pt>
                <c:pt idx="10">
                  <c:v>58770.804697560612</c:v>
                </c:pt>
                <c:pt idx="11">
                  <c:v>518270.40000000037</c:v>
                </c:pt>
                <c:pt idx="12">
                  <c:v>197268.49810975604</c:v>
                </c:pt>
                <c:pt idx="13">
                  <c:v>40970.433829115937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2-4788-BDF9-D7F6BC1C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50"/>
        <c:axId val="907630911"/>
        <c:axId val="907631327"/>
      </c:barChart>
      <c:catAx>
        <c:axId val="90763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1327"/>
        <c:crosses val="autoZero"/>
        <c:auto val="1"/>
        <c:lblAlgn val="ctr"/>
        <c:lblOffset val="100"/>
        <c:noMultiLvlLbl val="0"/>
      </c:catAx>
      <c:valAx>
        <c:axId val="9076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tkr</a:t>
                </a:r>
              </a:p>
            </c:rich>
          </c:tx>
          <c:layout>
            <c:manualLayout>
              <c:xMode val="edge"/>
              <c:yMode val="edge"/>
              <c:x val="0.18021717413221192"/>
              <c:y val="0.9285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076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525413</xdr:colOff>
      <xdr:row>13</xdr:row>
      <xdr:rowOff>151778</xdr:rowOff>
    </xdr:from>
    <xdr:to>
      <xdr:col>34</xdr:col>
      <xdr:colOff>99958</xdr:colOff>
      <xdr:row>23</xdr:row>
      <xdr:rowOff>132728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587586-E294-4C74-9BF4-FBD48805E0B1}"/>
            </a:ext>
          </a:extLst>
        </xdr:cNvPr>
        <xdr:cNvSpPr txBox="1"/>
      </xdr:nvSpPr>
      <xdr:spPr>
        <a:xfrm rot="20887090">
          <a:off x="18213338" y="2628278"/>
          <a:ext cx="4451345" cy="1885950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3600" b="1"/>
            <a:t>brug SCENARIO Manager</a:t>
          </a:r>
        </a:p>
      </xdr:txBody>
    </xdr:sp>
    <xdr:clientData/>
  </xdr:twoCellAnchor>
  <xdr:twoCellAnchor editAs="oneCell">
    <xdr:from>
      <xdr:col>19</xdr:col>
      <xdr:colOff>12324</xdr:colOff>
      <xdr:row>47</xdr:row>
      <xdr:rowOff>38098</xdr:rowOff>
    </xdr:from>
    <xdr:to>
      <xdr:col>25</xdr:col>
      <xdr:colOff>585972</xdr:colOff>
      <xdr:row>66</xdr:row>
      <xdr:rowOff>18598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CC451-141C-42FB-9C6D-598CDB10E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31325</xdr:colOff>
      <xdr:row>25</xdr:row>
      <xdr:rowOff>36368</xdr:rowOff>
    </xdr:from>
    <xdr:to>
      <xdr:col>25</xdr:col>
      <xdr:colOff>604973</xdr:colOff>
      <xdr:row>44</xdr:row>
      <xdr:rowOff>16868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EC5D3-8CF7-46F7-AF51-A9935B033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11206</xdr:colOff>
      <xdr:row>4</xdr:row>
      <xdr:rowOff>22412</xdr:rowOff>
    </xdr:from>
    <xdr:to>
      <xdr:col>25</xdr:col>
      <xdr:colOff>584854</xdr:colOff>
      <xdr:row>23</xdr:row>
      <xdr:rowOff>2912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F3D20A-DAAF-45D8-BA9E-4526496A4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C610-527A-4758-9182-C399B9E67627}">
  <dimension ref="A1:J11"/>
  <sheetViews>
    <sheetView workbookViewId="0">
      <selection activeCell="B6" sqref="B6"/>
    </sheetView>
    <sheetView workbookViewId="1"/>
  </sheetViews>
  <sheetFormatPr defaultRowHeight="15" x14ac:dyDescent="0.25"/>
  <cols>
    <col min="1" max="1" width="13.28515625" customWidth="1"/>
    <col min="2" max="10" width="30.7109375" customWidth="1"/>
  </cols>
  <sheetData>
    <row r="1" spans="1:10" x14ac:dyDescent="0.25">
      <c r="A1" s="5" t="s">
        <v>153</v>
      </c>
    </row>
    <row r="2" spans="1:10" x14ac:dyDescent="0.25">
      <c r="A2" s="5"/>
    </row>
    <row r="3" spans="1:10" x14ac:dyDescent="0.25">
      <c r="A3" s="5"/>
      <c r="B3" s="26">
        <v>1</v>
      </c>
      <c r="C3" s="26">
        <v>2</v>
      </c>
      <c r="D3" s="26">
        <v>3</v>
      </c>
      <c r="E3" s="26">
        <v>4</v>
      </c>
      <c r="F3" s="26">
        <v>5</v>
      </c>
      <c r="G3" s="26">
        <v>6</v>
      </c>
      <c r="H3" s="26">
        <v>7</v>
      </c>
      <c r="I3" s="26">
        <v>8</v>
      </c>
      <c r="J3" s="26">
        <v>9</v>
      </c>
    </row>
    <row r="4" spans="1:10" x14ac:dyDescent="0.25">
      <c r="A4" s="5" t="s">
        <v>152</v>
      </c>
      <c r="B4" t="s">
        <v>138</v>
      </c>
    </row>
    <row r="5" spans="1:10" ht="45" x14ac:dyDescent="0.25">
      <c r="A5" s="27" t="s">
        <v>154</v>
      </c>
      <c r="B5" s="25" t="s">
        <v>155</v>
      </c>
    </row>
    <row r="6" spans="1:10" x14ac:dyDescent="0.25">
      <c r="A6" s="5" t="s">
        <v>156</v>
      </c>
      <c r="B6">
        <f>MAX($K$74)</f>
        <v>0</v>
      </c>
    </row>
    <row r="7" spans="1:10" x14ac:dyDescent="0.25">
      <c r="B7">
        <f>COUNT($C$7)</f>
        <v>0</v>
      </c>
    </row>
    <row r="8" spans="1:10" x14ac:dyDescent="0.25">
      <c r="B8" t="b">
        <f>RGKudnyttelse&lt;=1</f>
        <v>1</v>
      </c>
    </row>
    <row r="9" spans="1:10" x14ac:dyDescent="0.25">
      <c r="B9" t="b">
        <f>RGKudnyttelse&gt;=0</f>
        <v>1</v>
      </c>
    </row>
    <row r="10" spans="1:10" x14ac:dyDescent="0.25">
      <c r="B10">
        <f>{32767;32767;0.000001;0.01;FALSE;FALSE;TRUE;1;1;1;0.0001;TRUE}</f>
        <v>32767</v>
      </c>
    </row>
    <row r="11" spans="1:10" x14ac:dyDescent="0.25">
      <c r="B11">
        <f>{0;0;1;100;0;FALSE;TRUE;0.075;0;0;FALSE;30}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4189-028E-4B88-AC75-E88799B17CAC}">
  <dimension ref="A2:Z72"/>
  <sheetViews>
    <sheetView tabSelected="1" zoomScale="85" zoomScaleNormal="85" workbookViewId="0">
      <selection activeCell="AH42" sqref="AH42"/>
    </sheetView>
    <sheetView tabSelected="1" topLeftCell="B13" zoomScale="85" zoomScaleNormal="85" workbookViewId="1">
      <selection activeCell="J46" sqref="J46"/>
    </sheetView>
  </sheetViews>
  <sheetFormatPr defaultRowHeight="15" outlineLevelCol="1" x14ac:dyDescent="0.25"/>
  <cols>
    <col min="1" max="1" width="28.5703125" customWidth="1" outlineLevel="1"/>
    <col min="2" max="2" width="12.28515625" style="7" customWidth="1" outlineLevel="1"/>
    <col min="3" max="5" width="9.140625" customWidth="1" outlineLevel="1"/>
    <col min="6" max="6" width="13.42578125" customWidth="1" outlineLevel="1"/>
    <col min="7" max="7" width="2.85546875" customWidth="1"/>
    <col min="8" max="8" width="30.7109375" hidden="1" customWidth="1" outlineLevel="1"/>
    <col min="9" max="9" width="11" style="7" hidden="1" customWidth="1" outlineLevel="1"/>
    <col min="10" max="10" width="13.28515625" style="16" hidden="1" customWidth="1" outlineLevel="1"/>
    <col min="11" max="11" width="14.42578125" style="16" hidden="1" customWidth="1" outlineLevel="1"/>
    <col min="12" max="12" width="15.7109375" hidden="1" customWidth="1" outlineLevel="1"/>
    <col min="13" max="13" width="2.85546875" hidden="1" customWidth="1" outlineLevel="1"/>
    <col min="14" max="14" width="30.7109375" bestFit="1" customWidth="1" collapsed="1"/>
    <col min="15" max="15" width="8.42578125" style="7" bestFit="1" customWidth="1"/>
    <col min="16" max="16" width="10" style="16" bestFit="1" customWidth="1"/>
    <col min="17" max="17" width="14.42578125" style="16" bestFit="1" customWidth="1"/>
    <col min="18" max="18" width="15.7109375" bestFit="1" customWidth="1"/>
    <col min="19" max="19" width="4.140625" customWidth="1"/>
    <col min="20" max="20" width="29.7109375" style="7" customWidth="1"/>
    <col min="21" max="22" width="13" customWidth="1"/>
  </cols>
  <sheetData>
    <row r="2" spans="1:26" x14ac:dyDescent="0.25">
      <c r="A2" s="31" t="s">
        <v>0</v>
      </c>
      <c r="B2" s="31"/>
      <c r="C2" s="31"/>
      <c r="D2" s="31"/>
      <c r="E2" s="31"/>
      <c r="F2" s="31"/>
      <c r="H2" s="33" t="s">
        <v>157</v>
      </c>
      <c r="I2" s="33"/>
      <c r="J2" s="33"/>
      <c r="K2" s="33"/>
      <c r="L2" s="33"/>
      <c r="N2" s="32" t="s">
        <v>50</v>
      </c>
      <c r="O2" s="32"/>
      <c r="P2" s="32"/>
      <c r="Q2" s="32"/>
      <c r="R2" s="32"/>
      <c r="T2" s="32" t="s">
        <v>151</v>
      </c>
      <c r="U2" s="32"/>
      <c r="V2" s="32"/>
      <c r="W2" s="32"/>
      <c r="X2" s="32"/>
      <c r="Y2" s="32"/>
      <c r="Z2" s="32"/>
    </row>
    <row r="4" spans="1:26" x14ac:dyDescent="0.25">
      <c r="A4" s="5" t="s">
        <v>139</v>
      </c>
      <c r="B4" s="10" t="s">
        <v>55</v>
      </c>
      <c r="C4" s="6"/>
      <c r="D4" s="6"/>
      <c r="E4" s="6"/>
      <c r="F4" s="9" t="s">
        <v>49</v>
      </c>
      <c r="I4" s="10" t="s">
        <v>55</v>
      </c>
      <c r="J4" s="19"/>
      <c r="K4" s="19"/>
      <c r="L4" s="5"/>
      <c r="N4" s="5" t="s">
        <v>110</v>
      </c>
      <c r="O4" s="10" t="s">
        <v>55</v>
      </c>
      <c r="P4" s="19" t="str">
        <f>J57</f>
        <v>Uden RGK</v>
      </c>
      <c r="Q4" s="19" t="str">
        <f t="shared" ref="Q4:R4" si="0">K57</f>
        <v>Med 100% RGK</v>
      </c>
      <c r="R4" s="19" t="str">
        <f t="shared" si="0"/>
        <v>RGK ift. nominel</v>
      </c>
      <c r="T4" s="24" t="str">
        <f>"RGK ift. Nominel: "&amp;C22&amp;" ton affald, "&amp;D22&amp;" ton bioaffald"</f>
        <v>RGK ift. Nominel: 15000 ton affald, 0 ton bioaffald</v>
      </c>
      <c r="U4" s="11"/>
      <c r="V4" s="11"/>
      <c r="W4" s="11"/>
      <c r="X4" s="11"/>
      <c r="Y4" s="11"/>
      <c r="Z4" s="11"/>
    </row>
    <row r="5" spans="1:26" x14ac:dyDescent="0.25">
      <c r="A5" s="7" t="s">
        <v>138</v>
      </c>
      <c r="B5" s="7" t="s">
        <v>140</v>
      </c>
      <c r="C5" s="21">
        <v>1</v>
      </c>
      <c r="F5" t="s">
        <v>141</v>
      </c>
      <c r="H5" s="5" t="s">
        <v>144</v>
      </c>
      <c r="I5" s="10"/>
      <c r="J5" s="19" t="s">
        <v>1</v>
      </c>
      <c r="K5" s="19" t="s">
        <v>2</v>
      </c>
      <c r="L5" s="6" t="s">
        <v>168</v>
      </c>
      <c r="N5" s="18" t="str">
        <f>H70</f>
        <v>Indtægter total</v>
      </c>
      <c r="O5" s="18" t="str">
        <f>I70</f>
        <v>tkr</v>
      </c>
      <c r="P5" s="23">
        <f>J70</f>
        <v>15999762.201966742</v>
      </c>
      <c r="Q5" s="23">
        <f>K70</f>
        <v>17981997.371777717</v>
      </c>
      <c r="R5" s="23">
        <f>L70</f>
        <v>1982235.169810975</v>
      </c>
    </row>
    <row r="6" spans="1:26" x14ac:dyDescent="0.25">
      <c r="A6" s="7"/>
      <c r="H6" s="8" t="s">
        <v>57</v>
      </c>
      <c r="I6" s="10"/>
      <c r="J6" s="16">
        <f>24*C$9</f>
        <v>744</v>
      </c>
      <c r="K6" s="16">
        <f>24*D$9</f>
        <v>744</v>
      </c>
      <c r="N6" s="18" t="str">
        <f>H71</f>
        <v>Omkostninger total</v>
      </c>
      <c r="O6" s="18" t="str">
        <f>I71</f>
        <v>tkr</v>
      </c>
      <c r="P6" s="23">
        <f>J71</f>
        <v>8097317.9067116277</v>
      </c>
      <c r="Q6" s="23">
        <f>K71</f>
        <v>8912598.0433480591</v>
      </c>
      <c r="R6" s="23">
        <f>L71</f>
        <v>815280.13663643133</v>
      </c>
    </row>
    <row r="7" spans="1:26" x14ac:dyDescent="0.25">
      <c r="A7" s="7"/>
      <c r="H7" s="8" t="s">
        <v>58</v>
      </c>
      <c r="I7" s="7" t="s">
        <v>48</v>
      </c>
      <c r="J7" s="20">
        <f>J6*C10</f>
        <v>7068</v>
      </c>
      <c r="K7" s="20">
        <f>K6*D10</f>
        <v>16740</v>
      </c>
      <c r="L7" s="20">
        <f>SUM(J7:K7)</f>
        <v>23808</v>
      </c>
      <c r="N7" s="18" t="str">
        <f>H72</f>
        <v>Dækningsbidrag</v>
      </c>
      <c r="O7" s="18" t="str">
        <f>I72</f>
        <v>tkr</v>
      </c>
      <c r="P7" s="23">
        <f>J72</f>
        <v>7902444.2952551143</v>
      </c>
      <c r="Q7" s="23">
        <f>K72</f>
        <v>9069399.328429658</v>
      </c>
      <c r="R7" s="23">
        <f>L72</f>
        <v>1166955.0331745436</v>
      </c>
    </row>
    <row r="8" spans="1:26" x14ac:dyDescent="0.25">
      <c r="A8" s="5" t="s">
        <v>15</v>
      </c>
      <c r="B8" s="10"/>
      <c r="C8" s="6" t="s">
        <v>1</v>
      </c>
      <c r="D8" s="6" t="s">
        <v>2</v>
      </c>
      <c r="E8" s="6" t="s">
        <v>8</v>
      </c>
      <c r="F8" s="6" t="s">
        <v>150</v>
      </c>
      <c r="H8" s="8" t="s">
        <v>71</v>
      </c>
      <c r="I8" s="18" t="s">
        <v>48</v>
      </c>
      <c r="J8" s="20">
        <f>EtaRgkOvn2/EtaQNomOvn2*J7</f>
        <v>1488</v>
      </c>
      <c r="K8" s="20">
        <f>EtaRgkOvn3/EtaQNomOvn3*K7</f>
        <v>4092</v>
      </c>
      <c r="L8" s="20">
        <f t="shared" ref="L8:L11" si="1">SUM(J8:K8)</f>
        <v>5580</v>
      </c>
      <c r="N8" s="5"/>
      <c r="O8" s="10"/>
      <c r="P8" s="19"/>
      <c r="Q8" s="19"/>
      <c r="R8" s="19"/>
    </row>
    <row r="9" spans="1:26" x14ac:dyDescent="0.25">
      <c r="A9" s="7" t="s">
        <v>13</v>
      </c>
      <c r="C9">
        <v>31</v>
      </c>
      <c r="D9">
        <v>31</v>
      </c>
      <c r="E9">
        <v>31</v>
      </c>
      <c r="H9" s="8" t="s">
        <v>72</v>
      </c>
      <c r="I9" s="18" t="s">
        <v>48</v>
      </c>
      <c r="J9" s="20">
        <f>SUM(J7:J8)</f>
        <v>8556</v>
      </c>
      <c r="K9" s="20">
        <f>SUM(K7:K8)</f>
        <v>20832</v>
      </c>
      <c r="L9" s="20">
        <f t="shared" si="1"/>
        <v>29388</v>
      </c>
      <c r="N9" s="18" t="str">
        <f>H58</f>
        <v>Varmesalg</v>
      </c>
      <c r="O9" s="18" t="str">
        <f t="shared" ref="O9:R12" si="2">I58</f>
        <v>tkr</v>
      </c>
      <c r="P9" s="22">
        <f t="shared" si="2"/>
        <v>7404288</v>
      </c>
      <c r="Q9" s="22">
        <f t="shared" si="2"/>
        <v>9139668</v>
      </c>
      <c r="R9" s="23">
        <f t="shared" si="2"/>
        <v>1735380</v>
      </c>
    </row>
    <row r="10" spans="1:26" x14ac:dyDescent="0.25">
      <c r="A10" s="7" t="s">
        <v>3</v>
      </c>
      <c r="B10" s="7" t="s">
        <v>4</v>
      </c>
      <c r="C10">
        <v>9.5</v>
      </c>
      <c r="D10">
        <v>22.5</v>
      </c>
      <c r="E10">
        <v>15</v>
      </c>
      <c r="H10" s="8" t="s">
        <v>59</v>
      </c>
      <c r="I10" s="7" t="s">
        <v>60</v>
      </c>
      <c r="J10" s="16">
        <f>J7/EtaQNomOvn2</f>
        <v>8374.4075829383892</v>
      </c>
      <c r="K10" s="16">
        <f>K7/EtaQNomOvn3</f>
        <v>25518.292682926829</v>
      </c>
      <c r="L10" s="20">
        <f t="shared" si="1"/>
        <v>33892.70026586522</v>
      </c>
      <c r="N10" s="18" t="str">
        <f>H59</f>
        <v>Elsalg</v>
      </c>
      <c r="O10" s="18" t="str">
        <f t="shared" si="2"/>
        <v>tkr</v>
      </c>
      <c r="P10" s="22">
        <f t="shared" si="2"/>
        <v>3947332.4512195126</v>
      </c>
      <c r="Q10" s="22">
        <f t="shared" si="2"/>
        <v>3947332.4512195126</v>
      </c>
      <c r="R10" s="23">
        <f t="shared" si="2"/>
        <v>0</v>
      </c>
    </row>
    <row r="11" spans="1:26" x14ac:dyDescent="0.25">
      <c r="A11" s="7" t="s">
        <v>9</v>
      </c>
      <c r="B11" s="7" t="s">
        <v>4</v>
      </c>
      <c r="C11">
        <v>2</v>
      </c>
      <c r="D11">
        <v>5.5</v>
      </c>
      <c r="H11" s="8" t="s">
        <v>61</v>
      </c>
      <c r="I11" s="18" t="s">
        <v>18</v>
      </c>
      <c r="J11" s="20">
        <f>J10*3.6/Htotal</f>
        <v>2871.2254570074479</v>
      </c>
      <c r="K11" s="20">
        <f>K10/(Htotal/3.6)</f>
        <v>8749.1289198606282</v>
      </c>
      <c r="L11" s="20">
        <f t="shared" si="1"/>
        <v>11620.354376868076</v>
      </c>
      <c r="N11" s="18" t="str">
        <f>H60</f>
        <v>RGK-rabat</v>
      </c>
      <c r="O11" s="18" t="str">
        <f t="shared" si="2"/>
        <v>tkr</v>
      </c>
      <c r="P11" s="22">
        <f t="shared" si="2"/>
        <v>0</v>
      </c>
      <c r="Q11" s="22">
        <f t="shared" si="2"/>
        <v>246855.16981097564</v>
      </c>
      <c r="R11" s="23">
        <f t="shared" si="2"/>
        <v>246855.16981097564</v>
      </c>
    </row>
    <row r="12" spans="1:26" x14ac:dyDescent="0.25">
      <c r="A12" s="7" t="s">
        <v>5</v>
      </c>
      <c r="B12" s="7" t="s">
        <v>6</v>
      </c>
      <c r="D12">
        <v>8</v>
      </c>
      <c r="H12" s="7"/>
      <c r="J12" s="20"/>
      <c r="K12" s="20"/>
      <c r="N12" s="18" t="str">
        <f>H61</f>
        <v>Modtagebetaling affald</v>
      </c>
      <c r="O12" s="18" t="str">
        <f t="shared" si="2"/>
        <v>tkr</v>
      </c>
      <c r="P12" s="22">
        <f t="shared" si="2"/>
        <v>4648141.7507472299</v>
      </c>
      <c r="Q12" s="22">
        <f t="shared" si="2"/>
        <v>4648141.7507472299</v>
      </c>
      <c r="R12" s="23">
        <f t="shared" si="2"/>
        <v>0</v>
      </c>
    </row>
    <row r="13" spans="1:26" x14ac:dyDescent="0.25">
      <c r="A13" s="7" t="s">
        <v>7</v>
      </c>
      <c r="B13" s="7" t="s">
        <v>14</v>
      </c>
      <c r="D13">
        <v>25</v>
      </c>
      <c r="H13" s="9" t="s">
        <v>145</v>
      </c>
      <c r="J13" s="19" t="s">
        <v>51</v>
      </c>
      <c r="K13" s="19" t="str">
        <f>"Med "&amp;TEXT(RGKudnyttelse,"0%")&amp;" RGK"</f>
        <v>Med 100% RGK</v>
      </c>
      <c r="L13" s="5" t="s">
        <v>148</v>
      </c>
      <c r="N13" s="18"/>
      <c r="O13" s="18"/>
      <c r="P13" s="23"/>
      <c r="Q13" s="23"/>
      <c r="R13" s="23"/>
    </row>
    <row r="14" spans="1:26" x14ac:dyDescent="0.25">
      <c r="A14" s="7" t="s">
        <v>10</v>
      </c>
      <c r="C14" s="3">
        <v>0.84399999999999997</v>
      </c>
      <c r="D14" s="3">
        <v>0.65600000000000003</v>
      </c>
      <c r="H14" s="8" t="s">
        <v>63</v>
      </c>
      <c r="I14" s="7" t="s">
        <v>48</v>
      </c>
      <c r="J14" s="20">
        <f>MIN(Qdemand,K7,EtaQNomOvn3*Ftotal*Htotal/3.6)</f>
        <v>16740</v>
      </c>
      <c r="K14" s="20">
        <f>MIN(Qdemand,K9,EtaQmaxOvn3*Ftotal*Htotal/3.6)</f>
        <v>20832</v>
      </c>
      <c r="L14" s="16">
        <f>K14-J14</f>
        <v>4092</v>
      </c>
      <c r="N14" s="18" t="str">
        <f>H63</f>
        <v>Betaling bioaffald</v>
      </c>
      <c r="O14" s="18" t="str">
        <f t="shared" ref="O14:O19" si="3">I63</f>
        <v>tkr</v>
      </c>
      <c r="P14" s="23">
        <f t="shared" ref="P14:P19" si="4">J63</f>
        <v>0</v>
      </c>
      <c r="Q14" s="23">
        <f t="shared" ref="Q14:Q19" si="5">K63</f>
        <v>0</v>
      </c>
      <c r="R14" s="23">
        <f t="shared" ref="R14:R19" si="6">L63</f>
        <v>0</v>
      </c>
    </row>
    <row r="15" spans="1:26" x14ac:dyDescent="0.25">
      <c r="A15" s="7" t="s">
        <v>11</v>
      </c>
      <c r="C15" s="4">
        <f>$C$5*C11/C10*C14</f>
        <v>0.17768421052631578</v>
      </c>
      <c r="D15" s="4">
        <f>$C$5*D11/D10*D14</f>
        <v>0.16035555555555556</v>
      </c>
      <c r="H15" s="7" t="s">
        <v>66</v>
      </c>
      <c r="I15" s="7" t="s">
        <v>18</v>
      </c>
      <c r="J15" s="16">
        <f>$J$14/EtaQNomOvn3/(Htotal/3.6)</f>
        <v>8749.1289198606282</v>
      </c>
      <c r="K15" s="16">
        <f>$K$14/EtaQmaxOvn3/(Htotal/3.6)</f>
        <v>8749.1289198606282</v>
      </c>
      <c r="L15" s="16">
        <f t="shared" ref="L15:L55" si="7">K15-J15</f>
        <v>0</v>
      </c>
      <c r="N15" s="18" t="str">
        <f>H64</f>
        <v>DV-omkostninger</v>
      </c>
      <c r="O15" s="18" t="str">
        <f t="shared" si="3"/>
        <v>tkr</v>
      </c>
      <c r="P15" s="22">
        <f t="shared" si="4"/>
        <v>1049040</v>
      </c>
      <c r="Q15" s="22">
        <f t="shared" si="5"/>
        <v>1107810.8046975606</v>
      </c>
      <c r="R15" s="23">
        <f t="shared" si="6"/>
        <v>58770.804697560612</v>
      </c>
    </row>
    <row r="16" spans="1:26" x14ac:dyDescent="0.25">
      <c r="A16" s="7" t="s">
        <v>75</v>
      </c>
      <c r="C16" s="4">
        <f>SUM(C14:C15)</f>
        <v>1.0216842105263158</v>
      </c>
      <c r="D16" s="4">
        <f>SUM(D14:D15)</f>
        <v>0.81635555555555561</v>
      </c>
      <c r="H16" s="7" t="s">
        <v>64</v>
      </c>
      <c r="I16" s="7" t="s">
        <v>48</v>
      </c>
      <c r="J16" s="20">
        <f>Qdemand-J14</f>
        <v>18260</v>
      </c>
      <c r="K16" s="20">
        <f>Qdemand-K14</f>
        <v>14168</v>
      </c>
      <c r="L16" s="16">
        <f t="shared" si="7"/>
        <v>-4092</v>
      </c>
      <c r="N16" s="18" t="str">
        <f>H65</f>
        <v>Affaldvarme-afgift</v>
      </c>
      <c r="O16" s="18" t="str">
        <f t="shared" si="3"/>
        <v>tkr</v>
      </c>
      <c r="P16" s="22">
        <f t="shared" si="4"/>
        <v>2211287.04</v>
      </c>
      <c r="Q16" s="22">
        <f t="shared" si="5"/>
        <v>2729557.4400000004</v>
      </c>
      <c r="R16" s="23">
        <f t="shared" si="6"/>
        <v>518270.40000000037</v>
      </c>
    </row>
    <row r="17" spans="1:26" x14ac:dyDescent="0.25">
      <c r="A17" s="7" t="s">
        <v>12</v>
      </c>
      <c r="D17" s="1">
        <v>0.22470000000000001</v>
      </c>
      <c r="H17" s="7" t="s">
        <v>65</v>
      </c>
      <c r="I17" s="7" t="s">
        <v>18</v>
      </c>
      <c r="J17" s="20">
        <f>Ftotal-J15</f>
        <v>6250.8710801393718</v>
      </c>
      <c r="K17" s="20">
        <f>Ftotal-K15</f>
        <v>6250.8710801393718</v>
      </c>
      <c r="L17" s="16">
        <f t="shared" si="7"/>
        <v>0</v>
      </c>
      <c r="N17" s="18" t="str">
        <f>H66</f>
        <v>Tillægsafgift</v>
      </c>
      <c r="O17" s="18" t="str">
        <f t="shared" si="3"/>
        <v>tkr</v>
      </c>
      <c r="P17" s="23">
        <f t="shared" si="4"/>
        <v>2271283.2000000002</v>
      </c>
      <c r="Q17" s="23">
        <f t="shared" si="5"/>
        <v>2468551.6981097562</v>
      </c>
      <c r="R17" s="23">
        <f t="shared" si="6"/>
        <v>197268.49810975604</v>
      </c>
    </row>
    <row r="18" spans="1:26" x14ac:dyDescent="0.25">
      <c r="A18" s="7" t="s">
        <v>23</v>
      </c>
      <c r="B18" s="7" t="s">
        <v>24</v>
      </c>
      <c r="C18">
        <v>30</v>
      </c>
      <c r="D18">
        <v>50</v>
      </c>
      <c r="E18">
        <v>10</v>
      </c>
      <c r="F18">
        <v>10</v>
      </c>
      <c r="H18" s="8" t="s">
        <v>69</v>
      </c>
      <c r="I18" s="7" t="s">
        <v>48</v>
      </c>
      <c r="J18" s="20">
        <f>MIN(J16,NSvarme)</f>
        <v>4000</v>
      </c>
      <c r="K18" s="20">
        <f>MIN(K16,NSvarme)</f>
        <v>4000</v>
      </c>
      <c r="L18" s="16">
        <f t="shared" si="7"/>
        <v>0</v>
      </c>
      <c r="N18" s="18" t="str">
        <f>H67</f>
        <v>CO2-afgift</v>
      </c>
      <c r="O18" s="18" t="str">
        <f t="shared" si="3"/>
        <v>tkr</v>
      </c>
      <c r="P18" s="23">
        <f t="shared" si="4"/>
        <v>471719.80799999996</v>
      </c>
      <c r="Q18" s="23">
        <f t="shared" si="5"/>
        <v>512690.2418291159</v>
      </c>
      <c r="R18" s="23">
        <f t="shared" si="6"/>
        <v>40970.433829115937</v>
      </c>
    </row>
    <row r="19" spans="1:26" x14ac:dyDescent="0.25">
      <c r="A19" s="7"/>
      <c r="H19" s="7" t="s">
        <v>64</v>
      </c>
      <c r="I19" s="7" t="s">
        <v>48</v>
      </c>
      <c r="J19" s="20">
        <f>J16-J18</f>
        <v>14260</v>
      </c>
      <c r="K19" s="20">
        <f>K16-K18</f>
        <v>10168</v>
      </c>
      <c r="L19" s="16">
        <f t="shared" si="7"/>
        <v>-4092</v>
      </c>
      <c r="N19" s="18" t="str">
        <f>H68</f>
        <v>Kvote-omkostning</v>
      </c>
      <c r="O19" s="18" t="str">
        <f t="shared" si="3"/>
        <v>tkr</v>
      </c>
      <c r="P19" s="23">
        <f t="shared" si="4"/>
        <v>2093987.8587116271</v>
      </c>
      <c r="Q19" s="23">
        <f t="shared" si="5"/>
        <v>2093987.8587116271</v>
      </c>
      <c r="R19" s="23">
        <f t="shared" si="6"/>
        <v>0</v>
      </c>
    </row>
    <row r="20" spans="1:26" x14ac:dyDescent="0.25">
      <c r="A20" s="9" t="s">
        <v>16</v>
      </c>
      <c r="C20" s="6" t="s">
        <v>17</v>
      </c>
      <c r="D20" s="6" t="s">
        <v>19</v>
      </c>
      <c r="E20" s="6" t="s">
        <v>25</v>
      </c>
      <c r="H20" s="8" t="s">
        <v>70</v>
      </c>
      <c r="I20" s="7" t="s">
        <v>48</v>
      </c>
      <c r="J20" s="20">
        <f>MIN($J$19,J7,EtaQNomOvn2*(J17*Htotal)/3.6)</f>
        <v>7068</v>
      </c>
      <c r="K20" s="20">
        <f>MIN($K$19,J9,EtaQmaxOvn2*(K17*Htotal)/3.6)</f>
        <v>8556</v>
      </c>
      <c r="L20" s="16">
        <f t="shared" si="7"/>
        <v>1488</v>
      </c>
      <c r="N20" s="18"/>
      <c r="O20" s="18"/>
      <c r="P20" s="23"/>
      <c r="Q20" s="23"/>
      <c r="R20" s="23"/>
    </row>
    <row r="21" spans="1:26" x14ac:dyDescent="0.25">
      <c r="A21" s="28" t="s">
        <v>21</v>
      </c>
      <c r="B21" s="28" t="s">
        <v>22</v>
      </c>
      <c r="C21" s="29">
        <v>1</v>
      </c>
      <c r="D21" s="29">
        <v>1</v>
      </c>
      <c r="E21" s="30">
        <v>1</v>
      </c>
      <c r="H21" s="7" t="s">
        <v>66</v>
      </c>
      <c r="I21" s="7" t="s">
        <v>18</v>
      </c>
      <c r="J21" s="20">
        <f>$J$20/EtaQNomOvn2/(Htotal/3.6)</f>
        <v>2871.2254570074479</v>
      </c>
      <c r="K21" s="20">
        <f>$K$20/EtaQmaxOvn2/(Htotal/3.6)</f>
        <v>2871.2254570074479</v>
      </c>
      <c r="L21" s="16">
        <f t="shared" si="7"/>
        <v>0</v>
      </c>
      <c r="N21" s="9" t="s">
        <v>149</v>
      </c>
      <c r="P21" s="19"/>
      <c r="Q21" s="19"/>
      <c r="R21" s="16"/>
    </row>
    <row r="22" spans="1:26" x14ac:dyDescent="0.25">
      <c r="A22" s="7" t="s">
        <v>20</v>
      </c>
      <c r="B22" s="7" t="s">
        <v>18</v>
      </c>
      <c r="C22" s="14">
        <f>F22-BioTonnage</f>
        <v>15000</v>
      </c>
      <c r="D22">
        <v>0</v>
      </c>
      <c r="E22">
        <v>4000</v>
      </c>
      <c r="F22">
        <v>15000</v>
      </c>
      <c r="H22" s="7" t="s">
        <v>64</v>
      </c>
      <c r="I22" s="7" t="s">
        <v>48</v>
      </c>
      <c r="J22" s="20">
        <f>J19-J20</f>
        <v>7192</v>
      </c>
      <c r="K22" s="20">
        <f>K19-K20</f>
        <v>1612</v>
      </c>
      <c r="L22" s="16">
        <f t="shared" si="7"/>
        <v>-5580</v>
      </c>
      <c r="N22" s="7" t="str">
        <f>H40</f>
        <v>Varmeproduktion Ovn2</v>
      </c>
      <c r="O22" s="7" t="s">
        <v>48</v>
      </c>
      <c r="P22" s="16">
        <f>J40</f>
        <v>7068</v>
      </c>
      <c r="Q22" s="16">
        <f>K40</f>
        <v>8556</v>
      </c>
      <c r="R22" s="16">
        <f>Q22-P22</f>
        <v>1488</v>
      </c>
    </row>
    <row r="23" spans="1:26" x14ac:dyDescent="0.25">
      <c r="A23" s="7" t="s">
        <v>62</v>
      </c>
      <c r="C23" s="2">
        <f>C22/SUM($C$22:$D$22)</f>
        <v>1</v>
      </c>
      <c r="D23" s="2">
        <f>D22/SUM($C$22:$D$22)</f>
        <v>0</v>
      </c>
      <c r="H23" s="7" t="s">
        <v>65</v>
      </c>
      <c r="I23" s="7" t="s">
        <v>18</v>
      </c>
      <c r="J23" s="20">
        <f>J17-J21</f>
        <v>3379.6456231319239</v>
      </c>
      <c r="K23" s="20">
        <f>K17-K21</f>
        <v>3379.6456231319239</v>
      </c>
      <c r="L23" s="16">
        <f t="shared" si="7"/>
        <v>0</v>
      </c>
      <c r="N23" s="7" t="str">
        <f>H41</f>
        <v>Varmeproduktion Ovn3</v>
      </c>
      <c r="O23" s="7" t="s">
        <v>48</v>
      </c>
      <c r="P23" s="16">
        <f>J41</f>
        <v>16740</v>
      </c>
      <c r="Q23" s="16">
        <f>K41</f>
        <v>20832</v>
      </c>
      <c r="R23" s="16">
        <f t="shared" ref="R23:R27" si="8">Q23-P23</f>
        <v>4092</v>
      </c>
    </row>
    <row r="24" spans="1:26" x14ac:dyDescent="0.25">
      <c r="A24" s="7" t="s">
        <v>45</v>
      </c>
      <c r="B24" s="7" t="s">
        <v>29</v>
      </c>
      <c r="C24">
        <v>400</v>
      </c>
      <c r="D24">
        <f>-6.5*3.6</f>
        <v>-23.400000000000002</v>
      </c>
      <c r="E24">
        <v>0</v>
      </c>
      <c r="H24" s="8" t="s">
        <v>73</v>
      </c>
      <c r="I24" s="7" t="s">
        <v>48</v>
      </c>
      <c r="J24" s="20">
        <f>J14+J20</f>
        <v>23808</v>
      </c>
      <c r="K24" s="20">
        <f>K14+K20</f>
        <v>29388</v>
      </c>
      <c r="L24" s="16">
        <f t="shared" si="7"/>
        <v>5580</v>
      </c>
      <c r="N24" s="7" t="str">
        <f>H43</f>
        <v>Heraf RGK-varme</v>
      </c>
      <c r="O24" s="7" t="s">
        <v>48</v>
      </c>
      <c r="P24" s="16">
        <f>J43</f>
        <v>0</v>
      </c>
      <c r="Q24" s="16">
        <f>K43</f>
        <v>5877.080469756057</v>
      </c>
      <c r="R24" s="16">
        <f t="shared" si="8"/>
        <v>5877.080469756057</v>
      </c>
    </row>
    <row r="25" spans="1:26" x14ac:dyDescent="0.25">
      <c r="A25" s="7" t="s">
        <v>34</v>
      </c>
      <c r="B25" s="7" t="s">
        <v>35</v>
      </c>
      <c r="C25">
        <v>10.5</v>
      </c>
      <c r="D25">
        <v>14</v>
      </c>
      <c r="E25">
        <v>3.6</v>
      </c>
      <c r="H25" s="8" t="s">
        <v>74</v>
      </c>
      <c r="I25" s="7" t="s">
        <v>48</v>
      </c>
      <c r="J25" s="20">
        <f>J22</f>
        <v>7192</v>
      </c>
      <c r="K25" s="20">
        <f>K22</f>
        <v>1612</v>
      </c>
      <c r="L25" s="16">
        <f t="shared" si="7"/>
        <v>-5580</v>
      </c>
      <c r="N25" s="7" t="str">
        <f>H34</f>
        <v>Bortkølet varme</v>
      </c>
      <c r="O25" s="7" t="s">
        <v>48</v>
      </c>
      <c r="P25" s="16">
        <f>J34</f>
        <v>0</v>
      </c>
      <c r="Q25" s="16">
        <f>K34</f>
        <v>0</v>
      </c>
      <c r="R25" s="16">
        <f t="shared" si="8"/>
        <v>0</v>
      </c>
      <c r="T25" s="24" t="str">
        <f>"Varmemængder: "&amp;C22&amp;" ton affald, "&amp;D22&amp;" ton bioaffald"</f>
        <v>Varmemængder: 15000 ton affald, 0 ton bioaffald</v>
      </c>
      <c r="U25" s="12"/>
      <c r="V25" s="12"/>
      <c r="W25" s="12"/>
      <c r="X25" s="12"/>
      <c r="Y25" s="12"/>
      <c r="Z25" s="12"/>
    </row>
    <row r="26" spans="1:26" x14ac:dyDescent="0.25">
      <c r="A26" s="7" t="s">
        <v>42</v>
      </c>
      <c r="B26" s="7" t="s">
        <v>40</v>
      </c>
      <c r="C26">
        <v>37</v>
      </c>
      <c r="D26">
        <v>0</v>
      </c>
      <c r="E26">
        <v>0</v>
      </c>
      <c r="H26" s="7" t="s">
        <v>104</v>
      </c>
      <c r="I26" s="7" t="s">
        <v>48</v>
      </c>
      <c r="J26" s="16">
        <f>$J$7-$J$20</f>
        <v>0</v>
      </c>
      <c r="K26" s="16">
        <f>J26</f>
        <v>0</v>
      </c>
      <c r="L26" s="16">
        <f t="shared" si="7"/>
        <v>0</v>
      </c>
      <c r="N26" s="7" t="str">
        <f>H46</f>
        <v>Leveret varme</v>
      </c>
      <c r="O26" s="7" t="s">
        <v>48</v>
      </c>
      <c r="P26" s="16">
        <f>J46</f>
        <v>23808</v>
      </c>
      <c r="Q26" s="16">
        <f>K46</f>
        <v>29388</v>
      </c>
      <c r="R26" s="16">
        <f t="shared" si="8"/>
        <v>5580</v>
      </c>
    </row>
    <row r="27" spans="1:26" x14ac:dyDescent="0.25">
      <c r="A27" s="7" t="s">
        <v>43</v>
      </c>
      <c r="B27" s="7" t="s">
        <v>40</v>
      </c>
      <c r="C27">
        <v>42.5</v>
      </c>
      <c r="D27">
        <v>0</v>
      </c>
      <c r="E27">
        <v>0</v>
      </c>
      <c r="H27" s="7" t="s">
        <v>105</v>
      </c>
      <c r="I27" s="7" t="s">
        <v>48</v>
      </c>
      <c r="J27" s="16">
        <f>$K$7-$J$14</f>
        <v>0</v>
      </c>
      <c r="K27" s="16">
        <f>J27</f>
        <v>0</v>
      </c>
      <c r="L27" s="16">
        <f t="shared" si="7"/>
        <v>0</v>
      </c>
      <c r="N27" s="7" t="str">
        <f>H47</f>
        <v>Spidslastvarme</v>
      </c>
      <c r="O27" s="7" t="s">
        <v>48</v>
      </c>
      <c r="P27" s="16">
        <f>J47</f>
        <v>11192</v>
      </c>
      <c r="Q27" s="16">
        <f>K47</f>
        <v>5612</v>
      </c>
      <c r="R27" s="16">
        <f t="shared" si="8"/>
        <v>-5580</v>
      </c>
    </row>
    <row r="28" spans="1:26" x14ac:dyDescent="0.25">
      <c r="A28" s="7" t="s">
        <v>146</v>
      </c>
      <c r="B28" s="7" t="s">
        <v>35</v>
      </c>
      <c r="C28">
        <v>10.6</v>
      </c>
      <c r="D28">
        <v>0</v>
      </c>
      <c r="E28">
        <v>0</v>
      </c>
      <c r="H28" s="7" t="s">
        <v>107</v>
      </c>
      <c r="I28" s="7" t="s">
        <v>48</v>
      </c>
      <c r="J28" s="16">
        <f>MIN(J27,EtaQNomOvn3*J23*Htotal/3.6,24*E9*KapQcool)</f>
        <v>0</v>
      </c>
      <c r="K28" s="16">
        <f>MIN(K27,EtaQNomOvn3*K23*Htotal/3.6,24*E9*KapQcool)</f>
        <v>0</v>
      </c>
      <c r="L28" s="16">
        <f t="shared" si="7"/>
        <v>0</v>
      </c>
      <c r="N28" s="7"/>
      <c r="P28" s="23"/>
      <c r="Q28" s="23"/>
      <c r="R28" s="16"/>
    </row>
    <row r="29" spans="1:26" x14ac:dyDescent="0.25">
      <c r="A29" s="9" t="s">
        <v>26</v>
      </c>
      <c r="H29" s="7" t="s">
        <v>108</v>
      </c>
      <c r="I29" s="7" t="s">
        <v>18</v>
      </c>
      <c r="J29" s="16">
        <f>J28/EtaQNomOvn3/(Htotal/3.6)</f>
        <v>0</v>
      </c>
      <c r="K29" s="16">
        <f>K28/EtaQNomOvn3/(Htotal/3.6)</f>
        <v>0</v>
      </c>
      <c r="L29" s="16">
        <f t="shared" si="7"/>
        <v>0</v>
      </c>
      <c r="N29" s="9" t="s">
        <v>163</v>
      </c>
      <c r="R29" s="16"/>
    </row>
    <row r="30" spans="1:26" x14ac:dyDescent="0.25">
      <c r="A30" s="7" t="s">
        <v>33</v>
      </c>
      <c r="B30" s="7" t="s">
        <v>28</v>
      </c>
      <c r="C30">
        <v>311</v>
      </c>
      <c r="H30" s="7" t="s">
        <v>65</v>
      </c>
      <c r="I30" s="7" t="s">
        <v>18</v>
      </c>
      <c r="J30" s="16">
        <f>J23-J29</f>
        <v>3379.6456231319239</v>
      </c>
      <c r="K30" s="16">
        <f>K23-K29</f>
        <v>3379.6456231319239</v>
      </c>
      <c r="L30" s="16">
        <f t="shared" si="7"/>
        <v>0</v>
      </c>
      <c r="N30" s="7" t="s">
        <v>158</v>
      </c>
      <c r="O30" s="7" t="s">
        <v>18</v>
      </c>
      <c r="P30" s="16">
        <f>J15</f>
        <v>8749.1289198606282</v>
      </c>
      <c r="Q30" s="16">
        <f>K15</f>
        <v>8749.1289198606282</v>
      </c>
      <c r="R30" s="16">
        <f>Q30-P30</f>
        <v>0</v>
      </c>
    </row>
    <row r="31" spans="1:26" x14ac:dyDescent="0.25">
      <c r="A31" s="7" t="s">
        <v>30</v>
      </c>
      <c r="B31" s="7" t="s">
        <v>31</v>
      </c>
      <c r="C31">
        <v>800</v>
      </c>
      <c r="H31" s="7" t="s">
        <v>106</v>
      </c>
      <c r="I31" s="7" t="s">
        <v>48</v>
      </c>
      <c r="J31" s="16">
        <f>MIN(J26,EtaQNomOvn3*J30*Htotal/3.6,24*E9*KapQcool-J28)</f>
        <v>0</v>
      </c>
      <c r="K31" s="16">
        <f>MIN(K26,EtaQNomOvn3*K30*Htotal/3.6,24*E9*KapQcool-K28)</f>
        <v>0</v>
      </c>
      <c r="L31" s="16">
        <f t="shared" si="7"/>
        <v>0</v>
      </c>
      <c r="N31" s="7" t="s">
        <v>159</v>
      </c>
      <c r="O31" s="7" t="s">
        <v>48</v>
      </c>
      <c r="P31" s="16">
        <f>J18</f>
        <v>4000</v>
      </c>
      <c r="Q31" s="16">
        <f>K18</f>
        <v>4000</v>
      </c>
      <c r="R31" s="16">
        <f t="shared" ref="R31:R36" si="9">Q31-P31</f>
        <v>0</v>
      </c>
    </row>
    <row r="32" spans="1:26" x14ac:dyDescent="0.25">
      <c r="A32" s="7" t="s">
        <v>46</v>
      </c>
      <c r="B32" s="7" t="s">
        <v>31</v>
      </c>
      <c r="C32">
        <v>4</v>
      </c>
      <c r="H32" s="7" t="s">
        <v>109</v>
      </c>
      <c r="I32" s="7" t="s">
        <v>18</v>
      </c>
      <c r="J32" s="16">
        <f>J31/EtaQNomOvn2/(Htotal/3.6)</f>
        <v>0</v>
      </c>
      <c r="K32" s="16">
        <f>K31/EtaQNomOvn2/(Htotal/3.6)</f>
        <v>0</v>
      </c>
      <c r="L32" s="16">
        <f t="shared" si="7"/>
        <v>0</v>
      </c>
      <c r="N32" s="7" t="s">
        <v>160</v>
      </c>
      <c r="O32" s="7" t="s">
        <v>18</v>
      </c>
      <c r="P32" s="16">
        <f>J21</f>
        <v>2871.2254570074479</v>
      </c>
      <c r="Q32" s="16">
        <f>K21</f>
        <v>2871.2254570074479</v>
      </c>
      <c r="R32" s="16">
        <f t="shared" si="9"/>
        <v>0</v>
      </c>
    </row>
    <row r="33" spans="1:26" x14ac:dyDescent="0.25">
      <c r="A33" s="7" t="s">
        <v>32</v>
      </c>
      <c r="B33" s="7" t="s">
        <v>44</v>
      </c>
      <c r="C33">
        <v>400</v>
      </c>
      <c r="H33" s="7" t="s">
        <v>65</v>
      </c>
      <c r="I33" s="7" t="s">
        <v>18</v>
      </c>
      <c r="J33" s="16">
        <f>J30-J32</f>
        <v>3379.6456231319239</v>
      </c>
      <c r="K33" s="16">
        <f>K30-K32</f>
        <v>3379.6456231319239</v>
      </c>
      <c r="L33" s="16">
        <f t="shared" si="7"/>
        <v>0</v>
      </c>
      <c r="N33" s="7" t="s">
        <v>108</v>
      </c>
      <c r="O33" s="7" t="s">
        <v>18</v>
      </c>
      <c r="P33" s="16">
        <f>J29</f>
        <v>0</v>
      </c>
      <c r="Q33" s="16">
        <f>K29</f>
        <v>0</v>
      </c>
      <c r="R33" s="16">
        <f t="shared" si="9"/>
        <v>0</v>
      </c>
    </row>
    <row r="34" spans="1:26" x14ac:dyDescent="0.25">
      <c r="A34" s="7" t="s">
        <v>36</v>
      </c>
      <c r="B34" s="7" t="s">
        <v>41</v>
      </c>
      <c r="C34">
        <v>25.8</v>
      </c>
      <c r="H34" s="7" t="s">
        <v>52</v>
      </c>
      <c r="I34" s="7" t="s">
        <v>48</v>
      </c>
      <c r="J34" s="16">
        <f>J28+J31</f>
        <v>0</v>
      </c>
      <c r="K34" s="16">
        <f>K28+K31</f>
        <v>0</v>
      </c>
      <c r="L34" s="16">
        <f t="shared" si="7"/>
        <v>0</v>
      </c>
      <c r="N34" s="7" t="s">
        <v>109</v>
      </c>
      <c r="O34" s="7" t="s">
        <v>18</v>
      </c>
      <c r="P34" s="16">
        <f>J32</f>
        <v>0</v>
      </c>
      <c r="Q34" s="16">
        <f>K32</f>
        <v>0</v>
      </c>
      <c r="R34" s="16">
        <f t="shared" si="9"/>
        <v>0</v>
      </c>
    </row>
    <row r="35" spans="1:26" x14ac:dyDescent="0.25">
      <c r="A35" s="7" t="s">
        <v>37</v>
      </c>
      <c r="B35" s="7" t="s">
        <v>41</v>
      </c>
      <c r="C35">
        <v>31.8</v>
      </c>
      <c r="H35" s="7" t="s">
        <v>124</v>
      </c>
      <c r="I35" s="7" t="s">
        <v>18</v>
      </c>
      <c r="J35" s="16">
        <f>SUM($C$22:$D$22)-J36</f>
        <v>11620.354376868076</v>
      </c>
      <c r="K35" s="16">
        <f>SUM($C$22:$D$22)-K36</f>
        <v>11620.354376868076</v>
      </c>
      <c r="L35" s="16">
        <f t="shared" si="7"/>
        <v>0</v>
      </c>
      <c r="N35" s="7" t="s">
        <v>162</v>
      </c>
      <c r="O35" s="7" t="s">
        <v>18</v>
      </c>
      <c r="P35" s="16">
        <f>P30+SUM(P32:P34)</f>
        <v>11620.354376868076</v>
      </c>
      <c r="Q35" s="16">
        <f>Q30+SUM(Q32:Q34)</f>
        <v>11620.354376868076</v>
      </c>
      <c r="R35" s="16">
        <f t="shared" si="9"/>
        <v>0</v>
      </c>
    </row>
    <row r="36" spans="1:26" x14ac:dyDescent="0.25">
      <c r="A36" s="7" t="s">
        <v>38</v>
      </c>
      <c r="B36" s="7" t="s">
        <v>44</v>
      </c>
      <c r="C36">
        <v>178.5</v>
      </c>
      <c r="H36" s="7" t="s">
        <v>125</v>
      </c>
      <c r="I36" s="7" t="s">
        <v>18</v>
      </c>
      <c r="J36" s="20">
        <f>J23</f>
        <v>3379.6456231319239</v>
      </c>
      <c r="K36" s="20">
        <f>K23</f>
        <v>3379.6456231319239</v>
      </c>
      <c r="L36" s="16">
        <f t="shared" si="7"/>
        <v>0</v>
      </c>
      <c r="N36" s="7" t="s">
        <v>161</v>
      </c>
      <c r="O36" s="7" t="s">
        <v>18</v>
      </c>
      <c r="P36" s="20">
        <f>J36</f>
        <v>3379.6456231319239</v>
      </c>
      <c r="Q36" s="20">
        <f>K36</f>
        <v>3379.6456231319239</v>
      </c>
      <c r="R36" s="16">
        <f t="shared" si="9"/>
        <v>0</v>
      </c>
    </row>
    <row r="37" spans="1:26" x14ac:dyDescent="0.25">
      <c r="H37" t="s">
        <v>53</v>
      </c>
      <c r="I37" s="7" t="s">
        <v>56</v>
      </c>
      <c r="J37" s="16">
        <f>EtaE*(J15+J29)*Htotal/3.6</f>
        <v>5733.9603658536589</v>
      </c>
      <c r="K37" s="16">
        <f>EtaE*(K15+K29)*Htotal/3.6</f>
        <v>5733.9603658536589</v>
      </c>
      <c r="L37" s="16">
        <f t="shared" si="7"/>
        <v>0</v>
      </c>
      <c r="R37" s="16"/>
    </row>
    <row r="38" spans="1:26" x14ac:dyDescent="0.25">
      <c r="A38" s="9" t="s">
        <v>39</v>
      </c>
      <c r="H38" t="s">
        <v>7</v>
      </c>
      <c r="I38" s="7" t="s">
        <v>56</v>
      </c>
      <c r="J38" s="16">
        <f>$D$9*$D$13</f>
        <v>775</v>
      </c>
      <c r="K38" s="16">
        <f>$D$9*$D$13</f>
        <v>775</v>
      </c>
      <c r="L38" s="16">
        <f t="shared" si="7"/>
        <v>0</v>
      </c>
      <c r="N38" s="9" t="s">
        <v>164</v>
      </c>
      <c r="R38" s="16"/>
    </row>
    <row r="39" spans="1:26" x14ac:dyDescent="0.25">
      <c r="A39" s="7" t="s">
        <v>47</v>
      </c>
      <c r="B39" s="7" t="s">
        <v>48</v>
      </c>
      <c r="C39">
        <v>35000</v>
      </c>
      <c r="H39" t="s">
        <v>54</v>
      </c>
      <c r="I39" s="7" t="s">
        <v>56</v>
      </c>
      <c r="J39" s="16">
        <f>J37-J38</f>
        <v>4958.9603658536589</v>
      </c>
      <c r="K39" s="16">
        <f>K37-K38</f>
        <v>4958.9603658536589</v>
      </c>
      <c r="L39" s="16">
        <f t="shared" si="7"/>
        <v>0</v>
      </c>
      <c r="N39" s="7" t="s">
        <v>165</v>
      </c>
      <c r="P39" s="2">
        <f>(P30+P33)/$K$11</f>
        <v>1</v>
      </c>
      <c r="Q39" s="2">
        <f>(Q30+Q33)/$K$11</f>
        <v>1</v>
      </c>
      <c r="R39" s="2">
        <f>Q39-P39</f>
        <v>0</v>
      </c>
    </row>
    <row r="40" spans="1:26" x14ac:dyDescent="0.25">
      <c r="A40" s="7" t="s">
        <v>68</v>
      </c>
      <c r="B40" s="7" t="s">
        <v>18</v>
      </c>
      <c r="C40" s="14">
        <f>SUM(C22:D22)</f>
        <v>15000</v>
      </c>
      <c r="H40" t="s">
        <v>120</v>
      </c>
      <c r="I40" s="7" t="s">
        <v>48</v>
      </c>
      <c r="J40" s="16">
        <f>J20+J31</f>
        <v>7068</v>
      </c>
      <c r="K40" s="16">
        <f>K20+K31</f>
        <v>8556</v>
      </c>
      <c r="L40" s="16">
        <f t="shared" si="7"/>
        <v>1488</v>
      </c>
      <c r="N40" s="7" t="s">
        <v>166</v>
      </c>
      <c r="P40" s="2">
        <f>(P32+P34)/$J$11</f>
        <v>1</v>
      </c>
      <c r="Q40" s="2">
        <f>(Q32+Q34)/$J$11</f>
        <v>1</v>
      </c>
      <c r="R40" s="2">
        <f t="shared" ref="R40:R41" si="10">Q40-P40</f>
        <v>0</v>
      </c>
    </row>
    <row r="41" spans="1:26" x14ac:dyDescent="0.25">
      <c r="A41" s="7" t="s">
        <v>67</v>
      </c>
      <c r="B41" s="7" t="s">
        <v>35</v>
      </c>
      <c r="C41" s="15">
        <f>(C22*LHVaffald+D22*LHVbioaffald)/Ftotal</f>
        <v>10.5</v>
      </c>
      <c r="D41" s="13">
        <f>Htotal/3.6</f>
        <v>2.9166666666666665</v>
      </c>
      <c r="H41" t="s">
        <v>121</v>
      </c>
      <c r="I41" s="7" t="s">
        <v>48</v>
      </c>
      <c r="J41" s="16">
        <f>J14+J28</f>
        <v>16740</v>
      </c>
      <c r="K41" s="16">
        <f>K14+K28</f>
        <v>20832</v>
      </c>
      <c r="L41" s="16">
        <f t="shared" si="7"/>
        <v>4092</v>
      </c>
      <c r="N41" s="7" t="s">
        <v>167</v>
      </c>
      <c r="P41" s="2">
        <f>P25/(24*$E$9*KapQcool)</f>
        <v>0</v>
      </c>
      <c r="Q41" s="2">
        <f>Q25/(24*$E$9*KapQcool)</f>
        <v>0</v>
      </c>
      <c r="R41" s="2">
        <f t="shared" si="10"/>
        <v>0</v>
      </c>
    </row>
    <row r="42" spans="1:26" x14ac:dyDescent="0.25">
      <c r="A42" s="7"/>
      <c r="H42" t="s">
        <v>116</v>
      </c>
      <c r="I42" s="7" t="s">
        <v>48</v>
      </c>
      <c r="J42" s="16">
        <f>SUM(J40:J41)</f>
        <v>23808</v>
      </c>
      <c r="K42" s="16">
        <f>SUM(K40:K41)</f>
        <v>29388</v>
      </c>
      <c r="L42" s="16">
        <f t="shared" si="7"/>
        <v>5580</v>
      </c>
      <c r="R42" s="16"/>
    </row>
    <row r="43" spans="1:26" x14ac:dyDescent="0.25">
      <c r="H43" s="7" t="s">
        <v>122</v>
      </c>
      <c r="I43" s="7" t="s">
        <v>48</v>
      </c>
      <c r="J43" s="16">
        <v>0</v>
      </c>
      <c r="K43" s="16">
        <f>(EtaRgkOvn2*K15+EtaRgkOvn3*K21)*Htotal/3.6</f>
        <v>5877.080469756057</v>
      </c>
      <c r="L43" s="16">
        <f t="shared" si="7"/>
        <v>5877.080469756057</v>
      </c>
      <c r="N43" s="7"/>
      <c r="R43" s="16"/>
    </row>
    <row r="44" spans="1:26" x14ac:dyDescent="0.25">
      <c r="H44" s="7" t="s">
        <v>135</v>
      </c>
      <c r="J44" s="16">
        <v>0</v>
      </c>
      <c r="K44" s="2">
        <f>K43/K45</f>
        <v>0.16733349757634497</v>
      </c>
      <c r="L44" s="16">
        <f t="shared" si="7"/>
        <v>0.16733349757634497</v>
      </c>
      <c r="N44" s="7"/>
      <c r="Q44" s="2"/>
      <c r="R44" s="16"/>
    </row>
    <row r="45" spans="1:26" x14ac:dyDescent="0.25">
      <c r="H45" t="s">
        <v>114</v>
      </c>
      <c r="I45" s="7" t="s">
        <v>115</v>
      </c>
      <c r="J45" s="16">
        <f>J42+J37</f>
        <v>29541.960365853658</v>
      </c>
      <c r="K45" s="16">
        <f>K42+K37</f>
        <v>35121.960365853658</v>
      </c>
      <c r="L45" s="16">
        <f t="shared" si="7"/>
        <v>5580</v>
      </c>
      <c r="R45" s="16"/>
    </row>
    <row r="46" spans="1:26" x14ac:dyDescent="0.25">
      <c r="H46" t="s">
        <v>117</v>
      </c>
      <c r="I46" s="7" t="s">
        <v>48</v>
      </c>
      <c r="J46" s="16">
        <f>J42-J34</f>
        <v>23808</v>
      </c>
      <c r="K46" s="16">
        <f>K42-K34</f>
        <v>29388</v>
      </c>
      <c r="L46" s="16">
        <f t="shared" si="7"/>
        <v>5580</v>
      </c>
      <c r="R46" s="16"/>
    </row>
    <row r="47" spans="1:26" x14ac:dyDescent="0.25">
      <c r="H47" t="s">
        <v>142</v>
      </c>
      <c r="I47" s="7" t="s">
        <v>48</v>
      </c>
      <c r="J47" s="16">
        <f>Qdemand-J46</f>
        <v>11192</v>
      </c>
      <c r="K47" s="16">
        <f>Qdemand-K46</f>
        <v>5612</v>
      </c>
      <c r="L47" s="16">
        <f t="shared" si="7"/>
        <v>-5580</v>
      </c>
      <c r="R47" s="16"/>
      <c r="T47" s="24" t="str">
        <f>"Økonomiske nøgletal: "&amp;C22&amp;" ton affald, "&amp;D22&amp;" ton bioaffald"</f>
        <v>Økonomiske nøgletal: 15000 ton affald, 0 ton bioaffald</v>
      </c>
      <c r="U47" s="11"/>
      <c r="V47" s="11"/>
      <c r="W47" s="11"/>
      <c r="X47" s="11"/>
      <c r="Y47" s="11"/>
      <c r="Z47" s="11"/>
    </row>
    <row r="48" spans="1:26" x14ac:dyDescent="0.25">
      <c r="H48" s="5" t="s">
        <v>129</v>
      </c>
      <c r="L48" s="16"/>
      <c r="N48" s="5"/>
      <c r="R48" s="16"/>
    </row>
    <row r="49" spans="8:18" x14ac:dyDescent="0.25">
      <c r="H49" t="s">
        <v>131</v>
      </c>
      <c r="I49" s="7" t="s">
        <v>60</v>
      </c>
      <c r="J49" s="16">
        <f>J$35*$C$23*LHVaffald/3.6</f>
        <v>33892.70026586522</v>
      </c>
      <c r="K49" s="16">
        <f>K$35*$C$23*LHVaffald/3.6</f>
        <v>33892.70026586522</v>
      </c>
      <c r="L49" s="16">
        <f t="shared" si="7"/>
        <v>0</v>
      </c>
      <c r="R49" s="16"/>
    </row>
    <row r="50" spans="8:18" x14ac:dyDescent="0.25">
      <c r="H50" t="s">
        <v>132</v>
      </c>
      <c r="I50" s="7" t="s">
        <v>60</v>
      </c>
      <c r="J50" s="16">
        <f>J$35*AndelBioaffald*LHVbioaffald/3.6</f>
        <v>0</v>
      </c>
      <c r="K50" s="16">
        <f>K$35*AndelBioaffald*LHVbioaffald/3.6</f>
        <v>0</v>
      </c>
      <c r="L50" s="16">
        <f t="shared" si="7"/>
        <v>0</v>
      </c>
      <c r="R50" s="16"/>
    </row>
    <row r="51" spans="8:18" x14ac:dyDescent="0.25">
      <c r="H51" t="s">
        <v>130</v>
      </c>
      <c r="I51" s="7" t="s">
        <v>115</v>
      </c>
      <c r="J51" s="16">
        <f>J45/0.85 - J50</f>
        <v>34755.247489239599</v>
      </c>
      <c r="K51" s="16">
        <f>K45/0.95 - K50</f>
        <v>36970.484595635433</v>
      </c>
      <c r="L51" s="16">
        <f t="shared" si="7"/>
        <v>2215.2371063958344</v>
      </c>
      <c r="R51" s="16"/>
    </row>
    <row r="52" spans="8:18" x14ac:dyDescent="0.25">
      <c r="H52" t="s">
        <v>136</v>
      </c>
      <c r="I52" s="7" t="s">
        <v>48</v>
      </c>
      <c r="J52" s="16">
        <f>J42*J51/(J51+J50)</f>
        <v>23808</v>
      </c>
      <c r="K52" s="16">
        <f>K42*K51/(K51+K50)</f>
        <v>29388</v>
      </c>
      <c r="L52" s="16">
        <f t="shared" si="7"/>
        <v>5580</v>
      </c>
      <c r="R52" s="16"/>
    </row>
    <row r="53" spans="8:18" x14ac:dyDescent="0.25">
      <c r="H53" t="s">
        <v>133</v>
      </c>
      <c r="I53" s="7" t="s">
        <v>56</v>
      </c>
      <c r="J53" s="16">
        <f>J37*J51/(J51+J50)</f>
        <v>5733.9603658536589</v>
      </c>
      <c r="K53" s="16">
        <f>K37*K51/(K51+K50)</f>
        <v>5733.9603658536589</v>
      </c>
      <c r="L53" s="16">
        <f t="shared" si="7"/>
        <v>0</v>
      </c>
      <c r="R53" s="16"/>
    </row>
    <row r="54" spans="8:18" x14ac:dyDescent="0.25">
      <c r="H54" t="s">
        <v>134</v>
      </c>
      <c r="I54" s="7" t="s">
        <v>48</v>
      </c>
      <c r="J54" s="16">
        <f>J52/1.2</f>
        <v>19840</v>
      </c>
      <c r="K54" s="16">
        <f>(K52-0.1*(K52+K53))/1.2</f>
        <v>21563.169969512197</v>
      </c>
      <c r="L54" s="16">
        <f t="shared" si="7"/>
        <v>1723.169969512197</v>
      </c>
      <c r="R54" s="16"/>
    </row>
    <row r="55" spans="8:18" x14ac:dyDescent="0.25">
      <c r="H55" t="s">
        <v>137</v>
      </c>
      <c r="I55" s="7" t="s">
        <v>48</v>
      </c>
      <c r="J55" s="16">
        <f>J54</f>
        <v>19840</v>
      </c>
      <c r="K55" s="16">
        <f>K54</f>
        <v>21563.169969512197</v>
      </c>
      <c r="L55" s="16">
        <f t="shared" si="7"/>
        <v>1723.169969512197</v>
      </c>
      <c r="R55" s="16"/>
    </row>
    <row r="57" spans="8:18" x14ac:dyDescent="0.25">
      <c r="H57" s="5" t="s">
        <v>110</v>
      </c>
      <c r="I57" s="10"/>
      <c r="J57" s="19" t="str">
        <f>J13</f>
        <v>Uden RGK</v>
      </c>
      <c r="K57" s="19" t="str">
        <f>K13</f>
        <v>Med 100% RGK</v>
      </c>
      <c r="L57" s="5" t="s">
        <v>148</v>
      </c>
      <c r="N57" s="5"/>
      <c r="O57" s="10"/>
      <c r="P57" s="19"/>
      <c r="Q57" s="19"/>
      <c r="R57" s="5"/>
    </row>
    <row r="58" spans="8:18" x14ac:dyDescent="0.25">
      <c r="H58" s="18" t="s">
        <v>27</v>
      </c>
      <c r="I58" s="18" t="s">
        <v>147</v>
      </c>
      <c r="J58" s="22">
        <f>Varmesalgspris*J46</f>
        <v>7404288</v>
      </c>
      <c r="K58" s="22">
        <f>Varmesalgspris*K46</f>
        <v>9139668</v>
      </c>
      <c r="L58" s="23">
        <f>K58-J58</f>
        <v>1735380</v>
      </c>
      <c r="N58" s="18"/>
      <c r="O58" s="18"/>
      <c r="P58" s="22"/>
      <c r="Q58" s="22"/>
      <c r="R58" s="23"/>
    </row>
    <row r="59" spans="8:18" x14ac:dyDescent="0.25">
      <c r="H59" s="18" t="s">
        <v>112</v>
      </c>
      <c r="I59" s="18" t="s">
        <v>147</v>
      </c>
      <c r="J59" s="22">
        <f>(Elpris-ElprodTarif)*J39</f>
        <v>3947332.4512195126</v>
      </c>
      <c r="K59" s="22">
        <f>(Elpris-ElprodTarif)*K39</f>
        <v>3947332.4512195126</v>
      </c>
      <c r="L59" s="23">
        <f t="shared" ref="L59:L72" si="11">K59-J59</f>
        <v>0</v>
      </c>
      <c r="N59" s="18"/>
      <c r="O59" s="18"/>
      <c r="P59" s="22"/>
      <c r="Q59" s="22"/>
      <c r="R59" s="23"/>
    </row>
    <row r="60" spans="8:18" x14ac:dyDescent="0.25">
      <c r="H60" s="18" t="s">
        <v>113</v>
      </c>
      <c r="I60" s="18" t="s">
        <v>147</v>
      </c>
      <c r="J60" s="22">
        <v>0</v>
      </c>
      <c r="K60" s="22">
        <f>IF(K43&lt;7%*K45,0,10%)*K66</f>
        <v>246855.16981097564</v>
      </c>
      <c r="L60" s="23">
        <f t="shared" si="11"/>
        <v>246855.16981097564</v>
      </c>
      <c r="N60" s="18"/>
      <c r="O60" s="18"/>
      <c r="P60" s="22"/>
      <c r="Q60" s="22"/>
      <c r="R60" s="23"/>
    </row>
    <row r="61" spans="8:18" x14ac:dyDescent="0.25">
      <c r="H61" s="18" t="s">
        <v>111</v>
      </c>
      <c r="I61" s="18" t="s">
        <v>147</v>
      </c>
      <c r="J61" s="22">
        <f>$C$24*($C$22-J36*$C$23)</f>
        <v>4648141.7507472299</v>
      </c>
      <c r="K61" s="22">
        <f>$C$24*($C$22-K36*$C$23)</f>
        <v>4648141.7507472299</v>
      </c>
      <c r="L61" s="23">
        <f t="shared" si="11"/>
        <v>0</v>
      </c>
      <c r="N61" s="18"/>
      <c r="O61" s="18"/>
      <c r="P61" s="22"/>
      <c r="Q61" s="22"/>
      <c r="R61" s="23"/>
    </row>
    <row r="62" spans="8:18" x14ac:dyDescent="0.25">
      <c r="I62" s="18"/>
      <c r="J62" s="23"/>
      <c r="K62" s="23"/>
      <c r="L62" s="23"/>
      <c r="O62" s="18"/>
      <c r="P62" s="23"/>
      <c r="Q62" s="23"/>
      <c r="R62" s="23"/>
    </row>
    <row r="63" spans="8:18" x14ac:dyDescent="0.25">
      <c r="H63" s="18" t="s">
        <v>118</v>
      </c>
      <c r="I63" s="18" t="s">
        <v>147</v>
      </c>
      <c r="J63" s="23">
        <f>$D$24*($D$22-J36*AndelBioaffald)</f>
        <v>0</v>
      </c>
      <c r="K63" s="23">
        <f>$D$24*($D$22-K36*AndelBioaffald)</f>
        <v>0</v>
      </c>
      <c r="L63" s="23">
        <f t="shared" si="11"/>
        <v>0</v>
      </c>
      <c r="N63" s="18"/>
      <c r="O63" s="18"/>
      <c r="P63" s="23"/>
      <c r="Q63" s="23"/>
      <c r="R63" s="23"/>
    </row>
    <row r="64" spans="8:18" x14ac:dyDescent="0.25">
      <c r="H64" s="18" t="s">
        <v>119</v>
      </c>
      <c r="I64" s="18" t="s">
        <v>147</v>
      </c>
      <c r="J64" s="22">
        <f>$C$18*J40+$D$18*J41+$E$18*J34</f>
        <v>1049040</v>
      </c>
      <c r="K64" s="22">
        <f>J64+$F$18*$K$43</f>
        <v>1107810.8046975606</v>
      </c>
      <c r="L64" s="23">
        <f t="shared" si="11"/>
        <v>58770.804697560612</v>
      </c>
      <c r="N64" s="18"/>
      <c r="O64" s="18"/>
      <c r="P64" s="22"/>
      <c r="Q64" s="22"/>
      <c r="R64" s="23"/>
    </row>
    <row r="65" spans="8:18" x14ac:dyDescent="0.25">
      <c r="H65" s="18" t="s">
        <v>36</v>
      </c>
      <c r="I65" s="18" t="s">
        <v>147</v>
      </c>
      <c r="J65" s="22">
        <f>AFV*3.6*J46</f>
        <v>2211287.04</v>
      </c>
      <c r="K65" s="22">
        <f>AFV*3.6*K46</f>
        <v>2729557.4400000004</v>
      </c>
      <c r="L65" s="23">
        <f t="shared" si="11"/>
        <v>518270.40000000037</v>
      </c>
      <c r="N65" s="18"/>
      <c r="O65" s="18"/>
      <c r="P65" s="22"/>
      <c r="Q65" s="22"/>
      <c r="R65" s="23"/>
    </row>
    <row r="66" spans="8:18" x14ac:dyDescent="0.25">
      <c r="H66" s="18" t="s">
        <v>37</v>
      </c>
      <c r="I66" s="18" t="s">
        <v>147</v>
      </c>
      <c r="J66" s="23">
        <f>ATL*3.6*J54</f>
        <v>2271283.2000000002</v>
      </c>
      <c r="K66" s="23">
        <f>ATL*3.6*K54</f>
        <v>2468551.6981097562</v>
      </c>
      <c r="L66" s="23">
        <f t="shared" si="11"/>
        <v>197268.49810975604</v>
      </c>
      <c r="N66" s="18"/>
      <c r="O66" s="18"/>
      <c r="P66" s="23"/>
      <c r="Q66" s="23"/>
      <c r="R66" s="23"/>
    </row>
    <row r="67" spans="8:18" x14ac:dyDescent="0.25">
      <c r="H67" s="18" t="s">
        <v>38</v>
      </c>
      <c r="I67" s="18" t="s">
        <v>147</v>
      </c>
      <c r="J67" s="23">
        <f>CO2afgift*$C$26 /1000 *3.6*J54</f>
        <v>471719.80799999996</v>
      </c>
      <c r="K67" s="23">
        <f>CO2afgift*$C$26 /1000 *3.6*K54</f>
        <v>512690.2418291159</v>
      </c>
      <c r="L67" s="23">
        <f t="shared" si="11"/>
        <v>40970.433829115937</v>
      </c>
      <c r="N67" s="18"/>
      <c r="O67" s="18"/>
      <c r="P67" s="23"/>
      <c r="Q67" s="23"/>
      <c r="R67" s="23"/>
    </row>
    <row r="68" spans="8:18" x14ac:dyDescent="0.25">
      <c r="H68" s="18" t="s">
        <v>123</v>
      </c>
      <c r="I68" s="18" t="s">
        <v>147</v>
      </c>
      <c r="J68" s="23">
        <f>Kvotepris*$C$27/1000*C28*J35</f>
        <v>2093987.8587116271</v>
      </c>
      <c r="K68" s="23">
        <f>Kvotepris*$C$27/1000*10.6*K35</f>
        <v>2093987.8587116271</v>
      </c>
      <c r="L68" s="23">
        <f t="shared" si="11"/>
        <v>0</v>
      </c>
      <c r="N68" s="18"/>
      <c r="O68" s="18"/>
      <c r="P68" s="23"/>
      <c r="Q68" s="23"/>
      <c r="R68" s="23"/>
    </row>
    <row r="69" spans="8:18" x14ac:dyDescent="0.25">
      <c r="I69" s="18"/>
      <c r="J69" s="23"/>
      <c r="K69" s="23"/>
      <c r="L69" s="23"/>
      <c r="O69" s="18"/>
      <c r="P69" s="23"/>
      <c r="Q69" s="23"/>
      <c r="R69" s="23"/>
    </row>
    <row r="70" spans="8:18" x14ac:dyDescent="0.25">
      <c r="H70" s="18" t="s">
        <v>126</v>
      </c>
      <c r="I70" s="18" t="s">
        <v>147</v>
      </c>
      <c r="J70" s="23">
        <f>SUM(J58:J61)</f>
        <v>15999762.201966742</v>
      </c>
      <c r="K70" s="23">
        <f>SUM(K58:K61)</f>
        <v>17981997.371777717</v>
      </c>
      <c r="L70" s="23">
        <f t="shared" si="11"/>
        <v>1982235.169810975</v>
      </c>
      <c r="N70" s="18"/>
      <c r="O70" s="18"/>
      <c r="P70" s="23"/>
      <c r="Q70" s="23"/>
      <c r="R70" s="23"/>
    </row>
    <row r="71" spans="8:18" x14ac:dyDescent="0.25">
      <c r="H71" s="18" t="s">
        <v>127</v>
      </c>
      <c r="I71" s="18" t="s">
        <v>147</v>
      </c>
      <c r="J71" s="23">
        <f>SUM(J63:J68)</f>
        <v>8097317.9067116277</v>
      </c>
      <c r="K71" s="23">
        <f>SUM(K63:K68)</f>
        <v>8912598.0433480591</v>
      </c>
      <c r="L71" s="23">
        <f t="shared" si="11"/>
        <v>815280.13663643133</v>
      </c>
      <c r="N71" s="18"/>
      <c r="O71" s="18"/>
      <c r="P71" s="23"/>
      <c r="Q71" s="23"/>
      <c r="R71" s="23"/>
    </row>
    <row r="72" spans="8:18" x14ac:dyDescent="0.25">
      <c r="H72" s="18" t="s">
        <v>128</v>
      </c>
      <c r="I72" s="18" t="s">
        <v>147</v>
      </c>
      <c r="J72" s="23">
        <f>J70-J71</f>
        <v>7902444.2952551143</v>
      </c>
      <c r="K72" s="23">
        <f>K70-K71</f>
        <v>9069399.328429658</v>
      </c>
      <c r="L72" s="23">
        <f t="shared" si="11"/>
        <v>1166955.0331745436</v>
      </c>
      <c r="N72" s="18"/>
      <c r="O72" s="18"/>
      <c r="P72" s="23"/>
      <c r="Q72" s="23"/>
      <c r="R72" s="23"/>
    </row>
  </sheetData>
  <mergeCells count="4">
    <mergeCell ref="A2:F2"/>
    <mergeCell ref="H2:L2"/>
    <mergeCell ref="T2:Z2"/>
    <mergeCell ref="N2:R2"/>
  </mergeCells>
  <conditionalFormatting sqref="J14:K7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AE2D-0C92-4631-B92C-FB0A81AF4228}">
  <dimension ref="C2:P30"/>
  <sheetViews>
    <sheetView workbookViewId="0">
      <selection activeCell="I13" sqref="I13"/>
    </sheetView>
    <sheetView workbookViewId="1"/>
  </sheetViews>
  <sheetFormatPr defaultRowHeight="15" x14ac:dyDescent="0.25"/>
  <cols>
    <col min="3" max="3" width="14.140625" bestFit="1" customWidth="1"/>
    <col min="6" max="6" width="14.140625" bestFit="1" customWidth="1"/>
    <col min="10" max="10" width="14.140625" bestFit="1" customWidth="1"/>
  </cols>
  <sheetData>
    <row r="2" spans="3:14" x14ac:dyDescent="0.25">
      <c r="C2" t="s">
        <v>98</v>
      </c>
      <c r="F2" t="s">
        <v>143</v>
      </c>
      <c r="M2" t="s">
        <v>60</v>
      </c>
      <c r="N2" t="s">
        <v>60</v>
      </c>
    </row>
    <row r="3" spans="3:14" x14ac:dyDescent="0.25">
      <c r="D3" t="s">
        <v>76</v>
      </c>
      <c r="G3" t="s">
        <v>1</v>
      </c>
      <c r="H3" t="s">
        <v>2</v>
      </c>
      <c r="K3" t="s">
        <v>99</v>
      </c>
      <c r="M3" t="s">
        <v>1</v>
      </c>
      <c r="N3" t="s">
        <v>2</v>
      </c>
    </row>
    <row r="4" spans="3:14" x14ac:dyDescent="0.25">
      <c r="C4" t="s">
        <v>77</v>
      </c>
      <c r="D4" s="16">
        <v>11400.2114002</v>
      </c>
      <c r="F4" t="s">
        <v>77</v>
      </c>
      <c r="G4" s="16">
        <v>1382.27949725194</v>
      </c>
      <c r="H4" s="16">
        <v>2526.36441138806</v>
      </c>
      <c r="J4" t="s">
        <v>77</v>
      </c>
      <c r="K4" s="17">
        <v>10.5</v>
      </c>
      <c r="M4" s="16">
        <f>G4*$K4/3.6</f>
        <v>4031.6485336514916</v>
      </c>
      <c r="N4" s="16">
        <f>H4*$K4/3.6</f>
        <v>7368.5628665485083</v>
      </c>
    </row>
    <row r="5" spans="3:14" x14ac:dyDescent="0.25">
      <c r="C5" t="s">
        <v>78</v>
      </c>
      <c r="D5" s="16">
        <v>0</v>
      </c>
      <c r="F5" t="s">
        <v>78</v>
      </c>
      <c r="G5" s="16">
        <v>0</v>
      </c>
      <c r="H5" s="16">
        <v>0</v>
      </c>
      <c r="J5" t="s">
        <v>78</v>
      </c>
      <c r="K5" s="17">
        <v>10.5</v>
      </c>
      <c r="M5" s="16">
        <f t="shared" ref="M5:M24" si="0">G5*$K5/3.6</f>
        <v>0</v>
      </c>
      <c r="N5" s="16">
        <f t="shared" ref="N5:N24" si="1">H5*$K5/3.6</f>
        <v>0</v>
      </c>
    </row>
    <row r="6" spans="3:14" x14ac:dyDescent="0.25">
      <c r="C6" t="s">
        <v>79</v>
      </c>
      <c r="D6" s="16">
        <v>0</v>
      </c>
      <c r="F6" t="s">
        <v>79</v>
      </c>
      <c r="G6" s="16">
        <v>0</v>
      </c>
      <c r="H6" s="16">
        <v>0</v>
      </c>
      <c r="J6" t="s">
        <v>79</v>
      </c>
      <c r="K6" s="17">
        <v>10.5</v>
      </c>
      <c r="M6" s="16">
        <f t="shared" si="0"/>
        <v>0</v>
      </c>
      <c r="N6" s="16">
        <f t="shared" si="1"/>
        <v>0</v>
      </c>
    </row>
    <row r="7" spans="3:14" x14ac:dyDescent="0.25">
      <c r="C7" t="s">
        <v>80</v>
      </c>
      <c r="D7" s="16">
        <v>6154.3428210033298</v>
      </c>
      <c r="F7" t="s">
        <v>80</v>
      </c>
      <c r="G7" s="16">
        <v>0</v>
      </c>
      <c r="H7" s="16">
        <v>2356.9823569800001</v>
      </c>
      <c r="J7" t="s">
        <v>80</v>
      </c>
      <c r="K7" s="17">
        <v>9.4</v>
      </c>
      <c r="M7" s="16">
        <f t="shared" si="0"/>
        <v>0</v>
      </c>
      <c r="N7" s="16">
        <f t="shared" si="1"/>
        <v>6154.3428210033335</v>
      </c>
    </row>
    <row r="8" spans="3:14" x14ac:dyDescent="0.25">
      <c r="C8" t="s">
        <v>81</v>
      </c>
      <c r="D8" s="16">
        <v>1276.2179428833299</v>
      </c>
      <c r="F8" t="s">
        <v>81</v>
      </c>
      <c r="G8" s="16">
        <v>437.56043756000003</v>
      </c>
      <c r="H8" s="16">
        <v>0</v>
      </c>
      <c r="J8" t="s">
        <v>81</v>
      </c>
      <c r="K8" s="17">
        <v>10.5</v>
      </c>
      <c r="M8" s="16">
        <f t="shared" si="0"/>
        <v>1276.2179428833335</v>
      </c>
      <c r="N8" s="16">
        <f t="shared" si="1"/>
        <v>0</v>
      </c>
    </row>
    <row r="9" spans="3:14" x14ac:dyDescent="0.25">
      <c r="C9" t="s">
        <v>82</v>
      </c>
      <c r="D9" s="16">
        <v>0</v>
      </c>
      <c r="F9" t="s">
        <v>82</v>
      </c>
      <c r="G9" s="16">
        <v>0</v>
      </c>
      <c r="H9" s="16">
        <v>0</v>
      </c>
      <c r="J9" t="s">
        <v>82</v>
      </c>
      <c r="K9" s="17">
        <v>14.5</v>
      </c>
      <c r="M9" s="16">
        <f t="shared" si="0"/>
        <v>0</v>
      </c>
      <c r="N9" s="16">
        <f t="shared" si="1"/>
        <v>0</v>
      </c>
    </row>
    <row r="10" spans="3:14" x14ac:dyDescent="0.25">
      <c r="C10" t="s">
        <v>83</v>
      </c>
      <c r="D10" s="16">
        <v>972.20097220000002</v>
      </c>
      <c r="F10" t="s">
        <v>83</v>
      </c>
      <c r="G10" s="16">
        <v>291.66029165999998</v>
      </c>
      <c r="H10" s="16">
        <v>0</v>
      </c>
      <c r="J10" t="s">
        <v>83</v>
      </c>
      <c r="K10" s="17">
        <v>12</v>
      </c>
      <c r="M10" s="16">
        <f t="shared" si="0"/>
        <v>972.20097219999991</v>
      </c>
      <c r="N10" s="16">
        <f t="shared" si="1"/>
        <v>0</v>
      </c>
    </row>
    <row r="11" spans="3:14" x14ac:dyDescent="0.25">
      <c r="C11" t="s">
        <v>84</v>
      </c>
      <c r="D11" s="16">
        <v>15.375015375</v>
      </c>
      <c r="F11" t="s">
        <v>84</v>
      </c>
      <c r="G11" s="16">
        <v>6.1500061500000003</v>
      </c>
      <c r="H11" s="16">
        <v>0</v>
      </c>
      <c r="J11" t="s">
        <v>84</v>
      </c>
      <c r="K11" s="17">
        <v>9</v>
      </c>
      <c r="M11" s="16">
        <f t="shared" si="0"/>
        <v>15.375015375</v>
      </c>
      <c r="N11" s="16">
        <f t="shared" si="1"/>
        <v>0</v>
      </c>
    </row>
    <row r="12" spans="3:14" x14ac:dyDescent="0.25">
      <c r="C12" t="s">
        <v>85</v>
      </c>
      <c r="D12" s="16">
        <v>785.27856305555599</v>
      </c>
      <c r="F12" t="s">
        <v>85</v>
      </c>
      <c r="G12" s="16">
        <v>257.00025699999998</v>
      </c>
      <c r="H12" s="16">
        <v>0</v>
      </c>
      <c r="J12" t="s">
        <v>85</v>
      </c>
      <c r="K12" s="17">
        <v>11</v>
      </c>
      <c r="M12" s="16">
        <f t="shared" si="0"/>
        <v>785.27856305555542</v>
      </c>
      <c r="N12" s="16">
        <f t="shared" si="1"/>
        <v>0</v>
      </c>
    </row>
    <row r="13" spans="3:14" x14ac:dyDescent="0.25">
      <c r="C13" t="s">
        <v>86</v>
      </c>
      <c r="D13" s="16">
        <v>60.1667268333333</v>
      </c>
      <c r="F13" t="s">
        <v>86</v>
      </c>
      <c r="G13" s="16">
        <v>22.800022800000001</v>
      </c>
      <c r="H13" s="16">
        <v>0</v>
      </c>
      <c r="J13" t="s">
        <v>86</v>
      </c>
      <c r="K13" s="17">
        <v>9.5</v>
      </c>
      <c r="M13" s="16">
        <f t="shared" si="0"/>
        <v>60.166726833333335</v>
      </c>
      <c r="N13" s="16">
        <f t="shared" si="1"/>
        <v>0</v>
      </c>
    </row>
    <row r="14" spans="3:14" x14ac:dyDescent="0.25">
      <c r="C14" t="s">
        <v>87</v>
      </c>
      <c r="D14" s="16">
        <v>2540.00254</v>
      </c>
      <c r="F14" t="s">
        <v>87</v>
      </c>
      <c r="G14" s="16">
        <v>0</v>
      </c>
      <c r="H14" s="16">
        <v>1016.001016</v>
      </c>
      <c r="J14" t="s">
        <v>87</v>
      </c>
      <c r="K14" s="17">
        <v>9</v>
      </c>
      <c r="M14" s="16">
        <f t="shared" si="0"/>
        <v>0</v>
      </c>
      <c r="N14" s="16">
        <f t="shared" si="1"/>
        <v>2540.00254</v>
      </c>
    </row>
    <row r="15" spans="3:14" x14ac:dyDescent="0.25">
      <c r="C15" t="s">
        <v>88</v>
      </c>
      <c r="D15" s="16">
        <v>45.100045100000003</v>
      </c>
      <c r="F15" t="s">
        <v>88</v>
      </c>
      <c r="G15" s="16">
        <v>0</v>
      </c>
      <c r="H15" s="16">
        <v>13.53001353</v>
      </c>
      <c r="J15" t="s">
        <v>88</v>
      </c>
      <c r="K15" s="17">
        <v>12</v>
      </c>
      <c r="M15" s="16">
        <f t="shared" si="0"/>
        <v>0</v>
      </c>
      <c r="N15" s="16">
        <f t="shared" si="1"/>
        <v>45.100045100000003</v>
      </c>
    </row>
    <row r="16" spans="3:14" x14ac:dyDescent="0.25">
      <c r="C16" t="s">
        <v>89</v>
      </c>
      <c r="D16" s="16">
        <v>18.861129972222201</v>
      </c>
      <c r="F16" t="s">
        <v>89</v>
      </c>
      <c r="G16" s="16">
        <v>6.7900067899999996</v>
      </c>
      <c r="H16" s="16">
        <v>0</v>
      </c>
      <c r="J16" t="s">
        <v>89</v>
      </c>
      <c r="K16" s="17">
        <v>10</v>
      </c>
      <c r="M16" s="16">
        <f t="shared" si="0"/>
        <v>18.861129972222219</v>
      </c>
      <c r="N16" s="16">
        <f t="shared" si="1"/>
        <v>0</v>
      </c>
    </row>
    <row r="17" spans="3:16" x14ac:dyDescent="0.25">
      <c r="C17" t="s">
        <v>90</v>
      </c>
      <c r="D17" s="16">
        <v>0</v>
      </c>
      <c r="F17" t="s">
        <v>90</v>
      </c>
      <c r="G17" s="16">
        <v>0</v>
      </c>
      <c r="H17" s="16">
        <v>0</v>
      </c>
      <c r="J17" t="s">
        <v>90</v>
      </c>
      <c r="K17" s="17">
        <v>11</v>
      </c>
      <c r="M17" s="16">
        <f t="shared" si="0"/>
        <v>0</v>
      </c>
      <c r="N17" s="16">
        <f t="shared" si="1"/>
        <v>0</v>
      </c>
    </row>
    <row r="18" spans="3:16" x14ac:dyDescent="0.25">
      <c r="C18" t="s">
        <v>91</v>
      </c>
      <c r="D18" s="16">
        <v>9410.2844102750005</v>
      </c>
      <c r="F18" t="s">
        <v>91</v>
      </c>
      <c r="G18" s="16">
        <v>0</v>
      </c>
      <c r="H18" s="16">
        <v>3226.38322638</v>
      </c>
      <c r="J18" t="s">
        <v>91</v>
      </c>
      <c r="K18" s="17">
        <v>10.5</v>
      </c>
      <c r="M18" s="16">
        <f t="shared" si="0"/>
        <v>0</v>
      </c>
      <c r="N18" s="16">
        <f t="shared" si="1"/>
        <v>9410.2844102750005</v>
      </c>
    </row>
    <row r="19" spans="3:16" x14ac:dyDescent="0.25">
      <c r="C19" t="s">
        <v>92</v>
      </c>
      <c r="D19" s="16">
        <v>0</v>
      </c>
      <c r="F19" t="s">
        <v>92</v>
      </c>
      <c r="G19" s="16">
        <v>0</v>
      </c>
      <c r="H19" s="16">
        <v>0</v>
      </c>
      <c r="J19" t="s">
        <v>92</v>
      </c>
      <c r="K19" s="17">
        <v>10.5</v>
      </c>
      <c r="M19" s="16">
        <f t="shared" si="0"/>
        <v>0</v>
      </c>
      <c r="N19" s="16">
        <f t="shared" si="1"/>
        <v>0</v>
      </c>
    </row>
    <row r="20" spans="3:16" x14ac:dyDescent="0.25">
      <c r="C20" t="s">
        <v>93</v>
      </c>
      <c r="D20" s="16">
        <v>0</v>
      </c>
      <c r="F20" t="s">
        <v>93</v>
      </c>
      <c r="G20" s="16">
        <v>0</v>
      </c>
      <c r="H20" s="16">
        <v>0</v>
      </c>
      <c r="J20" t="s">
        <v>93</v>
      </c>
      <c r="K20" s="17">
        <v>13</v>
      </c>
      <c r="M20" s="16">
        <f t="shared" si="0"/>
        <v>0</v>
      </c>
      <c r="N20" s="16">
        <f t="shared" si="1"/>
        <v>0</v>
      </c>
    </row>
    <row r="21" spans="3:16" x14ac:dyDescent="0.25">
      <c r="C21" t="s">
        <v>94</v>
      </c>
      <c r="D21" s="16">
        <v>231.59745381944401</v>
      </c>
      <c r="F21" t="s">
        <v>94</v>
      </c>
      <c r="G21" s="16">
        <v>57.500057499999997</v>
      </c>
      <c r="H21" s="16">
        <v>0</v>
      </c>
      <c r="J21" t="s">
        <v>94</v>
      </c>
      <c r="K21" s="17">
        <v>14.5</v>
      </c>
      <c r="M21" s="16">
        <f t="shared" si="0"/>
        <v>231.59745381944444</v>
      </c>
      <c r="N21" s="16">
        <f t="shared" si="1"/>
        <v>0</v>
      </c>
    </row>
    <row r="22" spans="3:16" x14ac:dyDescent="0.25">
      <c r="C22" t="s">
        <v>95</v>
      </c>
      <c r="D22" s="16">
        <v>0</v>
      </c>
      <c r="F22" t="s">
        <v>95</v>
      </c>
      <c r="G22" s="16">
        <v>0</v>
      </c>
      <c r="H22" s="16">
        <v>0</v>
      </c>
      <c r="J22" t="s">
        <v>95</v>
      </c>
      <c r="K22" s="17">
        <v>14.7</v>
      </c>
      <c r="M22" s="16">
        <f t="shared" si="0"/>
        <v>0</v>
      </c>
      <c r="N22" s="16">
        <f t="shared" si="1"/>
        <v>0</v>
      </c>
    </row>
    <row r="23" spans="3:16" x14ac:dyDescent="0.25">
      <c r="C23" t="s">
        <v>96</v>
      </c>
      <c r="D23" s="16">
        <v>41.300041299999997</v>
      </c>
      <c r="F23" t="s">
        <v>96</v>
      </c>
      <c r="G23" s="16">
        <v>10.62001062</v>
      </c>
      <c r="H23" s="16">
        <v>0</v>
      </c>
      <c r="J23" t="s">
        <v>96</v>
      </c>
      <c r="K23" s="17">
        <v>14</v>
      </c>
      <c r="M23" s="16">
        <f t="shared" si="0"/>
        <v>41.300041299999997</v>
      </c>
      <c r="N23" s="16">
        <f t="shared" si="1"/>
        <v>0</v>
      </c>
    </row>
    <row r="24" spans="3:16" x14ac:dyDescent="0.25">
      <c r="C24" t="s">
        <v>97</v>
      </c>
      <c r="D24" s="16">
        <v>37.975037974999999</v>
      </c>
      <c r="F24" t="s">
        <v>97</v>
      </c>
      <c r="G24" s="16">
        <v>15.19001519</v>
      </c>
      <c r="H24" s="16">
        <v>0</v>
      </c>
      <c r="J24" t="s">
        <v>97</v>
      </c>
      <c r="K24" s="17">
        <v>9</v>
      </c>
      <c r="M24" s="16">
        <f t="shared" si="0"/>
        <v>37.975037974999999</v>
      </c>
      <c r="N24" s="16">
        <f t="shared" si="1"/>
        <v>0</v>
      </c>
    </row>
    <row r="25" spans="3:16" x14ac:dyDescent="0.25">
      <c r="D25" s="16">
        <f>SUM(D4:D24)</f>
        <v>32988.914099992209</v>
      </c>
      <c r="K25" s="16"/>
      <c r="L25" t="s">
        <v>102</v>
      </c>
      <c r="M25" s="16">
        <f>SUM(M4:M24)</f>
        <v>7470.6214170653802</v>
      </c>
      <c r="N25" s="16">
        <f>SUM(N4:N24)</f>
        <v>25518.29268292684</v>
      </c>
    </row>
    <row r="26" spans="3:16" x14ac:dyDescent="0.25">
      <c r="C26" s="1"/>
      <c r="D26">
        <f>C26*D25</f>
        <v>0</v>
      </c>
    </row>
    <row r="27" spans="3:16" x14ac:dyDescent="0.25">
      <c r="L27" t="s">
        <v>101</v>
      </c>
      <c r="M27" s="16">
        <f>M25*0.844</f>
        <v>6305.2044760031804</v>
      </c>
      <c r="N27" s="16">
        <f>N25*0.656</f>
        <v>16740.000000000007</v>
      </c>
    </row>
    <row r="28" spans="3:16" x14ac:dyDescent="0.25">
      <c r="D28" s="16">
        <f>SUMPRODUCT(G4:G24,K4:K24)+SUMPRODUCT(H4:H24,K4:K24)</f>
        <v>118760.09075997199</v>
      </c>
      <c r="E28" t="s">
        <v>103</v>
      </c>
    </row>
    <row r="29" spans="3:16" x14ac:dyDescent="0.25">
      <c r="D29" s="13">
        <f>D28/SUM(G4:H24)</f>
        <v>10.214329996215641</v>
      </c>
      <c r="E29" t="s">
        <v>35</v>
      </c>
      <c r="M29" t="s">
        <v>1</v>
      </c>
      <c r="N29" t="s">
        <v>2</v>
      </c>
      <c r="O29" t="s">
        <v>25</v>
      </c>
      <c r="P29" t="s">
        <v>100</v>
      </c>
    </row>
    <row r="30" spans="3:16" x14ac:dyDescent="0.25">
      <c r="L30" t="s">
        <v>76</v>
      </c>
      <c r="M30" s="16">
        <v>6305.2044760031904</v>
      </c>
      <c r="N30" s="16">
        <v>16740</v>
      </c>
      <c r="O30" s="16">
        <v>4000</v>
      </c>
      <c r="P30" s="16">
        <v>1069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size="36" baseType="lpstr">
      <vt:lpstr>SolverRepos</vt:lpstr>
      <vt:lpstr>Model</vt:lpstr>
      <vt:lpstr>Affald2021</vt:lpstr>
      <vt:lpstr>AFV</vt:lpstr>
      <vt:lpstr>AndelAffald</vt:lpstr>
      <vt:lpstr>AndelBioaffald</vt:lpstr>
      <vt:lpstr>ATL</vt:lpstr>
      <vt:lpstr>BioAffaldTonnage</vt:lpstr>
      <vt:lpstr>BioTonnage</vt:lpstr>
      <vt:lpstr>CO2afgift</vt:lpstr>
      <vt:lpstr>CO2indholdAfgift</vt:lpstr>
      <vt:lpstr>CO2indholdKvote</vt:lpstr>
      <vt:lpstr>DBmedRGK</vt:lpstr>
      <vt:lpstr>DBudenRGK</vt:lpstr>
      <vt:lpstr>Elpris</vt:lpstr>
      <vt:lpstr>ElprodTarif</vt:lpstr>
      <vt:lpstr>ENSkvoteLHV</vt:lpstr>
      <vt:lpstr>EtaE</vt:lpstr>
      <vt:lpstr>EtaQmaxOvn2</vt:lpstr>
      <vt:lpstr>EtaQmaxOvn3</vt:lpstr>
      <vt:lpstr>EtaQNomOvn2</vt:lpstr>
      <vt:lpstr>EtaQNomOvn3</vt:lpstr>
      <vt:lpstr>EtaRgkOvn2</vt:lpstr>
      <vt:lpstr>EtaRgkOvn3</vt:lpstr>
      <vt:lpstr>Ftotal</vt:lpstr>
      <vt:lpstr>Htotal</vt:lpstr>
      <vt:lpstr>KapQcool</vt:lpstr>
      <vt:lpstr>KapQnomOvn2</vt:lpstr>
      <vt:lpstr>KapQnomOvn3</vt:lpstr>
      <vt:lpstr>Kvotepris</vt:lpstr>
      <vt:lpstr>LHVaffald</vt:lpstr>
      <vt:lpstr>LHVbioaffald</vt:lpstr>
      <vt:lpstr>NSvarme</vt:lpstr>
      <vt:lpstr>Qdemand</vt:lpstr>
      <vt:lpstr>RGKudnyttelse</vt:lpstr>
      <vt:lpstr>Varmesalgspris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Mogens Bech Laursen</dc:creator>
  <cp:lastModifiedBy>Mogens Bech Laursen</cp:lastModifiedBy>
  <dcterms:created xsi:type="dcterms:W3CDTF">2022-03-13T11:17:09Z</dcterms:created>
  <dcterms:modified xsi:type="dcterms:W3CDTF">2022-03-15T16:50:10Z</dcterms:modified>
</cp:coreProperties>
</file>