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EFA Affald\"/>
    </mc:Choice>
  </mc:AlternateContent>
  <xr:revisionPtr revIDLastSave="0" documentId="13_ncr:1_{4BA71933-616B-4958-A1B7-D50033CEC5CF}" xr6:coauthVersionLast="47" xr6:coauthVersionMax="47" xr10:uidLastSave="{00000000-0000-0000-0000-000000000000}"/>
  <bookViews>
    <workbookView xWindow="-120" yWindow="-120" windowWidth="29040" windowHeight="15720" xr2:uid="{858EECC8-30FB-4D42-A70B-DA5455FDD71D}"/>
  </bookViews>
  <sheets>
    <sheet name="Sheet1" sheetId="1" r:id="rId1"/>
    <sheet name="Sheet2" sheetId="2" r:id="rId2"/>
  </sheets>
  <definedNames>
    <definedName name="AFV">Sheet1!$C$30</definedName>
    <definedName name="ATL">Sheet1!$C$31</definedName>
    <definedName name="CO2afgift">Sheet1!$C$32</definedName>
    <definedName name="Elpris">Sheet1!$C$27</definedName>
    <definedName name="ElprodTarif">Sheet1!$C$28</definedName>
    <definedName name="EtaE">Sheet1!$D$13</definedName>
    <definedName name="EtaQmaxOvn2">Sheet1!$C$12</definedName>
    <definedName name="EtaQmaxOvn3">Sheet1!$D$12</definedName>
    <definedName name="EtaQNomOvn2">Sheet1!$C$10</definedName>
    <definedName name="EtaQNomOvn3">Sheet1!$D$10</definedName>
    <definedName name="EtaRgkOvn2">Sheet1!$C$11</definedName>
    <definedName name="EtaRgkOvn3">Sheet1!$D$11</definedName>
    <definedName name="Ftotal">Sheet1!$C$36</definedName>
    <definedName name="Htotal">Sheet1!$C$37</definedName>
    <definedName name="Kvotepris">Sheet1!$C$29</definedName>
    <definedName name="NSvarme">Sheet1!$E$18</definedName>
    <definedName name="Qdemand">Sheet1!$C$35</definedName>
    <definedName name="Varmesalgspris">Sheet1!$C$26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9" i="1" l="1"/>
  <c r="J39" i="1"/>
  <c r="D28" i="2"/>
  <c r="N27" i="2"/>
  <c r="M27" i="2"/>
  <c r="M5" i="2"/>
  <c r="N5" i="2"/>
  <c r="M6" i="2"/>
  <c r="N6" i="2"/>
  <c r="M7" i="2"/>
  <c r="N7" i="2"/>
  <c r="M8" i="2"/>
  <c r="N8" i="2"/>
  <c r="N25" i="2" s="1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N4" i="2"/>
  <c r="M4" i="2"/>
  <c r="D25" i="2"/>
  <c r="D26" i="2" s="1"/>
  <c r="D29" i="2" l="1"/>
  <c r="M25" i="2"/>
  <c r="C36" i="1" l="1"/>
  <c r="D19" i="1"/>
  <c r="C19" i="1"/>
  <c r="K5" i="1"/>
  <c r="K6" i="1" s="1"/>
  <c r="J5" i="1"/>
  <c r="J6" i="1" s="1"/>
  <c r="D20" i="1"/>
  <c r="D11" i="1"/>
  <c r="D12" i="1" s="1"/>
  <c r="C11" i="1"/>
  <c r="C12" i="1" s="1"/>
  <c r="K9" i="1" l="1"/>
  <c r="J9" i="1"/>
  <c r="J7" i="1"/>
  <c r="K7" i="1"/>
  <c r="C37" i="1"/>
  <c r="K10" i="1" l="1"/>
  <c r="J10" i="1"/>
  <c r="D37" i="1"/>
  <c r="J8" i="1"/>
  <c r="K8" i="1"/>
  <c r="K13" i="1" l="1"/>
  <c r="J13" i="1"/>
  <c r="K15" i="1" l="1"/>
  <c r="K17" i="1" s="1"/>
  <c r="J26" i="1"/>
  <c r="K26" i="1"/>
  <c r="J14" i="1"/>
  <c r="K14" i="1"/>
  <c r="J15" i="1"/>
  <c r="J17" i="1" s="1"/>
  <c r="K18" i="1" l="1"/>
  <c r="K16" i="1"/>
  <c r="J16" i="1"/>
  <c r="J18" i="1"/>
  <c r="K19" i="1" l="1"/>
  <c r="K20" i="1" s="1"/>
  <c r="J19" i="1"/>
  <c r="K23" i="1" l="1"/>
  <c r="K21" i="1"/>
  <c r="K24" i="1" s="1"/>
  <c r="K22" i="1"/>
  <c r="K36" i="1" s="1"/>
  <c r="K35" i="1" s="1"/>
  <c r="K44" i="1"/>
  <c r="J21" i="1"/>
  <c r="J24" i="1" s="1"/>
  <c r="J23" i="1"/>
  <c r="K25" i="1"/>
  <c r="J25" i="1"/>
  <c r="J20" i="1"/>
  <c r="J22" i="1" s="1"/>
  <c r="J27" i="1" s="1"/>
  <c r="J42" i="1" s="1"/>
  <c r="K70" i="1" l="1"/>
  <c r="K51" i="1"/>
  <c r="K50" i="1"/>
  <c r="K27" i="1"/>
  <c r="K42" i="1" s="1"/>
  <c r="K63" i="1"/>
  <c r="K65" i="1"/>
  <c r="J36" i="1"/>
  <c r="J35" i="1" s="1"/>
  <c r="J28" i="1"/>
  <c r="J70" i="1" l="1"/>
  <c r="J51" i="1"/>
  <c r="J50" i="1"/>
  <c r="K28" i="1"/>
  <c r="K29" i="1" s="1"/>
  <c r="K30" i="1" s="1"/>
  <c r="K41" i="1" s="1"/>
  <c r="J63" i="1"/>
  <c r="J65" i="1"/>
  <c r="J29" i="1"/>
  <c r="J30" i="1" s="1"/>
  <c r="J41" i="1" s="1"/>
  <c r="J38" i="1"/>
  <c r="K38" i="1" l="1"/>
  <c r="K40" i="1" s="1"/>
  <c r="K61" i="1" s="1"/>
  <c r="K43" i="1"/>
  <c r="J43" i="1"/>
  <c r="J46" i="1" s="1"/>
  <c r="J53" i="1" s="1"/>
  <c r="J54" i="1" s="1"/>
  <c r="J56" i="1" s="1"/>
  <c r="J40" i="1"/>
  <c r="J61" i="1" s="1"/>
  <c r="K31" i="1"/>
  <c r="K32" i="1" s="1"/>
  <c r="K34" i="1"/>
  <c r="J31" i="1"/>
  <c r="J32" i="1" s="1"/>
  <c r="J34" i="1"/>
  <c r="J66" i="1" s="1"/>
  <c r="J69" i="1" l="1"/>
  <c r="J68" i="1"/>
  <c r="J57" i="1"/>
  <c r="K46" i="1"/>
  <c r="K45" i="1" s="1"/>
  <c r="J55" i="1"/>
  <c r="J47" i="1"/>
  <c r="K47" i="1"/>
  <c r="K66" i="1"/>
  <c r="K53" i="1" l="1"/>
  <c r="J60" i="1"/>
  <c r="J72" i="1" s="1"/>
  <c r="J67" i="1"/>
  <c r="J73" i="1" s="1"/>
  <c r="K60" i="1"/>
  <c r="K67" i="1"/>
  <c r="K54" i="1" l="1"/>
  <c r="K55" i="1"/>
  <c r="J74" i="1"/>
  <c r="K56" i="1" l="1"/>
  <c r="K57" i="1" l="1"/>
  <c r="K68" i="1"/>
  <c r="K69" i="1"/>
  <c r="K62" i="1" l="1"/>
  <c r="K72" i="1" s="1"/>
  <c r="K74" i="1" s="1"/>
  <c r="K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Mogens Bech Laursen</author>
  </authors>
  <commentList>
    <comment ref="A22" authorId="0" shapeId="0" xr:uid="{2280859C-2DF6-4A51-A57E-C182B3B12940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Anvendes kun ift. CO2-afgift, da Energistyrelsen har fastsat en administrativ sats for kvote-beregning.</t>
        </r>
      </text>
    </comment>
    <comment ref="A23" authorId="0" shapeId="0" xr:uid="{27A6E152-F1EA-4DA9-9A23-A1C43403FE80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Energistyrelsen har fastsat en administrativ sats for nedre brændværdi på 10,6 GJ/ton ved kvote-beregning.</t>
        </r>
      </text>
    </comment>
  </commentList>
</comments>
</file>

<file path=xl/sharedStrings.xml><?xml version="1.0" encoding="utf-8"?>
<sst xmlns="http://schemas.openxmlformats.org/spreadsheetml/2006/main" count="266" uniqueCount="140">
  <si>
    <t>INPUT</t>
  </si>
  <si>
    <t>Ovn2</t>
  </si>
  <si>
    <t>Ovn3</t>
  </si>
  <si>
    <t>Varmekapacitet</t>
  </si>
  <si>
    <t>MWq</t>
  </si>
  <si>
    <t>Elkapacitet</t>
  </si>
  <si>
    <t>MWe</t>
  </si>
  <si>
    <t>Egetforbrug</t>
  </si>
  <si>
    <t>Køler</t>
  </si>
  <si>
    <t>RGK-kapacitet</t>
  </si>
  <si>
    <t>Modtryksvarme-virkningsgrad</t>
  </si>
  <si>
    <t>RGK-varme-virkningsgrad</t>
  </si>
  <si>
    <t>El-virkningsgrad</t>
  </si>
  <si>
    <t>Antal rådige døgn</t>
  </si>
  <si>
    <t>MWhe/døgn</t>
  </si>
  <si>
    <t>Anlæg</t>
  </si>
  <si>
    <t>Brændsler</t>
  </si>
  <si>
    <t>Affald</t>
  </si>
  <si>
    <t>ton</t>
  </si>
  <si>
    <t>Bioaffald</t>
  </si>
  <si>
    <t>Rådig mængde</t>
  </si>
  <si>
    <t>Aktiv</t>
  </si>
  <si>
    <t>0/1</t>
  </si>
  <si>
    <t>DV-omk sats</t>
  </si>
  <si>
    <t>kr/MWhf</t>
  </si>
  <si>
    <t>NS</t>
  </si>
  <si>
    <t>Priser</t>
  </si>
  <si>
    <t>Varmesalg</t>
  </si>
  <si>
    <t>kr/MWhq</t>
  </si>
  <si>
    <t>kr/ton</t>
  </si>
  <si>
    <t>Elspotpris</t>
  </si>
  <si>
    <t>kr/MWhe</t>
  </si>
  <si>
    <t>CO2 kvotepris</t>
  </si>
  <si>
    <t>Varmesalgspris</t>
  </si>
  <si>
    <t>Nedre brændværdi</t>
  </si>
  <si>
    <t>GJ/ton</t>
  </si>
  <si>
    <t>Affaldvarme-afgift</t>
  </si>
  <si>
    <t>Tillægsafgift</t>
  </si>
  <si>
    <t>CO2-afgift</t>
  </si>
  <si>
    <t xml:space="preserve">Øvrige parametre </t>
  </si>
  <si>
    <t>kgCO2/GJ</t>
  </si>
  <si>
    <t>kr/GJq</t>
  </si>
  <si>
    <t>CO2-indhold ift. CO2-afgift</t>
  </si>
  <si>
    <t>CO2-indhold ift. CO2-kvote</t>
  </si>
  <si>
    <t>kr/tonCO2</t>
  </si>
  <si>
    <t>Modtagepris</t>
  </si>
  <si>
    <t>Elproduktions-tarif</t>
  </si>
  <si>
    <t>Varmebehov</t>
  </si>
  <si>
    <t>MWhq</t>
  </si>
  <si>
    <t>Kommentarer</t>
  </si>
  <si>
    <t>RESULTATER</t>
  </si>
  <si>
    <t>Uden RGK</t>
  </si>
  <si>
    <t>Med RGK</t>
  </si>
  <si>
    <t>Bortkølet varme</t>
  </si>
  <si>
    <t>Brutto elproduktion</t>
  </si>
  <si>
    <t>Netto elproduktion</t>
  </si>
  <si>
    <t>Enhed</t>
  </si>
  <si>
    <t>MWhe</t>
  </si>
  <si>
    <t>Antal driftstimer</t>
  </si>
  <si>
    <t>Max modtryksvarme</t>
  </si>
  <si>
    <t>Max. indfyret effekt</t>
  </si>
  <si>
    <t>MWhf</t>
  </si>
  <si>
    <t>Max. affaldsmængde</t>
  </si>
  <si>
    <t>Mængdefordeling</t>
  </si>
  <si>
    <t>Max. varmeproduktion Ovn3</t>
  </si>
  <si>
    <t>Rest varmebehov</t>
  </si>
  <si>
    <t>Rest total affaldsmængde</t>
  </si>
  <si>
    <t>Affaldsmængde forbrug</t>
  </si>
  <si>
    <t>Nedre brændværdi affald ialt</t>
  </si>
  <si>
    <t>Affaldsmængde ialt</t>
  </si>
  <si>
    <t>Max. NS-varme</t>
  </si>
  <si>
    <t>Max. varmeproduktion Ovn2</t>
  </si>
  <si>
    <t>Max. RGK-varme</t>
  </si>
  <si>
    <t>Max. varmeproduktion affald</t>
  </si>
  <si>
    <t>Varmeproduktion affald ialt</t>
  </si>
  <si>
    <t>Udækket varmebehov</t>
  </si>
  <si>
    <t>Sum varmevirkningsgrad</t>
  </si>
  <si>
    <t>mo1</t>
  </si>
  <si>
    <t>DepoSort</t>
  </si>
  <si>
    <t>DepoSmaat</t>
  </si>
  <si>
    <t>DepoNedd</t>
  </si>
  <si>
    <t>Dagren</t>
  </si>
  <si>
    <t>AndetBrand</t>
  </si>
  <si>
    <t>Trae</t>
  </si>
  <si>
    <t>DagrenRast</t>
  </si>
  <si>
    <t>DagrenInst</t>
  </si>
  <si>
    <t>DagrenHandel</t>
  </si>
  <si>
    <t>DagrenRestau</t>
  </si>
  <si>
    <t>Erhverv</t>
  </si>
  <si>
    <t>DagrenErhverv</t>
  </si>
  <si>
    <t>HandelKontor</t>
  </si>
  <si>
    <t>Privat</t>
  </si>
  <si>
    <t>TyskRest</t>
  </si>
  <si>
    <t>PolskRest</t>
  </si>
  <si>
    <t>PcbTrae</t>
  </si>
  <si>
    <t>TraeRekv</t>
  </si>
  <si>
    <t>Halm</t>
  </si>
  <si>
    <t>Pulver</t>
  </si>
  <si>
    <t>FlisAffald</t>
  </si>
  <si>
    <t>FuelConsP</t>
  </si>
  <si>
    <t>LHV</t>
  </si>
  <si>
    <t>FlisK</t>
  </si>
  <si>
    <t>Qm</t>
  </si>
  <si>
    <t>Fp</t>
  </si>
  <si>
    <t>GJ</t>
  </si>
  <si>
    <t>Restvarmekapacitet Ovn2</t>
  </si>
  <si>
    <t>Restvarmekapacitet Ovn3</t>
  </si>
  <si>
    <t>Kølevarme Ovn2</t>
  </si>
  <si>
    <t>Kølevarme Ovn3</t>
  </si>
  <si>
    <t>Affaldsforbrug kølevarme Ovn3</t>
  </si>
  <si>
    <t>Affaldsforbrug kølevarme Ovn2</t>
  </si>
  <si>
    <t>Økonomi</t>
  </si>
  <si>
    <t>kr</t>
  </si>
  <si>
    <t>Modtagebetaling affald</t>
  </si>
  <si>
    <t>Elsalg</t>
  </si>
  <si>
    <t>RGK-rabat</t>
  </si>
  <si>
    <t>Energiproduktion</t>
  </si>
  <si>
    <t>MWh</t>
  </si>
  <si>
    <t>Varmeproduktion ialt affaldsovne</t>
  </si>
  <si>
    <t>Leveret varme</t>
  </si>
  <si>
    <t>Betaling bioaffald</t>
  </si>
  <si>
    <t>DV-omkostninger</t>
  </si>
  <si>
    <t>Varmeproduktion Ovn2</t>
  </si>
  <si>
    <t>Varmeproduktion Ovn3</t>
  </si>
  <si>
    <t>Heraf RGK-varme</t>
  </si>
  <si>
    <t>Kvote-omkostning</t>
  </si>
  <si>
    <t>Udnyttet affaldsmængde</t>
  </si>
  <si>
    <t>Ikke-udnyttet affaldsmængde</t>
  </si>
  <si>
    <t>Indtægter total</t>
  </si>
  <si>
    <t>Omkostninger total</t>
  </si>
  <si>
    <t>Dækningsbidrag</t>
  </si>
  <si>
    <t>Mellemregninger for afgifter</t>
  </si>
  <si>
    <t>Energiproduktion ATL</t>
  </si>
  <si>
    <t>Forbrugt fossilt affald</t>
  </si>
  <si>
    <t>Forbrugt bioaffald</t>
  </si>
  <si>
    <t>Fossil elproduktion ATL</t>
  </si>
  <si>
    <t>Varmegrundlag ATL</t>
  </si>
  <si>
    <t>RGK-andel af energiproduktion</t>
  </si>
  <si>
    <t>Fossil varmeproduktion ATL,CO2</t>
  </si>
  <si>
    <t>Varmegrundlag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</si>
</sst>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71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27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4" fontId="3" fillId="3" borderId="1" xfId="3" applyNumberForma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4" borderId="0" xfId="0" applyFont="1" applyFill="1" applyAlignment="1">
      <alignment horizontal="center"/>
    </xf>
    <xf numFmtId="0" fontId="0" fillId="5" borderId="0" xfId="0" applyFill="1"/>
    <xf numFmtId="0" fontId="4" fillId="5" borderId="0" xfId="0" applyFont="1" applyFill="1"/>
    <xf numFmtId="0" fontId="0" fillId="0" borderId="0" xfId="0" applyFont="1"/>
    <xf numFmtId="2" fontId="0" fillId="0" borderId="0" xfId="0" applyNumberFormat="1"/>
    <xf numFmtId="0" fontId="3" fillId="3" borderId="1" xfId="3"/>
    <xf numFmtId="165" fontId="3" fillId="3" borderId="1" xfId="3" applyNumberFormat="1"/>
    <xf numFmtId="1" fontId="0" fillId="0" borderId="0" xfId="0" applyNumberFormat="1"/>
    <xf numFmtId="3" fontId="0" fillId="0" borderId="0" xfId="0" applyNumberFormat="1"/>
    <xf numFmtId="171" fontId="0" fillId="0" borderId="0" xfId="0" applyNumberFormat="1"/>
    <xf numFmtId="0" fontId="0" fillId="0" borderId="0" xfId="0" applyFont="1" applyAlignment="1">
      <alignment horizontal="left" indent="1"/>
    </xf>
    <xf numFmtId="3" fontId="0" fillId="5" borderId="0" xfId="0" applyNumberFormat="1" applyFill="1"/>
    <xf numFmtId="3" fontId="4" fillId="0" borderId="0" xfId="0" applyNumberFormat="1" applyFont="1" applyAlignment="1">
      <alignment horizontal="center"/>
    </xf>
    <xf numFmtId="3" fontId="0" fillId="0" borderId="0" xfId="0" applyNumberFormat="1" applyFont="1"/>
    <xf numFmtId="3" fontId="4" fillId="0" borderId="0" xfId="0" applyNumberFormat="1" applyFont="1"/>
    <xf numFmtId="3" fontId="2" fillId="2" borderId="0" xfId="2" applyNumberFormat="1"/>
  </cellXfs>
  <cellStyles count="4">
    <cellStyle name="Bad" xfId="2" builtinId="27"/>
    <cellStyle name="Calculation" xfId="3" builtinId="22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4189-028E-4B88-AC75-E88799B17CAC}">
  <dimension ref="A2:O74"/>
  <sheetViews>
    <sheetView tabSelected="1" topLeftCell="A43" zoomScaleNormal="100" workbookViewId="0">
      <selection activeCell="O58" sqref="O58"/>
    </sheetView>
  </sheetViews>
  <sheetFormatPr defaultRowHeight="15" x14ac:dyDescent="0.25"/>
  <cols>
    <col min="1" max="1" width="28.5703125" bestFit="1" customWidth="1"/>
    <col min="2" max="2" width="12.28515625" bestFit="1" customWidth="1"/>
    <col min="6" max="6" width="18.140625" customWidth="1"/>
    <col min="8" max="8" width="30.7109375" bestFit="1" customWidth="1"/>
    <col min="9" max="9" width="11" customWidth="1"/>
    <col min="10" max="10" width="13.28515625" style="19" customWidth="1"/>
    <col min="11" max="11" width="11.7109375" style="19" customWidth="1"/>
  </cols>
  <sheetData>
    <row r="2" spans="1:15" x14ac:dyDescent="0.25">
      <c r="A2" s="11" t="s">
        <v>0</v>
      </c>
      <c r="B2" s="11"/>
      <c r="C2" s="11"/>
      <c r="D2" s="11"/>
      <c r="E2" s="11"/>
      <c r="F2" s="11"/>
      <c r="H2" s="13" t="s">
        <v>50</v>
      </c>
      <c r="I2" s="13"/>
      <c r="J2" s="22"/>
      <c r="K2" s="22"/>
      <c r="L2" s="12"/>
      <c r="M2" s="12"/>
      <c r="N2" s="12"/>
      <c r="O2" s="12"/>
    </row>
    <row r="4" spans="1:15" x14ac:dyDescent="0.25">
      <c r="A4" s="5" t="s">
        <v>15</v>
      </c>
      <c r="B4" s="5" t="s">
        <v>56</v>
      </c>
      <c r="C4" s="6" t="s">
        <v>1</v>
      </c>
      <c r="D4" s="6" t="s">
        <v>2</v>
      </c>
      <c r="E4" s="6" t="s">
        <v>8</v>
      </c>
      <c r="F4" s="9" t="s">
        <v>49</v>
      </c>
      <c r="H4" s="5"/>
      <c r="I4" s="5" t="s">
        <v>56</v>
      </c>
      <c r="J4" s="23" t="s">
        <v>1</v>
      </c>
      <c r="K4" s="23" t="s">
        <v>2</v>
      </c>
    </row>
    <row r="5" spans="1:15" x14ac:dyDescent="0.25">
      <c r="A5" s="7" t="s">
        <v>13</v>
      </c>
      <c r="C5">
        <v>31</v>
      </c>
      <c r="D5">
        <v>31</v>
      </c>
      <c r="E5">
        <v>31</v>
      </c>
      <c r="H5" s="8" t="s">
        <v>58</v>
      </c>
      <c r="I5" s="5"/>
      <c r="J5" s="19">
        <f>24*C$5</f>
        <v>744</v>
      </c>
      <c r="K5" s="19">
        <f>24*D$5</f>
        <v>744</v>
      </c>
    </row>
    <row r="6" spans="1:15" x14ac:dyDescent="0.25">
      <c r="A6" s="7" t="s">
        <v>3</v>
      </c>
      <c r="B6" t="s">
        <v>4</v>
      </c>
      <c r="C6">
        <v>9.5</v>
      </c>
      <c r="D6">
        <v>22.5</v>
      </c>
      <c r="E6">
        <v>15</v>
      </c>
      <c r="H6" s="8" t="s">
        <v>59</v>
      </c>
      <c r="I6" t="s">
        <v>48</v>
      </c>
      <c r="J6" s="24">
        <f>J5*C6</f>
        <v>7068</v>
      </c>
      <c r="K6" s="24">
        <f>K5*D6</f>
        <v>16740</v>
      </c>
      <c r="L6" s="18"/>
    </row>
    <row r="7" spans="1:15" x14ac:dyDescent="0.25">
      <c r="A7" s="7" t="s">
        <v>9</v>
      </c>
      <c r="B7" t="s">
        <v>4</v>
      </c>
      <c r="C7">
        <v>2</v>
      </c>
      <c r="D7">
        <v>5.5</v>
      </c>
      <c r="H7" s="8" t="s">
        <v>72</v>
      </c>
      <c r="I7" s="14" t="s">
        <v>48</v>
      </c>
      <c r="J7" s="24">
        <f>EtaRgkOvn2/EtaQNomOvn2*J6</f>
        <v>1488</v>
      </c>
      <c r="K7" s="24">
        <f>EtaRgkOvn2/EtaQNomOvn2*K6</f>
        <v>3524.2105263157891</v>
      </c>
    </row>
    <row r="8" spans="1:15" x14ac:dyDescent="0.25">
      <c r="A8" s="7" t="s">
        <v>5</v>
      </c>
      <c r="B8" t="s">
        <v>6</v>
      </c>
      <c r="D8">
        <v>8</v>
      </c>
      <c r="H8" s="8" t="s">
        <v>73</v>
      </c>
      <c r="I8" s="14" t="s">
        <v>48</v>
      </c>
      <c r="J8" s="24">
        <f>SUM(J6:J7)</f>
        <v>8556</v>
      </c>
      <c r="K8" s="24">
        <f>SUM(K6:K7)</f>
        <v>20264.21052631579</v>
      </c>
    </row>
    <row r="9" spans="1:15" x14ac:dyDescent="0.25">
      <c r="A9" s="7" t="s">
        <v>7</v>
      </c>
      <c r="B9" t="s">
        <v>14</v>
      </c>
      <c r="D9">
        <v>25</v>
      </c>
      <c r="H9" s="8" t="s">
        <v>60</v>
      </c>
      <c r="I9" t="s">
        <v>61</v>
      </c>
      <c r="J9" s="19">
        <f>J6/EtaQNomOvn2</f>
        <v>8374.4075829383892</v>
      </c>
      <c r="K9" s="19">
        <f>K6/EtaQNomOvn3</f>
        <v>25518.292682926829</v>
      </c>
    </row>
    <row r="10" spans="1:15" x14ac:dyDescent="0.25">
      <c r="A10" s="7" t="s">
        <v>10</v>
      </c>
      <c r="C10" s="3">
        <v>0.84399999999999997</v>
      </c>
      <c r="D10" s="3">
        <v>0.65600000000000003</v>
      </c>
      <c r="H10" s="8" t="s">
        <v>62</v>
      </c>
      <c r="I10" s="14" t="s">
        <v>18</v>
      </c>
      <c r="J10" s="24">
        <f>J9*3.6/Htotal</f>
        <v>2844.1384243941702</v>
      </c>
      <c r="K10" s="24">
        <f>K9/(Htotal/3.6)</f>
        <v>8666.5899677864709</v>
      </c>
    </row>
    <row r="11" spans="1:15" x14ac:dyDescent="0.25">
      <c r="A11" s="7" t="s">
        <v>11</v>
      </c>
      <c r="C11" s="4">
        <f>C7/C6*C10</f>
        <v>0.17768421052631578</v>
      </c>
      <c r="D11" s="4">
        <f>D7/D6*D10</f>
        <v>0.16035555555555556</v>
      </c>
      <c r="H11" s="7"/>
      <c r="J11" s="24"/>
      <c r="K11" s="24"/>
    </row>
    <row r="12" spans="1:15" x14ac:dyDescent="0.25">
      <c r="A12" s="7" t="s">
        <v>76</v>
      </c>
      <c r="C12" s="4">
        <f>SUM(C10:C11)</f>
        <v>1.0216842105263158</v>
      </c>
      <c r="D12" s="4">
        <f>SUM(D10:D11)</f>
        <v>0.81635555555555561</v>
      </c>
      <c r="H12" s="7"/>
      <c r="J12" s="23" t="s">
        <v>51</v>
      </c>
      <c r="K12" s="23" t="s">
        <v>52</v>
      </c>
    </row>
    <row r="13" spans="1:15" x14ac:dyDescent="0.25">
      <c r="A13" s="7" t="s">
        <v>12</v>
      </c>
      <c r="D13" s="1">
        <v>0.22470000000000001</v>
      </c>
      <c r="H13" s="8" t="s">
        <v>64</v>
      </c>
      <c r="I13" t="s">
        <v>48</v>
      </c>
      <c r="J13" s="24">
        <f>MIN(Qdemand,K6,EtaQNomOvn3*$K$10*Htotal)</f>
        <v>16740</v>
      </c>
      <c r="K13" s="24">
        <f>MIN(Qdemand,K8,EtaQmaxOvn3*$K$10*Htotal)</f>
        <v>20264.21052631579</v>
      </c>
    </row>
    <row r="14" spans="1:15" x14ac:dyDescent="0.25">
      <c r="A14" s="7" t="s">
        <v>23</v>
      </c>
      <c r="B14" t="s">
        <v>24</v>
      </c>
      <c r="C14">
        <v>30</v>
      </c>
      <c r="D14">
        <v>50</v>
      </c>
      <c r="E14">
        <v>10</v>
      </c>
      <c r="H14" s="7" t="s">
        <v>67</v>
      </c>
      <c r="I14" t="s">
        <v>18</v>
      </c>
      <c r="J14" s="19">
        <f>$J$13/EtaQNomOvn3/(Htotal/3.6)</f>
        <v>8666.5899677864709</v>
      </c>
      <c r="K14" s="19">
        <f>$J$13/EtaQmaxOvn3/(Htotal/3.6)</f>
        <v>6964.2240812569844</v>
      </c>
    </row>
    <row r="15" spans="1:15" x14ac:dyDescent="0.25">
      <c r="A15" s="7"/>
      <c r="H15" s="7" t="s">
        <v>65</v>
      </c>
      <c r="I15" t="s">
        <v>48</v>
      </c>
      <c r="J15" s="24">
        <f>Qdemand-J13</f>
        <v>11375</v>
      </c>
      <c r="K15" s="24">
        <f>Qdemand-K13</f>
        <v>7850.78947368421</v>
      </c>
    </row>
    <row r="16" spans="1:15" x14ac:dyDescent="0.25">
      <c r="A16" s="9" t="s">
        <v>16</v>
      </c>
      <c r="C16" s="6" t="s">
        <v>17</v>
      </c>
      <c r="D16" s="6" t="s">
        <v>19</v>
      </c>
      <c r="E16" s="6" t="s">
        <v>25</v>
      </c>
      <c r="H16" s="7" t="s">
        <v>66</v>
      </c>
      <c r="I16" t="s">
        <v>18</v>
      </c>
      <c r="J16" s="24">
        <f>Ftotal-J14</f>
        <v>3333.4100322135291</v>
      </c>
      <c r="K16" s="24">
        <f>Ftotal-K14</f>
        <v>5035.7759187430156</v>
      </c>
    </row>
    <row r="17" spans="1:11" x14ac:dyDescent="0.25">
      <c r="A17" s="7" t="s">
        <v>21</v>
      </c>
      <c r="B17" t="s">
        <v>22</v>
      </c>
      <c r="C17" s="10">
        <v>1</v>
      </c>
      <c r="D17" s="10">
        <v>1</v>
      </c>
      <c r="E17">
        <v>1</v>
      </c>
      <c r="H17" s="8" t="s">
        <v>70</v>
      </c>
      <c r="I17" t="s">
        <v>48</v>
      </c>
      <c r="J17" s="24">
        <f>MIN(J15,NSvarme)</f>
        <v>4000</v>
      </c>
      <c r="K17" s="24">
        <f>MIN(K15,NSvarme)</f>
        <v>4000</v>
      </c>
    </row>
    <row r="18" spans="1:11" x14ac:dyDescent="0.25">
      <c r="A18" s="7" t="s">
        <v>20</v>
      </c>
      <c r="B18" t="s">
        <v>18</v>
      </c>
      <c r="C18" s="7">
        <v>12000</v>
      </c>
      <c r="D18">
        <v>0</v>
      </c>
      <c r="E18">
        <v>4000</v>
      </c>
      <c r="H18" s="7" t="s">
        <v>65</v>
      </c>
      <c r="I18" t="s">
        <v>48</v>
      </c>
      <c r="J18" s="24">
        <f>J15-J17</f>
        <v>7375</v>
      </c>
      <c r="K18" s="24">
        <f>K15-K17</f>
        <v>3850.78947368421</v>
      </c>
    </row>
    <row r="19" spans="1:11" x14ac:dyDescent="0.25">
      <c r="A19" s="7" t="s">
        <v>63</v>
      </c>
      <c r="C19" s="2">
        <f>C18/SUM($C$18:$D$18)</f>
        <v>1</v>
      </c>
      <c r="D19" s="2">
        <f>D18/SUM($C$18:$D$18)</f>
        <v>0</v>
      </c>
      <c r="H19" s="8" t="s">
        <v>71</v>
      </c>
      <c r="I19" t="s">
        <v>48</v>
      </c>
      <c r="J19" s="24">
        <f>MIN($J$18,J6,EtaQNomOvn2*(J16*Htotal)/3.6)</f>
        <v>7068</v>
      </c>
      <c r="K19" s="24">
        <f>MIN($K$18,J8,($C$10+$C$11)*(K16*Htotal)/3.6)</f>
        <v>3850.78947368421</v>
      </c>
    </row>
    <row r="20" spans="1:11" x14ac:dyDescent="0.25">
      <c r="A20" s="7" t="s">
        <v>45</v>
      </c>
      <c r="B20" t="s">
        <v>29</v>
      </c>
      <c r="C20">
        <v>525</v>
      </c>
      <c r="D20">
        <f>-6.5*3.6</f>
        <v>-23.400000000000002</v>
      </c>
      <c r="E20">
        <v>0</v>
      </c>
      <c r="H20" s="7" t="s">
        <v>67</v>
      </c>
      <c r="I20" t="s">
        <v>18</v>
      </c>
      <c r="J20" s="24">
        <f>$J$19/EtaQNomOvn2/(Htotal/3.6)</f>
        <v>2844.1384243941702</v>
      </c>
      <c r="K20" s="24">
        <f>$K$19/EtaQNomOvn2/(Htotal/3.6)</f>
        <v>1549.5441859589507</v>
      </c>
    </row>
    <row r="21" spans="1:11" x14ac:dyDescent="0.25">
      <c r="A21" s="7" t="s">
        <v>34</v>
      </c>
      <c r="B21" t="s">
        <v>35</v>
      </c>
      <c r="C21">
        <v>10.6</v>
      </c>
      <c r="D21">
        <v>14</v>
      </c>
      <c r="E21">
        <v>3.6</v>
      </c>
      <c r="H21" s="7" t="s">
        <v>65</v>
      </c>
      <c r="I21" t="s">
        <v>48</v>
      </c>
      <c r="J21" s="24">
        <f>J18-J19</f>
        <v>307</v>
      </c>
      <c r="K21" s="24">
        <f>K18-K19</f>
        <v>0</v>
      </c>
    </row>
    <row r="22" spans="1:11" x14ac:dyDescent="0.25">
      <c r="A22" s="7" t="s">
        <v>42</v>
      </c>
      <c r="B22" t="s">
        <v>40</v>
      </c>
      <c r="C22">
        <v>37</v>
      </c>
      <c r="D22">
        <v>0</v>
      </c>
      <c r="E22">
        <v>0</v>
      </c>
      <c r="H22" s="7" t="s">
        <v>66</v>
      </c>
      <c r="I22" t="s">
        <v>18</v>
      </c>
      <c r="J22" s="24">
        <f>J16-J20</f>
        <v>489.27160781935891</v>
      </c>
      <c r="K22" s="24">
        <f>K16-K20</f>
        <v>3486.2317327840647</v>
      </c>
    </row>
    <row r="23" spans="1:11" x14ac:dyDescent="0.25">
      <c r="A23" s="7" t="s">
        <v>43</v>
      </c>
      <c r="B23" t="s">
        <v>40</v>
      </c>
      <c r="C23">
        <v>42.5</v>
      </c>
      <c r="D23">
        <v>0</v>
      </c>
      <c r="E23">
        <v>0</v>
      </c>
      <c r="H23" s="8" t="s">
        <v>74</v>
      </c>
      <c r="I23" t="s">
        <v>48</v>
      </c>
      <c r="J23" s="24">
        <f>J13+J19</f>
        <v>23808</v>
      </c>
      <c r="K23" s="24">
        <f>K13+K19</f>
        <v>24115</v>
      </c>
    </row>
    <row r="24" spans="1:11" x14ac:dyDescent="0.25">
      <c r="A24" s="7"/>
      <c r="H24" s="8" t="s">
        <v>75</v>
      </c>
      <c r="I24" t="s">
        <v>48</v>
      </c>
      <c r="J24" s="24">
        <f>J21</f>
        <v>307</v>
      </c>
      <c r="K24" s="24">
        <f>K21</f>
        <v>0</v>
      </c>
    </row>
    <row r="25" spans="1:11" x14ac:dyDescent="0.25">
      <c r="A25" s="9" t="s">
        <v>26</v>
      </c>
      <c r="H25" s="7" t="s">
        <v>105</v>
      </c>
      <c r="I25" t="s">
        <v>48</v>
      </c>
      <c r="J25" s="19">
        <f>$J$6-$J$19</f>
        <v>0</v>
      </c>
      <c r="K25" s="19">
        <f>$J$6-$J$19</f>
        <v>0</v>
      </c>
    </row>
    <row r="26" spans="1:11" x14ac:dyDescent="0.25">
      <c r="A26" s="7" t="s">
        <v>33</v>
      </c>
      <c r="B26" t="s">
        <v>28</v>
      </c>
      <c r="C26">
        <v>311</v>
      </c>
      <c r="H26" s="7" t="s">
        <v>106</v>
      </c>
      <c r="I26" t="s">
        <v>48</v>
      </c>
      <c r="J26" s="19">
        <f>$K$6-$J$13</f>
        <v>0</v>
      </c>
      <c r="K26" s="19">
        <f>$K$6-$J$13</f>
        <v>0</v>
      </c>
    </row>
    <row r="27" spans="1:11" x14ac:dyDescent="0.25">
      <c r="A27" s="7" t="s">
        <v>30</v>
      </c>
      <c r="B27" t="s">
        <v>31</v>
      </c>
      <c r="C27">
        <v>800</v>
      </c>
      <c r="H27" s="7" t="s">
        <v>108</v>
      </c>
      <c r="I27" t="s">
        <v>48</v>
      </c>
      <c r="J27" s="19">
        <f>MIN(J26,EtaQNomOvn3*J22*Htotal/3.6)</f>
        <v>0</v>
      </c>
      <c r="K27" s="19">
        <f>MIN(K26,EtaQNomOvn3*K22*Htotal/3.6)</f>
        <v>0</v>
      </c>
    </row>
    <row r="28" spans="1:11" x14ac:dyDescent="0.25">
      <c r="A28" s="7" t="s">
        <v>46</v>
      </c>
      <c r="B28" t="s">
        <v>31</v>
      </c>
      <c r="C28">
        <v>4</v>
      </c>
      <c r="H28" s="7" t="s">
        <v>109</v>
      </c>
      <c r="I28" t="s">
        <v>18</v>
      </c>
      <c r="J28" s="19">
        <f>J27/EtaQNomOvn3/(Htotal/3.6)</f>
        <v>0</v>
      </c>
      <c r="K28" s="19">
        <f>K27/EtaQNomOvn3/(Htotal/3.6)</f>
        <v>0</v>
      </c>
    </row>
    <row r="29" spans="1:11" x14ac:dyDescent="0.25">
      <c r="A29" s="7" t="s">
        <v>32</v>
      </c>
      <c r="B29" t="s">
        <v>44</v>
      </c>
      <c r="C29">
        <v>410</v>
      </c>
      <c r="H29" s="7" t="s">
        <v>66</v>
      </c>
      <c r="I29" t="s">
        <v>18</v>
      </c>
      <c r="J29" s="19">
        <f>J22-J28</f>
        <v>489.27160781935891</v>
      </c>
      <c r="K29" s="19">
        <f>K22-K28</f>
        <v>3486.2317327840647</v>
      </c>
    </row>
    <row r="30" spans="1:11" x14ac:dyDescent="0.25">
      <c r="A30" s="7" t="s">
        <v>36</v>
      </c>
      <c r="B30" t="s">
        <v>41</v>
      </c>
      <c r="C30">
        <v>25.8</v>
      </c>
      <c r="H30" s="7" t="s">
        <v>107</v>
      </c>
      <c r="I30" t="s">
        <v>48</v>
      </c>
      <c r="J30" s="19">
        <f>MIN(J25,EtaQNomOvn3*J29*Htotal/3.6)</f>
        <v>0</v>
      </c>
      <c r="K30" s="19">
        <f>MIN(K25,EtaQNomOvn3*K29*Htotal/3.6)</f>
        <v>0</v>
      </c>
    </row>
    <row r="31" spans="1:11" x14ac:dyDescent="0.25">
      <c r="A31" s="7" t="s">
        <v>37</v>
      </c>
      <c r="B31" t="s">
        <v>41</v>
      </c>
      <c r="C31">
        <v>31.8</v>
      </c>
      <c r="H31" s="7" t="s">
        <v>110</v>
      </c>
      <c r="I31" t="s">
        <v>18</v>
      </c>
      <c r="J31" s="19">
        <f>J30/EtaQNomOvn2/(Htotal/3.6)</f>
        <v>0</v>
      </c>
      <c r="K31" s="19">
        <f>K30/EtaQNomOvn2/(Htotal/3.6)</f>
        <v>0</v>
      </c>
    </row>
    <row r="32" spans="1:11" x14ac:dyDescent="0.25">
      <c r="A32" s="7" t="s">
        <v>38</v>
      </c>
      <c r="B32" t="s">
        <v>44</v>
      </c>
      <c r="C32">
        <v>178.5</v>
      </c>
      <c r="H32" s="7" t="s">
        <v>66</v>
      </c>
      <c r="I32" t="s">
        <v>18</v>
      </c>
      <c r="J32" s="19">
        <f>J29-J31</f>
        <v>489.27160781935891</v>
      </c>
      <c r="K32" s="19">
        <f>K29-K31</f>
        <v>3486.2317327840647</v>
      </c>
    </row>
    <row r="33" spans="1:11" x14ac:dyDescent="0.25">
      <c r="H33" s="7"/>
    </row>
    <row r="34" spans="1:11" x14ac:dyDescent="0.25">
      <c r="A34" s="9" t="s">
        <v>39</v>
      </c>
      <c r="H34" s="7" t="s">
        <v>53</v>
      </c>
      <c r="I34" t="s">
        <v>48</v>
      </c>
      <c r="J34" s="19">
        <f>J27+J30</f>
        <v>0</v>
      </c>
      <c r="K34" s="19">
        <f>K27+K30</f>
        <v>0</v>
      </c>
    </row>
    <row r="35" spans="1:11" x14ac:dyDescent="0.25">
      <c r="A35" s="7" t="s">
        <v>47</v>
      </c>
      <c r="B35" t="s">
        <v>48</v>
      </c>
      <c r="C35">
        <v>28115</v>
      </c>
      <c r="H35" s="7" t="s">
        <v>126</v>
      </c>
      <c r="I35" t="s">
        <v>18</v>
      </c>
      <c r="J35" s="19">
        <f>SUM($C$18:$D$18)-J36</f>
        <v>11510.728392180641</v>
      </c>
      <c r="K35" s="19">
        <f>SUM($C$18:$D$18)-K36</f>
        <v>8513.7682672159353</v>
      </c>
    </row>
    <row r="36" spans="1:11" x14ac:dyDescent="0.25">
      <c r="A36" s="7" t="s">
        <v>69</v>
      </c>
      <c r="B36" t="s">
        <v>18</v>
      </c>
      <c r="C36" s="16">
        <f>SUM(C18:D18)</f>
        <v>12000</v>
      </c>
      <c r="H36" s="7" t="s">
        <v>127</v>
      </c>
      <c r="I36" t="s">
        <v>18</v>
      </c>
      <c r="J36" s="24">
        <f>J22</f>
        <v>489.27160781935891</v>
      </c>
      <c r="K36" s="24">
        <f>K22</f>
        <v>3486.2317327840647</v>
      </c>
    </row>
    <row r="37" spans="1:11" x14ac:dyDescent="0.25">
      <c r="A37" s="7" t="s">
        <v>68</v>
      </c>
      <c r="B37" t="s">
        <v>35</v>
      </c>
      <c r="C37" s="17">
        <f>(C18*C21+D18*D21)/C36</f>
        <v>10.6</v>
      </c>
      <c r="D37" s="15">
        <f>Htotal/3.6</f>
        <v>2.9444444444444442</v>
      </c>
      <c r="H37" s="7"/>
      <c r="J37" s="24"/>
      <c r="K37" s="24"/>
    </row>
    <row r="38" spans="1:11" x14ac:dyDescent="0.25">
      <c r="A38" s="7"/>
      <c r="H38" t="s">
        <v>54</v>
      </c>
      <c r="I38" t="s">
        <v>57</v>
      </c>
      <c r="J38" s="19">
        <f>EtaE*(J14+J28)*Htotal/3.6</f>
        <v>5733.960365853658</v>
      </c>
      <c r="K38" s="26">
        <f>EtaE*(K14+K28)*Htotal/3.6</f>
        <v>4607.6467225609749</v>
      </c>
    </row>
    <row r="39" spans="1:11" x14ac:dyDescent="0.25">
      <c r="H39" t="s">
        <v>7</v>
      </c>
      <c r="I39" t="s">
        <v>57</v>
      </c>
      <c r="J39" s="19">
        <f>$D$5*$D$9</f>
        <v>775</v>
      </c>
      <c r="K39" s="19">
        <f>$D$5*$D$9</f>
        <v>775</v>
      </c>
    </row>
    <row r="40" spans="1:11" x14ac:dyDescent="0.25">
      <c r="H40" t="s">
        <v>55</v>
      </c>
      <c r="I40" t="s">
        <v>57</v>
      </c>
      <c r="J40" s="19">
        <f>J38-J39</f>
        <v>4958.960365853658</v>
      </c>
      <c r="K40" s="19">
        <f>K38-K39</f>
        <v>3832.6467225609749</v>
      </c>
    </row>
    <row r="41" spans="1:11" x14ac:dyDescent="0.25">
      <c r="H41" t="s">
        <v>122</v>
      </c>
      <c r="I41" t="s">
        <v>48</v>
      </c>
      <c r="J41" s="19">
        <f>J19+J30</f>
        <v>7068</v>
      </c>
      <c r="K41" s="19">
        <f>K19+K30</f>
        <v>3850.78947368421</v>
      </c>
    </row>
    <row r="42" spans="1:11" x14ac:dyDescent="0.25">
      <c r="H42" t="s">
        <v>123</v>
      </c>
      <c r="I42" t="s">
        <v>48</v>
      </c>
      <c r="J42" s="19">
        <f>J13+J27</f>
        <v>16740</v>
      </c>
      <c r="K42" s="19">
        <f>K13+K27</f>
        <v>20264.21052631579</v>
      </c>
    </row>
    <row r="43" spans="1:11" x14ac:dyDescent="0.25">
      <c r="H43" t="s">
        <v>118</v>
      </c>
      <c r="I43" t="s">
        <v>48</v>
      </c>
      <c r="J43" s="19">
        <f>SUM(J41:J42)</f>
        <v>23808</v>
      </c>
      <c r="K43" s="19">
        <f>SUM(K41:K42)</f>
        <v>24115</v>
      </c>
    </row>
    <row r="44" spans="1:11" x14ac:dyDescent="0.25">
      <c r="H44" s="7" t="s">
        <v>124</v>
      </c>
      <c r="I44" t="s">
        <v>48</v>
      </c>
      <c r="J44" s="19">
        <v>0</v>
      </c>
      <c r="K44" s="19">
        <f>(EtaRgkOvn2*K14+EtaRgkOvn3*K20)*Htotal/3.6</f>
        <v>4375.1814366668395</v>
      </c>
    </row>
    <row r="45" spans="1:11" x14ac:dyDescent="0.25">
      <c r="H45" s="7" t="s">
        <v>137</v>
      </c>
      <c r="J45" s="19">
        <v>0</v>
      </c>
      <c r="K45" s="2">
        <f>K44/K46</f>
        <v>0.15232514882516854</v>
      </c>
    </row>
    <row r="46" spans="1:11" x14ac:dyDescent="0.25">
      <c r="H46" t="s">
        <v>116</v>
      </c>
      <c r="I46" t="s">
        <v>117</v>
      </c>
      <c r="J46" s="19">
        <f>J43+J38</f>
        <v>29541.960365853658</v>
      </c>
      <c r="K46" s="19">
        <f>K43+K38</f>
        <v>28722.646722560974</v>
      </c>
    </row>
    <row r="47" spans="1:11" x14ac:dyDescent="0.25">
      <c r="H47" t="s">
        <v>119</v>
      </c>
      <c r="I47" t="s">
        <v>48</v>
      </c>
      <c r="J47" s="19">
        <f>J43-J34</f>
        <v>23808</v>
      </c>
      <c r="K47" s="19">
        <f>K43-K34</f>
        <v>24115</v>
      </c>
    </row>
    <row r="49" spans="8:11" x14ac:dyDescent="0.25">
      <c r="H49" s="5" t="s">
        <v>131</v>
      </c>
    </row>
    <row r="50" spans="8:11" x14ac:dyDescent="0.25">
      <c r="H50" t="s">
        <v>133</v>
      </c>
      <c r="I50" t="s">
        <v>61</v>
      </c>
      <c r="J50" s="19">
        <f>J$35*$C$19*$C$21/3.6</f>
        <v>33892.70026586522</v>
      </c>
      <c r="K50" s="19">
        <f>K$35*$C$19*$C$21/3.6</f>
        <v>25068.317675691364</v>
      </c>
    </row>
    <row r="51" spans="8:11" x14ac:dyDescent="0.25">
      <c r="H51" t="s">
        <v>134</v>
      </c>
      <c r="I51" t="s">
        <v>61</v>
      </c>
      <c r="J51" s="19">
        <f>J$35*$D$19*$D$21/3.6</f>
        <v>0</v>
      </c>
      <c r="K51" s="19">
        <f>K$35*$D$19*$D$21/3.6</f>
        <v>0</v>
      </c>
    </row>
    <row r="53" spans="8:11" x14ac:dyDescent="0.25">
      <c r="H53" t="s">
        <v>132</v>
      </c>
      <c r="I53" t="s">
        <v>117</v>
      </c>
      <c r="J53" s="19">
        <f>J46/0.85 - J51</f>
        <v>34755.247489239599</v>
      </c>
      <c r="K53" s="19">
        <f>K46/0.95 - K51</f>
        <v>30234.364971116815</v>
      </c>
    </row>
    <row r="54" spans="8:11" x14ac:dyDescent="0.25">
      <c r="H54" t="s">
        <v>138</v>
      </c>
      <c r="I54" t="s">
        <v>48</v>
      </c>
      <c r="J54" s="19">
        <f>J43*J53/(J53+J51)</f>
        <v>23808</v>
      </c>
      <c r="K54" s="19">
        <f>K43*K53/(K53+K51)</f>
        <v>24115</v>
      </c>
    </row>
    <row r="55" spans="8:11" x14ac:dyDescent="0.25">
      <c r="H55" t="s">
        <v>135</v>
      </c>
      <c r="I55" t="s">
        <v>57</v>
      </c>
      <c r="J55" s="19">
        <f>J38*J53/(J53+J51)</f>
        <v>5733.960365853658</v>
      </c>
      <c r="K55" s="19">
        <f>K38*K53/(K53+K51)</f>
        <v>4607.6467225609749</v>
      </c>
    </row>
    <row r="56" spans="8:11" x14ac:dyDescent="0.25">
      <c r="H56" t="s">
        <v>136</v>
      </c>
      <c r="I56" t="s">
        <v>48</v>
      </c>
      <c r="J56" s="19">
        <f>J54/1.2</f>
        <v>19840</v>
      </c>
      <c r="K56" s="19">
        <f>(K54-0.1*(K54+K55))/1.2</f>
        <v>17702.279439786587</v>
      </c>
    </row>
    <row r="57" spans="8:11" x14ac:dyDescent="0.25">
      <c r="H57" t="s">
        <v>139</v>
      </c>
      <c r="I57" t="s">
        <v>48</v>
      </c>
      <c r="J57" s="19">
        <f>J56</f>
        <v>19840</v>
      </c>
      <c r="K57" s="19">
        <f>K56</f>
        <v>17702.279439786587</v>
      </c>
    </row>
    <row r="59" spans="8:11" x14ac:dyDescent="0.25">
      <c r="H59" s="5" t="s">
        <v>111</v>
      </c>
      <c r="I59" s="5"/>
      <c r="J59" s="25"/>
      <c r="K59" s="25"/>
    </row>
    <row r="60" spans="8:11" x14ac:dyDescent="0.25">
      <c r="H60" s="21" t="s">
        <v>27</v>
      </c>
      <c r="I60" s="14" t="s">
        <v>112</v>
      </c>
      <c r="J60" s="24">
        <f>Varmesalgspris*J47</f>
        <v>7404288</v>
      </c>
      <c r="K60" s="24">
        <f>Varmesalgspris*K47</f>
        <v>7499765</v>
      </c>
    </row>
    <row r="61" spans="8:11" x14ac:dyDescent="0.25">
      <c r="H61" s="21" t="s">
        <v>114</v>
      </c>
      <c r="I61" s="14" t="s">
        <v>112</v>
      </c>
      <c r="J61" s="24">
        <f>(Elpris-ElprodTarif)*J40</f>
        <v>3947332.4512195117</v>
      </c>
      <c r="K61" s="24">
        <f>(Elpris-ElprodTarif)*K40</f>
        <v>3050786.791158536</v>
      </c>
    </row>
    <row r="62" spans="8:11" x14ac:dyDescent="0.25">
      <c r="H62" s="21" t="s">
        <v>115</v>
      </c>
      <c r="I62" s="14" t="s">
        <v>112</v>
      </c>
      <c r="J62" s="24">
        <v>0</v>
      </c>
      <c r="K62" s="24">
        <f>IF(K44&lt;7%*K46,0,10%)*K68</f>
        <v>202655.69502667687</v>
      </c>
    </row>
    <row r="63" spans="8:11" x14ac:dyDescent="0.25">
      <c r="H63" s="21" t="s">
        <v>113</v>
      </c>
      <c r="I63" s="14" t="s">
        <v>112</v>
      </c>
      <c r="J63" s="24">
        <f>$C$20*($C$18-J36*$C$19)</f>
        <v>6043132.4058948364</v>
      </c>
      <c r="K63" s="24">
        <f>$C$20*($C$18-K36*$C$19)</f>
        <v>4469728.3402883662</v>
      </c>
    </row>
    <row r="65" spans="8:11" x14ac:dyDescent="0.25">
      <c r="H65" s="21" t="s">
        <v>120</v>
      </c>
      <c r="I65" s="14" t="s">
        <v>112</v>
      </c>
      <c r="J65" s="19">
        <f>$D$20*($D$18-J36*$D$19)</f>
        <v>0</v>
      </c>
      <c r="K65" s="19">
        <f>$D$20*($D$18-K36*$D$19)</f>
        <v>0</v>
      </c>
    </row>
    <row r="66" spans="8:11" x14ac:dyDescent="0.25">
      <c r="H66" s="21" t="s">
        <v>121</v>
      </c>
      <c r="I66" s="14" t="s">
        <v>112</v>
      </c>
      <c r="J66" s="24">
        <f>$C$14*J41+$D$14*J42+$E$14*J34</f>
        <v>1049040</v>
      </c>
      <c r="K66" s="24">
        <f>$C$14*K41+$D$14*K42+$E$14*K34</f>
        <v>1128734.210526316</v>
      </c>
    </row>
    <row r="67" spans="8:11" x14ac:dyDescent="0.25">
      <c r="H67" s="21" t="s">
        <v>36</v>
      </c>
      <c r="I67" s="14" t="s">
        <v>112</v>
      </c>
      <c r="J67" s="24">
        <f>AFV*3.6*J47</f>
        <v>2211287.04</v>
      </c>
      <c r="K67" s="24">
        <f>AFV*3.6*K47</f>
        <v>2239801.2000000002</v>
      </c>
    </row>
    <row r="68" spans="8:11" x14ac:dyDescent="0.25">
      <c r="H68" s="21" t="s">
        <v>37</v>
      </c>
      <c r="I68" s="14" t="s">
        <v>112</v>
      </c>
      <c r="J68" s="19">
        <f>ATL*3.6*J56</f>
        <v>2271283.2000000002</v>
      </c>
      <c r="K68" s="19">
        <f>ATL*3.6*K56</f>
        <v>2026556.9502667687</v>
      </c>
    </row>
    <row r="69" spans="8:11" x14ac:dyDescent="0.25">
      <c r="H69" s="21" t="s">
        <v>38</v>
      </c>
      <c r="I69" s="14" t="s">
        <v>112</v>
      </c>
      <c r="J69" s="19">
        <f>CO2afgift*$C$22 /1000 *3.6*J56</f>
        <v>471719.80799999996</v>
      </c>
      <c r="K69" s="19">
        <f>CO2afgift*$C$22 /1000 *3.6*K56</f>
        <v>420892.93641625385</v>
      </c>
    </row>
    <row r="70" spans="8:11" x14ac:dyDescent="0.25">
      <c r="H70" s="21" t="s">
        <v>125</v>
      </c>
      <c r="I70" s="14" t="s">
        <v>112</v>
      </c>
      <c r="J70" s="19">
        <f>Kvotepris*$C$23/1000*10.6*J35</f>
        <v>2126089.0876777256</v>
      </c>
      <c r="K70" s="19">
        <f>Kvotepris*$C$23/1000*10.6*K35</f>
        <v>1572535.5677961195</v>
      </c>
    </row>
    <row r="72" spans="8:11" x14ac:dyDescent="0.25">
      <c r="H72" s="21" t="s">
        <v>128</v>
      </c>
      <c r="I72" s="14" t="s">
        <v>112</v>
      </c>
      <c r="J72" s="19">
        <f>SUM(J60:J63)</f>
        <v>17394752.857114349</v>
      </c>
      <c r="K72" s="19">
        <f>SUM(K60:K63)</f>
        <v>15222935.826473579</v>
      </c>
    </row>
    <row r="73" spans="8:11" x14ac:dyDescent="0.25">
      <c r="H73" s="21" t="s">
        <v>129</v>
      </c>
      <c r="I73" s="14" t="s">
        <v>112</v>
      </c>
      <c r="J73" s="19">
        <f>SUM(J65:J70)</f>
        <v>8129419.135677726</v>
      </c>
      <c r="K73" s="19">
        <f>SUM(K65:K70)</f>
        <v>7388520.8650054578</v>
      </c>
    </row>
    <row r="74" spans="8:11" x14ac:dyDescent="0.25">
      <c r="H74" s="21" t="s">
        <v>130</v>
      </c>
      <c r="I74" s="14" t="s">
        <v>112</v>
      </c>
      <c r="J74" s="19">
        <f>J72-J73</f>
        <v>9265333.7214366235</v>
      </c>
      <c r="K74" s="19">
        <f>K72-K73</f>
        <v>7834414.961468121</v>
      </c>
    </row>
  </sheetData>
  <mergeCells count="1">
    <mergeCell ref="A2:F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AE2D-0C92-4631-B92C-FB0A81AF4228}">
  <dimension ref="C2:P30"/>
  <sheetViews>
    <sheetView workbookViewId="0">
      <selection activeCell="M27" sqref="M27:N27"/>
    </sheetView>
  </sheetViews>
  <sheetFormatPr defaultRowHeight="15" x14ac:dyDescent="0.25"/>
  <cols>
    <col min="3" max="3" width="14.140625" bestFit="1" customWidth="1"/>
    <col min="6" max="6" width="14.140625" bestFit="1" customWidth="1"/>
    <col min="10" max="10" width="14.140625" bestFit="1" customWidth="1"/>
  </cols>
  <sheetData>
    <row r="2" spans="3:14" x14ac:dyDescent="0.25">
      <c r="C2" t="s">
        <v>99</v>
      </c>
      <c r="M2" t="s">
        <v>61</v>
      </c>
      <c r="N2" t="s">
        <v>61</v>
      </c>
    </row>
    <row r="3" spans="3:14" x14ac:dyDescent="0.25">
      <c r="D3" t="s">
        <v>77</v>
      </c>
      <c r="G3" t="s">
        <v>1</v>
      </c>
      <c r="H3" t="s">
        <v>2</v>
      </c>
      <c r="K3" t="s">
        <v>100</v>
      </c>
      <c r="M3" t="s">
        <v>1</v>
      </c>
      <c r="N3" t="s">
        <v>2</v>
      </c>
    </row>
    <row r="4" spans="3:14" x14ac:dyDescent="0.25">
      <c r="C4" t="s">
        <v>78</v>
      </c>
      <c r="D4" s="19">
        <v>11400.2114002</v>
      </c>
      <c r="F4" t="s">
        <v>78</v>
      </c>
      <c r="G4" s="19">
        <v>1382.27949725194</v>
      </c>
      <c r="H4" s="19">
        <v>2526.36441138806</v>
      </c>
      <c r="J4" t="s">
        <v>78</v>
      </c>
      <c r="K4" s="20">
        <v>10.5</v>
      </c>
      <c r="M4" s="19">
        <f>G4*$K4/3.6</f>
        <v>4031.6485336514916</v>
      </c>
      <c r="N4" s="19">
        <f>H4*$K4/3.6</f>
        <v>7368.5628665485083</v>
      </c>
    </row>
    <row r="5" spans="3:14" x14ac:dyDescent="0.25">
      <c r="C5" t="s">
        <v>79</v>
      </c>
      <c r="D5" s="19">
        <v>0</v>
      </c>
      <c r="F5" t="s">
        <v>79</v>
      </c>
      <c r="G5" s="19">
        <v>0</v>
      </c>
      <c r="H5" s="19">
        <v>0</v>
      </c>
      <c r="J5" t="s">
        <v>79</v>
      </c>
      <c r="K5" s="20">
        <v>10.5</v>
      </c>
      <c r="M5" s="19">
        <f t="shared" ref="M5:M24" si="0">G5*$K5/3.6</f>
        <v>0</v>
      </c>
      <c r="N5" s="19">
        <f t="shared" ref="N5:N24" si="1">H5*$K5/3.6</f>
        <v>0</v>
      </c>
    </row>
    <row r="6" spans="3:14" x14ac:dyDescent="0.25">
      <c r="C6" t="s">
        <v>80</v>
      </c>
      <c r="D6" s="19">
        <v>0</v>
      </c>
      <c r="F6" t="s">
        <v>80</v>
      </c>
      <c r="G6" s="19">
        <v>0</v>
      </c>
      <c r="H6" s="19">
        <v>0</v>
      </c>
      <c r="J6" t="s">
        <v>80</v>
      </c>
      <c r="K6" s="20">
        <v>10.5</v>
      </c>
      <c r="M6" s="19">
        <f t="shared" si="0"/>
        <v>0</v>
      </c>
      <c r="N6" s="19">
        <f t="shared" si="1"/>
        <v>0</v>
      </c>
    </row>
    <row r="7" spans="3:14" x14ac:dyDescent="0.25">
      <c r="C7" t="s">
        <v>81</v>
      </c>
      <c r="D7" s="19">
        <v>6154.3428210033298</v>
      </c>
      <c r="F7" t="s">
        <v>81</v>
      </c>
      <c r="G7" s="19">
        <v>0</v>
      </c>
      <c r="H7" s="19">
        <v>2356.9823569800001</v>
      </c>
      <c r="J7" t="s">
        <v>81</v>
      </c>
      <c r="K7" s="20">
        <v>9.4</v>
      </c>
      <c r="M7" s="19">
        <f t="shared" si="0"/>
        <v>0</v>
      </c>
      <c r="N7" s="19">
        <f t="shared" si="1"/>
        <v>6154.3428210033335</v>
      </c>
    </row>
    <row r="8" spans="3:14" x14ac:dyDescent="0.25">
      <c r="C8" t="s">
        <v>82</v>
      </c>
      <c r="D8" s="19">
        <v>1276.2179428833299</v>
      </c>
      <c r="F8" t="s">
        <v>82</v>
      </c>
      <c r="G8" s="19">
        <v>437.56043756000003</v>
      </c>
      <c r="H8" s="19">
        <v>0</v>
      </c>
      <c r="J8" t="s">
        <v>82</v>
      </c>
      <c r="K8" s="20">
        <v>10.5</v>
      </c>
      <c r="M8" s="19">
        <f t="shared" si="0"/>
        <v>1276.2179428833335</v>
      </c>
      <c r="N8" s="19">
        <f t="shared" si="1"/>
        <v>0</v>
      </c>
    </row>
    <row r="9" spans="3:14" x14ac:dyDescent="0.25">
      <c r="C9" t="s">
        <v>83</v>
      </c>
      <c r="D9" s="19">
        <v>0</v>
      </c>
      <c r="F9" t="s">
        <v>83</v>
      </c>
      <c r="G9" s="19">
        <v>0</v>
      </c>
      <c r="H9" s="19">
        <v>0</v>
      </c>
      <c r="J9" t="s">
        <v>83</v>
      </c>
      <c r="K9" s="20">
        <v>14.5</v>
      </c>
      <c r="M9" s="19">
        <f t="shared" si="0"/>
        <v>0</v>
      </c>
      <c r="N9" s="19">
        <f t="shared" si="1"/>
        <v>0</v>
      </c>
    </row>
    <row r="10" spans="3:14" x14ac:dyDescent="0.25">
      <c r="C10" t="s">
        <v>84</v>
      </c>
      <c r="D10" s="19">
        <v>972.20097220000002</v>
      </c>
      <c r="F10" t="s">
        <v>84</v>
      </c>
      <c r="G10" s="19">
        <v>291.66029165999998</v>
      </c>
      <c r="H10" s="19">
        <v>0</v>
      </c>
      <c r="J10" t="s">
        <v>84</v>
      </c>
      <c r="K10" s="20">
        <v>12</v>
      </c>
      <c r="M10" s="19">
        <f t="shared" si="0"/>
        <v>972.20097219999991</v>
      </c>
      <c r="N10" s="19">
        <f t="shared" si="1"/>
        <v>0</v>
      </c>
    </row>
    <row r="11" spans="3:14" x14ac:dyDescent="0.25">
      <c r="C11" t="s">
        <v>85</v>
      </c>
      <c r="D11" s="19">
        <v>15.375015375</v>
      </c>
      <c r="F11" t="s">
        <v>85</v>
      </c>
      <c r="G11" s="19">
        <v>6.1500061500000003</v>
      </c>
      <c r="H11" s="19">
        <v>0</v>
      </c>
      <c r="J11" t="s">
        <v>85</v>
      </c>
      <c r="K11" s="20">
        <v>9</v>
      </c>
      <c r="M11" s="19">
        <f t="shared" si="0"/>
        <v>15.375015375</v>
      </c>
      <c r="N11" s="19">
        <f t="shared" si="1"/>
        <v>0</v>
      </c>
    </row>
    <row r="12" spans="3:14" x14ac:dyDescent="0.25">
      <c r="C12" t="s">
        <v>86</v>
      </c>
      <c r="D12" s="19">
        <v>785.27856305555599</v>
      </c>
      <c r="F12" t="s">
        <v>86</v>
      </c>
      <c r="G12" s="19">
        <v>257.00025699999998</v>
      </c>
      <c r="H12" s="19">
        <v>0</v>
      </c>
      <c r="J12" t="s">
        <v>86</v>
      </c>
      <c r="K12" s="20">
        <v>11</v>
      </c>
      <c r="M12" s="19">
        <f t="shared" si="0"/>
        <v>785.27856305555542</v>
      </c>
      <c r="N12" s="19">
        <f t="shared" si="1"/>
        <v>0</v>
      </c>
    </row>
    <row r="13" spans="3:14" x14ac:dyDescent="0.25">
      <c r="C13" t="s">
        <v>87</v>
      </c>
      <c r="D13" s="19">
        <v>60.1667268333333</v>
      </c>
      <c r="F13" t="s">
        <v>87</v>
      </c>
      <c r="G13" s="19">
        <v>22.800022800000001</v>
      </c>
      <c r="H13" s="19">
        <v>0</v>
      </c>
      <c r="J13" t="s">
        <v>87</v>
      </c>
      <c r="K13" s="20">
        <v>9.5</v>
      </c>
      <c r="M13" s="19">
        <f t="shared" si="0"/>
        <v>60.166726833333335</v>
      </c>
      <c r="N13" s="19">
        <f t="shared" si="1"/>
        <v>0</v>
      </c>
    </row>
    <row r="14" spans="3:14" x14ac:dyDescent="0.25">
      <c r="C14" t="s">
        <v>88</v>
      </c>
      <c r="D14" s="19">
        <v>2540.00254</v>
      </c>
      <c r="F14" t="s">
        <v>88</v>
      </c>
      <c r="G14" s="19">
        <v>0</v>
      </c>
      <c r="H14" s="19">
        <v>1016.001016</v>
      </c>
      <c r="J14" t="s">
        <v>88</v>
      </c>
      <c r="K14" s="20">
        <v>9</v>
      </c>
      <c r="M14" s="19">
        <f t="shared" si="0"/>
        <v>0</v>
      </c>
      <c r="N14" s="19">
        <f t="shared" si="1"/>
        <v>2540.00254</v>
      </c>
    </row>
    <row r="15" spans="3:14" x14ac:dyDescent="0.25">
      <c r="C15" t="s">
        <v>89</v>
      </c>
      <c r="D15" s="19">
        <v>45.100045100000003</v>
      </c>
      <c r="F15" t="s">
        <v>89</v>
      </c>
      <c r="G15" s="19">
        <v>0</v>
      </c>
      <c r="H15" s="19">
        <v>13.53001353</v>
      </c>
      <c r="J15" t="s">
        <v>89</v>
      </c>
      <c r="K15" s="20">
        <v>12</v>
      </c>
      <c r="M15" s="19">
        <f t="shared" si="0"/>
        <v>0</v>
      </c>
      <c r="N15" s="19">
        <f t="shared" si="1"/>
        <v>45.100045100000003</v>
      </c>
    </row>
    <row r="16" spans="3:14" x14ac:dyDescent="0.25">
      <c r="C16" t="s">
        <v>90</v>
      </c>
      <c r="D16" s="19">
        <v>18.861129972222201</v>
      </c>
      <c r="F16" t="s">
        <v>90</v>
      </c>
      <c r="G16" s="19">
        <v>6.7900067899999996</v>
      </c>
      <c r="H16" s="19">
        <v>0</v>
      </c>
      <c r="J16" t="s">
        <v>90</v>
      </c>
      <c r="K16" s="20">
        <v>10</v>
      </c>
      <c r="M16" s="19">
        <f t="shared" si="0"/>
        <v>18.861129972222219</v>
      </c>
      <c r="N16" s="19">
        <f t="shared" si="1"/>
        <v>0</v>
      </c>
    </row>
    <row r="17" spans="3:16" x14ac:dyDescent="0.25">
      <c r="C17" t="s">
        <v>91</v>
      </c>
      <c r="D17" s="19">
        <v>0</v>
      </c>
      <c r="F17" t="s">
        <v>91</v>
      </c>
      <c r="G17" s="19">
        <v>0</v>
      </c>
      <c r="H17" s="19">
        <v>0</v>
      </c>
      <c r="J17" t="s">
        <v>91</v>
      </c>
      <c r="K17" s="20">
        <v>11</v>
      </c>
      <c r="M17" s="19">
        <f t="shared" si="0"/>
        <v>0</v>
      </c>
      <c r="N17" s="19">
        <f t="shared" si="1"/>
        <v>0</v>
      </c>
    </row>
    <row r="18" spans="3:16" x14ac:dyDescent="0.25">
      <c r="C18" t="s">
        <v>92</v>
      </c>
      <c r="D18" s="19">
        <v>9410.2844102750005</v>
      </c>
      <c r="F18" t="s">
        <v>92</v>
      </c>
      <c r="G18" s="19">
        <v>0</v>
      </c>
      <c r="H18" s="19">
        <v>3226.38322638</v>
      </c>
      <c r="J18" t="s">
        <v>92</v>
      </c>
      <c r="K18" s="20">
        <v>10.5</v>
      </c>
      <c r="M18" s="19">
        <f t="shared" si="0"/>
        <v>0</v>
      </c>
      <c r="N18" s="19">
        <f t="shared" si="1"/>
        <v>9410.2844102750005</v>
      </c>
    </row>
    <row r="19" spans="3:16" x14ac:dyDescent="0.25">
      <c r="C19" t="s">
        <v>93</v>
      </c>
      <c r="D19" s="19">
        <v>0</v>
      </c>
      <c r="F19" t="s">
        <v>93</v>
      </c>
      <c r="G19" s="19">
        <v>0</v>
      </c>
      <c r="H19" s="19">
        <v>0</v>
      </c>
      <c r="J19" t="s">
        <v>93</v>
      </c>
      <c r="K19" s="20">
        <v>10.5</v>
      </c>
      <c r="M19" s="19">
        <f t="shared" si="0"/>
        <v>0</v>
      </c>
      <c r="N19" s="19">
        <f t="shared" si="1"/>
        <v>0</v>
      </c>
    </row>
    <row r="20" spans="3:16" x14ac:dyDescent="0.25">
      <c r="C20" t="s">
        <v>94</v>
      </c>
      <c r="D20" s="19">
        <v>0</v>
      </c>
      <c r="F20" t="s">
        <v>94</v>
      </c>
      <c r="G20" s="19">
        <v>0</v>
      </c>
      <c r="H20" s="19">
        <v>0</v>
      </c>
      <c r="J20" t="s">
        <v>94</v>
      </c>
      <c r="K20" s="20">
        <v>13</v>
      </c>
      <c r="M20" s="19">
        <f t="shared" si="0"/>
        <v>0</v>
      </c>
      <c r="N20" s="19">
        <f t="shared" si="1"/>
        <v>0</v>
      </c>
    </row>
    <row r="21" spans="3:16" x14ac:dyDescent="0.25">
      <c r="C21" t="s">
        <v>95</v>
      </c>
      <c r="D21" s="19">
        <v>231.59745381944401</v>
      </c>
      <c r="F21" t="s">
        <v>95</v>
      </c>
      <c r="G21" s="19">
        <v>57.500057499999997</v>
      </c>
      <c r="H21" s="19">
        <v>0</v>
      </c>
      <c r="J21" t="s">
        <v>95</v>
      </c>
      <c r="K21" s="20">
        <v>14.5</v>
      </c>
      <c r="M21" s="19">
        <f t="shared" si="0"/>
        <v>231.59745381944444</v>
      </c>
      <c r="N21" s="19">
        <f t="shared" si="1"/>
        <v>0</v>
      </c>
    </row>
    <row r="22" spans="3:16" x14ac:dyDescent="0.25">
      <c r="C22" t="s">
        <v>96</v>
      </c>
      <c r="D22" s="19">
        <v>0</v>
      </c>
      <c r="F22" t="s">
        <v>96</v>
      </c>
      <c r="G22" s="19">
        <v>0</v>
      </c>
      <c r="H22" s="19">
        <v>0</v>
      </c>
      <c r="J22" t="s">
        <v>96</v>
      </c>
      <c r="K22" s="20">
        <v>14.7</v>
      </c>
      <c r="M22" s="19">
        <f t="shared" si="0"/>
        <v>0</v>
      </c>
      <c r="N22" s="19">
        <f t="shared" si="1"/>
        <v>0</v>
      </c>
    </row>
    <row r="23" spans="3:16" x14ac:dyDescent="0.25">
      <c r="C23" t="s">
        <v>97</v>
      </c>
      <c r="D23" s="19">
        <v>41.300041299999997</v>
      </c>
      <c r="F23" t="s">
        <v>97</v>
      </c>
      <c r="G23" s="19">
        <v>10.62001062</v>
      </c>
      <c r="H23" s="19">
        <v>0</v>
      </c>
      <c r="J23" t="s">
        <v>97</v>
      </c>
      <c r="K23" s="20">
        <v>14</v>
      </c>
      <c r="M23" s="19">
        <f t="shared" si="0"/>
        <v>41.300041299999997</v>
      </c>
      <c r="N23" s="19">
        <f t="shared" si="1"/>
        <v>0</v>
      </c>
    </row>
    <row r="24" spans="3:16" x14ac:dyDescent="0.25">
      <c r="C24" t="s">
        <v>98</v>
      </c>
      <c r="D24" s="19">
        <v>37.975037974999999</v>
      </c>
      <c r="F24" t="s">
        <v>98</v>
      </c>
      <c r="G24" s="19">
        <v>15.19001519</v>
      </c>
      <c r="H24" s="19">
        <v>0</v>
      </c>
      <c r="J24" t="s">
        <v>98</v>
      </c>
      <c r="K24" s="20">
        <v>9</v>
      </c>
      <c r="M24" s="19">
        <f t="shared" si="0"/>
        <v>37.975037974999999</v>
      </c>
      <c r="N24" s="19">
        <f t="shared" si="1"/>
        <v>0</v>
      </c>
    </row>
    <row r="25" spans="3:16" x14ac:dyDescent="0.25">
      <c r="D25" s="19">
        <f>SUM(D4:D24)</f>
        <v>32988.914099992209</v>
      </c>
      <c r="K25" s="19"/>
      <c r="L25" t="s">
        <v>103</v>
      </c>
      <c r="M25" s="19">
        <f>SUM(M4:M24)</f>
        <v>7470.6214170653802</v>
      </c>
      <c r="N25" s="19">
        <f>SUM(N4:N24)</f>
        <v>25518.29268292684</v>
      </c>
    </row>
    <row r="26" spans="3:16" x14ac:dyDescent="0.25">
      <c r="C26" s="1"/>
      <c r="D26">
        <f>C26*D25</f>
        <v>0</v>
      </c>
    </row>
    <row r="27" spans="3:16" x14ac:dyDescent="0.25">
      <c r="L27" t="s">
        <v>102</v>
      </c>
      <c r="M27" s="19">
        <f>M25*0.844</f>
        <v>6305.2044760031804</v>
      </c>
      <c r="N27" s="19">
        <f>N25*0.656</f>
        <v>16740.000000000007</v>
      </c>
    </row>
    <row r="28" spans="3:16" x14ac:dyDescent="0.25">
      <c r="D28" s="19">
        <f>SUMPRODUCT(G4:G24,K4:K24)+SUMPRODUCT(H4:H24,K4:K24)</f>
        <v>118760.09075997199</v>
      </c>
      <c r="E28" t="s">
        <v>104</v>
      </c>
    </row>
    <row r="29" spans="3:16" x14ac:dyDescent="0.25">
      <c r="D29" s="15">
        <f>D28/SUM(G4:H24)</f>
        <v>10.214329996215641</v>
      </c>
      <c r="E29" t="s">
        <v>35</v>
      </c>
      <c r="M29" t="s">
        <v>1</v>
      </c>
      <c r="N29" t="s">
        <v>2</v>
      </c>
      <c r="O29" t="s">
        <v>25</v>
      </c>
      <c r="P29" t="s">
        <v>101</v>
      </c>
    </row>
    <row r="30" spans="3:16" x14ac:dyDescent="0.25">
      <c r="L30" t="s">
        <v>77</v>
      </c>
      <c r="M30" s="19">
        <v>6305.2044760031904</v>
      </c>
      <c r="N30" s="19">
        <v>16740</v>
      </c>
      <c r="O30" s="19">
        <v>4000</v>
      </c>
      <c r="P30" s="19">
        <v>1069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Sheet1</vt:lpstr>
      <vt:lpstr>Sheet2</vt:lpstr>
      <vt:lpstr>AFV</vt:lpstr>
      <vt:lpstr>ATL</vt:lpstr>
      <vt:lpstr>CO2afgift</vt:lpstr>
      <vt:lpstr>Elpris</vt:lpstr>
      <vt:lpstr>ElprodTarif</vt:lpstr>
      <vt:lpstr>EtaE</vt:lpstr>
      <vt:lpstr>EtaQmaxOvn2</vt:lpstr>
      <vt:lpstr>EtaQmaxOvn3</vt:lpstr>
      <vt:lpstr>EtaQNomOvn2</vt:lpstr>
      <vt:lpstr>EtaQNomOvn3</vt:lpstr>
      <vt:lpstr>EtaRgkOvn2</vt:lpstr>
      <vt:lpstr>EtaRgkOvn3</vt:lpstr>
      <vt:lpstr>Ftotal</vt:lpstr>
      <vt:lpstr>Htotal</vt:lpstr>
      <vt:lpstr>Kvotepris</vt:lpstr>
      <vt:lpstr>NSvarme</vt:lpstr>
      <vt:lpstr>Qdemand</vt:lpstr>
      <vt:lpstr>Varmesalgspris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Mogens Bech Laursen</dc:creator>
  <cp:lastModifiedBy>Mogens Bech Laursen</cp:lastModifiedBy>
  <dcterms:created xsi:type="dcterms:W3CDTF">2022-03-13T11:17:09Z</dcterms:created>
  <dcterms:modified xsi:type="dcterms:W3CDTF">2022-03-13T17:26:09Z</dcterms:modified>
</cp:coreProperties>
</file>