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FA Affald\"/>
    </mc:Choice>
  </mc:AlternateContent>
  <xr:revisionPtr revIDLastSave="0" documentId="13_ncr:1_{08045A11-A835-46CF-B810-8FDB0713E35B}" xr6:coauthVersionLast="47" xr6:coauthVersionMax="47" xr10:uidLastSave="{00000000-0000-0000-0000-000000000000}"/>
  <bookViews>
    <workbookView xWindow="-120" yWindow="-120" windowWidth="29040" windowHeight="15720" activeTab="3" xr2:uid="{858EECC8-30FB-4D42-A70B-DA5455FDD71D}"/>
    <workbookView xWindow="-15" yWindow="0" windowWidth="14550" windowHeight="15510" activeTab="1" xr2:uid="{16E12CA9-1556-4394-AFAE-8F484516E35F}"/>
  </bookViews>
  <sheets>
    <sheet name="SolverRepos" sheetId="3" r:id="rId1"/>
    <sheet name="Model" sheetId="1" r:id="rId2"/>
    <sheet name="Scenario 7 GWh" sheetId="8" r:id="rId3"/>
    <sheet name="Scenario 28 GWh" sheetId="6" r:id="rId4"/>
    <sheet name="Scenario 35 GWh" sheetId="7" r:id="rId5"/>
    <sheet name="Affald2021" sheetId="2" r:id="rId6"/>
  </sheets>
  <definedNames>
    <definedName name="AFV">Model!$C$34</definedName>
    <definedName name="AndelAffald">Model!$C$23</definedName>
    <definedName name="AndelBioaffald">Model!$D$23</definedName>
    <definedName name="ATL">Model!$C$35</definedName>
    <definedName name="BioAffaldTonnage">Model!$C$22</definedName>
    <definedName name="BioTonnage">Model!$D$22</definedName>
    <definedName name="CO2afgift">Model!$C$36</definedName>
    <definedName name="CO2indholdAfgift">Model!$C$26</definedName>
    <definedName name="CO2indholdKvote">Model!$C$27</definedName>
    <definedName name="DBmedRGK">Model!$K$72</definedName>
    <definedName name="DBudenRGK">Model!$J$72</definedName>
    <definedName name="Elpris">Model!$C$31</definedName>
    <definedName name="ElprodTarif">Model!$C$32</definedName>
    <definedName name="ENSkvoteLHV">Model!$C$28</definedName>
    <definedName name="EtaE">Model!$D$17</definedName>
    <definedName name="EtaQmaxOvn2">Model!$C$16</definedName>
    <definedName name="EtaQmaxOvn3">Model!$D$16</definedName>
    <definedName name="EtaQNomOvn2">Model!$C$14</definedName>
    <definedName name="EtaQNomOvn3">Model!$D$14</definedName>
    <definedName name="EtaRgkOvn2">Model!$C$15</definedName>
    <definedName name="EtaRgkOvn3">Model!$D$15</definedName>
    <definedName name="Ftotal">Model!$C$40</definedName>
    <definedName name="Htotal">Model!$C$41</definedName>
    <definedName name="KapQcool">Model!$E$10</definedName>
    <definedName name="KapQnomOvn2">Model!$C$10</definedName>
    <definedName name="KapQnomOvn3">Model!$D$10</definedName>
    <definedName name="Kvotepris">Model!$C$33</definedName>
    <definedName name="LHVaffald">Model!$C$25</definedName>
    <definedName name="LHVbioaffald">Model!$D$25</definedName>
    <definedName name="NSvarme">Model!$E$22</definedName>
    <definedName name="Qdemand">Model!$C$39</definedName>
    <definedName name="RGKudnyttelse">Model!$C$5</definedName>
    <definedName name="solver_adj" localSheetId="1" hidden="1">Model!$C$5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Model!$C$5</definedName>
    <definedName name="solver_lhs2" localSheetId="1" hidden="1">Model!$C$5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Model!$K$72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Varmesalgspris">Model!$C$30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39" i="6"/>
  <c r="A38" i="6"/>
  <c r="A37" i="6"/>
  <c r="A36" i="6"/>
  <c r="A35" i="6"/>
  <c r="A34" i="6"/>
  <c r="A33" i="6"/>
  <c r="A32" i="6"/>
  <c r="A31" i="6"/>
  <c r="A24" i="6"/>
  <c r="A23" i="6"/>
  <c r="A16" i="6"/>
  <c r="A11" i="6"/>
  <c r="O10" i="1" l="1"/>
  <c r="O11" i="1"/>
  <c r="P11" i="1"/>
  <c r="O12" i="1"/>
  <c r="O14" i="1"/>
  <c r="O15" i="1"/>
  <c r="O16" i="1"/>
  <c r="O17" i="1"/>
  <c r="O18" i="1"/>
  <c r="O19" i="1"/>
  <c r="O5" i="1"/>
  <c r="O6" i="1"/>
  <c r="O7" i="1"/>
  <c r="N10" i="1"/>
  <c r="N11" i="1"/>
  <c r="N12" i="1"/>
  <c r="N14" i="1"/>
  <c r="N15" i="1"/>
  <c r="N16" i="1"/>
  <c r="N17" i="1"/>
  <c r="N18" i="1"/>
  <c r="N19" i="1"/>
  <c r="N5" i="1"/>
  <c r="N6" i="1"/>
  <c r="N7" i="1"/>
  <c r="R4" i="1"/>
  <c r="O9" i="1"/>
  <c r="N9" i="1"/>
  <c r="K13" i="1"/>
  <c r="C22" i="1"/>
  <c r="A22" i="6" l="1"/>
  <c r="A13" i="6"/>
  <c r="A12" i="6"/>
  <c r="A20" i="6"/>
  <c r="A19" i="6"/>
  <c r="A21" i="6"/>
  <c r="A18" i="6"/>
  <c r="A17" i="6"/>
  <c r="A10" i="6"/>
  <c r="A9" i="6"/>
  <c r="A15" i="6"/>
  <c r="A8" i="6"/>
  <c r="A14" i="6"/>
  <c r="B11" i="3"/>
  <c r="B10" i="3"/>
  <c r="B9" i="3"/>
  <c r="B8" i="3"/>
  <c r="B7" i="3"/>
  <c r="B6" i="3"/>
  <c r="T4" i="1"/>
  <c r="T25" i="1"/>
  <c r="N25" i="1"/>
  <c r="P24" i="1"/>
  <c r="N26" i="1"/>
  <c r="N27" i="1"/>
  <c r="N24" i="1"/>
  <c r="N23" i="1"/>
  <c r="N22" i="1"/>
  <c r="T47" i="1"/>
  <c r="J57" i="1"/>
  <c r="P4" i="1" s="1"/>
  <c r="K57" i="1"/>
  <c r="Q4" i="1" s="1"/>
  <c r="D15" i="1"/>
  <c r="C15" i="1"/>
  <c r="A27" i="6" l="1"/>
  <c r="A30" i="6"/>
  <c r="A28" i="6"/>
  <c r="A26" i="6"/>
  <c r="A29" i="6"/>
  <c r="A25" i="6"/>
  <c r="K38" i="1"/>
  <c r="J38" i="1"/>
  <c r="D28" i="2"/>
  <c r="N27" i="2"/>
  <c r="M27" i="2"/>
  <c r="M5" i="2"/>
  <c r="N5" i="2"/>
  <c r="M6" i="2"/>
  <c r="N6" i="2"/>
  <c r="M7" i="2"/>
  <c r="N7" i="2"/>
  <c r="M8" i="2"/>
  <c r="N8" i="2"/>
  <c r="N25" i="2" s="1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4" i="2"/>
  <c r="M4" i="2"/>
  <c r="D25" i="2"/>
  <c r="D26" i="2" s="1"/>
  <c r="L38" i="1" l="1"/>
  <c r="D29" i="2"/>
  <c r="M25" i="2"/>
  <c r="C40" i="1" l="1"/>
  <c r="D23" i="1"/>
  <c r="C23" i="1"/>
  <c r="K6" i="1"/>
  <c r="K7" i="1" s="1"/>
  <c r="J6" i="1"/>
  <c r="J7" i="1" s="1"/>
  <c r="D24" i="1"/>
  <c r="D16" i="1"/>
  <c r="C16" i="1"/>
  <c r="L7" i="1" l="1"/>
  <c r="K8" i="1"/>
  <c r="C41" i="1"/>
  <c r="K10" i="1"/>
  <c r="J10" i="1"/>
  <c r="J8" i="1"/>
  <c r="L8" i="1" l="1"/>
  <c r="L10" i="1"/>
  <c r="J14" i="1"/>
  <c r="K11" i="1"/>
  <c r="J11" i="1"/>
  <c r="D41" i="1"/>
  <c r="J9" i="1"/>
  <c r="K9" i="1"/>
  <c r="K14" i="1" s="1"/>
  <c r="L9" i="1" l="1"/>
  <c r="L11" i="1"/>
  <c r="K15" i="1"/>
  <c r="Q30" i="1" s="1"/>
  <c r="L14" i="1"/>
  <c r="K16" i="1" l="1"/>
  <c r="J27" i="1"/>
  <c r="K27" i="1" s="1"/>
  <c r="L27" i="1" s="1"/>
  <c r="J15" i="1"/>
  <c r="J16" i="1"/>
  <c r="J18" i="1" s="1"/>
  <c r="P31" i="1" s="1"/>
  <c r="L15" i="1" l="1"/>
  <c r="P30" i="1"/>
  <c r="K18" i="1"/>
  <c r="L16" i="1"/>
  <c r="K17" i="1"/>
  <c r="J17" i="1"/>
  <c r="J19" i="1"/>
  <c r="L18" i="1" l="1"/>
  <c r="Q31" i="1"/>
  <c r="R31" i="1" s="1"/>
  <c r="R30" i="1"/>
  <c r="K19" i="1"/>
  <c r="L17" i="1"/>
  <c r="J20" i="1"/>
  <c r="L19" i="1" l="1"/>
  <c r="K20" i="1"/>
  <c r="K21" i="1" s="1"/>
  <c r="J22" i="1"/>
  <c r="J25" i="1" s="1"/>
  <c r="J24" i="1"/>
  <c r="J26" i="1"/>
  <c r="K26" i="1" s="1"/>
  <c r="L26" i="1" s="1"/>
  <c r="J21" i="1"/>
  <c r="J23" i="1" l="1"/>
  <c r="J36" i="1" s="1"/>
  <c r="P36" i="1" s="1"/>
  <c r="P32" i="1"/>
  <c r="K22" i="1"/>
  <c r="K25" i="1" s="1"/>
  <c r="L25" i="1" s="1"/>
  <c r="K24" i="1"/>
  <c r="L24" i="1" s="1"/>
  <c r="L20" i="1"/>
  <c r="J28" i="1" l="1"/>
  <c r="J29" i="1" s="1"/>
  <c r="P33" i="1" s="1"/>
  <c r="P39" i="1" s="1"/>
  <c r="K23" i="1"/>
  <c r="K36" i="1" s="1"/>
  <c r="Q36" i="1" s="1"/>
  <c r="R36" i="1" s="1"/>
  <c r="Q32" i="1"/>
  <c r="L21" i="1"/>
  <c r="K43" i="1"/>
  <c r="L43" i="1" s="1"/>
  <c r="L22" i="1"/>
  <c r="J35" i="1"/>
  <c r="J63" i="1"/>
  <c r="P14" i="1" s="1"/>
  <c r="J61" i="1"/>
  <c r="P12" i="1" s="1"/>
  <c r="K63" i="1" l="1"/>
  <c r="Q14" i="1" s="1"/>
  <c r="K35" i="1"/>
  <c r="K50" i="1" s="1"/>
  <c r="K61" i="1"/>
  <c r="Q12" i="1" s="1"/>
  <c r="L36" i="1"/>
  <c r="K28" i="1"/>
  <c r="K29" i="1" s="1"/>
  <c r="Q33" i="1" s="1"/>
  <c r="R33" i="1" s="1"/>
  <c r="J41" i="1"/>
  <c r="P23" i="1" s="1"/>
  <c r="L23" i="1"/>
  <c r="J30" i="1"/>
  <c r="J31" i="1" s="1"/>
  <c r="J40" i="1" s="1"/>
  <c r="J37" i="1"/>
  <c r="J39" i="1" s="1"/>
  <c r="J59" i="1" s="1"/>
  <c r="P10" i="1" s="1"/>
  <c r="R32" i="1"/>
  <c r="Q24" i="1"/>
  <c r="R24" i="1" s="1"/>
  <c r="J68" i="1"/>
  <c r="P19" i="1" s="1"/>
  <c r="J50" i="1"/>
  <c r="J49" i="1"/>
  <c r="L50" i="1" l="1"/>
  <c r="L35" i="1"/>
  <c r="K68" i="1"/>
  <c r="Q19" i="1" s="1"/>
  <c r="K49" i="1"/>
  <c r="L49" i="1" s="1"/>
  <c r="L63" i="1"/>
  <c r="R14" i="1" s="1"/>
  <c r="Q39" i="1"/>
  <c r="R39" i="1" s="1"/>
  <c r="K30" i="1"/>
  <c r="L30" i="1" s="1"/>
  <c r="L61" i="1"/>
  <c r="R12" i="1" s="1"/>
  <c r="K41" i="1"/>
  <c r="Q23" i="1" s="1"/>
  <c r="R23" i="1" s="1"/>
  <c r="L29" i="1"/>
  <c r="L28" i="1"/>
  <c r="K37" i="1"/>
  <c r="K39" i="1" s="1"/>
  <c r="J32" i="1"/>
  <c r="P22" i="1"/>
  <c r="J42" i="1"/>
  <c r="J45" i="1" s="1"/>
  <c r="J51" i="1" s="1"/>
  <c r="J52" i="1" s="1"/>
  <c r="J54" i="1" s="1"/>
  <c r="J66" i="1" s="1"/>
  <c r="P17" i="1" s="1"/>
  <c r="J34" i="1"/>
  <c r="P25" i="1" s="1"/>
  <c r="P41" i="1" s="1"/>
  <c r="L68" i="1" l="1"/>
  <c r="R19" i="1" s="1"/>
  <c r="K31" i="1"/>
  <c r="K40" i="1" s="1"/>
  <c r="L37" i="1"/>
  <c r="L41" i="1"/>
  <c r="J33" i="1"/>
  <c r="P34" i="1"/>
  <c r="J64" i="1"/>
  <c r="K59" i="1"/>
  <c r="L39" i="1"/>
  <c r="J46" i="1"/>
  <c r="P26" i="1" s="1"/>
  <c r="J67" i="1"/>
  <c r="P18" i="1" s="1"/>
  <c r="J55" i="1"/>
  <c r="J53" i="1"/>
  <c r="K32" i="1" l="1"/>
  <c r="Q34" i="1" s="1"/>
  <c r="Q40" i="1" s="1"/>
  <c r="L31" i="1"/>
  <c r="K34" i="1"/>
  <c r="Q25" i="1" s="1"/>
  <c r="P40" i="1"/>
  <c r="P35" i="1"/>
  <c r="L59" i="1"/>
  <c r="R10" i="1" s="1"/>
  <c r="Q10" i="1"/>
  <c r="K64" i="1"/>
  <c r="Q15" i="1" s="1"/>
  <c r="P15" i="1"/>
  <c r="J58" i="1"/>
  <c r="J47" i="1"/>
  <c r="P27" i="1" s="1"/>
  <c r="J65" i="1"/>
  <c r="L40" i="1"/>
  <c r="Q22" i="1"/>
  <c r="R22" i="1" s="1"/>
  <c r="K42" i="1"/>
  <c r="K33" i="1" l="1"/>
  <c r="L33" i="1" s="1"/>
  <c r="Q35" i="1"/>
  <c r="R35" i="1" s="1"/>
  <c r="R34" i="1"/>
  <c r="L32" i="1"/>
  <c r="L34" i="1"/>
  <c r="R40" i="1"/>
  <c r="R25" i="1"/>
  <c r="Q41" i="1"/>
  <c r="R41" i="1" s="1"/>
  <c r="L64" i="1"/>
  <c r="R15" i="1" s="1"/>
  <c r="J71" i="1"/>
  <c r="P6" i="1" s="1"/>
  <c r="P16" i="1"/>
  <c r="J70" i="1"/>
  <c r="P5" i="1" s="1"/>
  <c r="P9" i="1"/>
  <c r="K45" i="1"/>
  <c r="L42" i="1"/>
  <c r="K46" i="1"/>
  <c r="J72" i="1" l="1"/>
  <c r="L46" i="1"/>
  <c r="Q26" i="1"/>
  <c r="R26" i="1" s="1"/>
  <c r="K58" i="1"/>
  <c r="K47" i="1"/>
  <c r="K65" i="1"/>
  <c r="K44" i="1"/>
  <c r="L44" i="1" s="1"/>
  <c r="L45" i="1"/>
  <c r="K51" i="1"/>
  <c r="P7" i="1" l="1"/>
  <c r="L65" i="1"/>
  <c r="R16" i="1" s="1"/>
  <c r="Q16" i="1"/>
  <c r="L58" i="1"/>
  <c r="R9" i="1" s="1"/>
  <c r="Q9" i="1"/>
  <c r="L51" i="1"/>
  <c r="K53" i="1"/>
  <c r="L53" i="1" s="1"/>
  <c r="K52" i="1"/>
  <c r="Q27" i="1"/>
  <c r="R27" i="1" s="1"/>
  <c r="L47" i="1"/>
  <c r="L52" i="1" l="1"/>
  <c r="K54" i="1"/>
  <c r="L54" i="1" l="1"/>
  <c r="K55" i="1"/>
  <c r="L55" i="1" s="1"/>
  <c r="K66" i="1"/>
  <c r="Q17" i="1" s="1"/>
  <c r="K67" i="1"/>
  <c r="L67" i="1" l="1"/>
  <c r="R18" i="1" s="1"/>
  <c r="Q18" i="1"/>
  <c r="L66" i="1"/>
  <c r="R17" i="1" s="1"/>
  <c r="K60" i="1"/>
  <c r="Q11" i="1" s="1"/>
  <c r="K71" i="1"/>
  <c r="L71" i="1" l="1"/>
  <c r="R6" i="1" s="1"/>
  <c r="Q6" i="1"/>
  <c r="K70" i="1"/>
  <c r="Q5" i="1" s="1"/>
  <c r="L60" i="1"/>
  <c r="R11" i="1" s="1"/>
  <c r="L70" i="1" l="1"/>
  <c r="R5" i="1" s="1"/>
  <c r="K72" i="1"/>
  <c r="Q7" i="1" s="1"/>
  <c r="L72" i="1" l="1"/>
  <c r="R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Mogens Bech Laursen</author>
  </authors>
  <commentList>
    <comment ref="A5" authorId="0" shapeId="0" xr:uid="{9E6784D6-CFB9-4ADD-B826-0EEF251BF12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RGK-udnyttelsen gælder RGK-varme for begge ovne.</t>
        </r>
      </text>
    </comment>
    <comment ref="H7" authorId="0" shapeId="0" xr:uid="{99E6E9A7-E7BD-4D43-896C-155B1FA97586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modtryksvarmekapacitet.</t>
        </r>
      </text>
    </comment>
    <comment ref="H8" authorId="0" shapeId="0" xr:uid="{4D7CFC1E-0B74-43AD-9F74-D693C0CFD274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RGK-varmekapacitet</t>
        </r>
      </text>
    </comment>
    <comment ref="H9" authorId="0" shapeId="0" xr:uid="{E8D6452C-48C2-409C-B1FE-5EF855F43057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Sum af modtryks- og RGK-kapacitet</t>
        </r>
      </text>
    </comment>
    <comment ref="H10" authorId="0" shapeId="0" xr:uid="{B69B3E21-4228-486A-B428-B190A9EE4DD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Tilbageregning fra modtryksvarmekapacitet til indfyret effekt.</t>
        </r>
      </text>
    </comment>
    <comment ref="H11" authorId="0" shapeId="0" xr:uid="{C1760424-EF25-4286-83F8-5D112E5AD22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Omregning fra indfyret effekt til indfyret tonnage.</t>
        </r>
      </text>
    </comment>
    <comment ref="A26" authorId="0" shapeId="0" xr:uid="{2280859C-2DF6-4A51-A57E-C182B3B1294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Anvendes kun ift. CO2-afgift, da Energistyrelsen har fastsat en administrativ sats for kvote-beregning.</t>
        </r>
      </text>
    </comment>
    <comment ref="H26" authorId="0" shapeId="0" xr:uid="{D2876E8E-868B-4C35-AE54-6F4911DC1461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  <comment ref="A27" authorId="0" shapeId="0" xr:uid="{27A6E152-F1EA-4DA9-9A23-A1C43403FE8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Energistyrelsen har fastsat en administrativ sats for nedre brændværdi på 10,6 GJ/ton ved kvote-beregning.</t>
        </r>
      </text>
    </comment>
    <comment ref="H27" authorId="0" shapeId="0" xr:uid="{4A972A95-DA8E-4F46-A3AD-84F96433A26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</commentList>
</comments>
</file>

<file path=xl/sharedStrings.xml><?xml version="1.0" encoding="utf-8"?>
<sst xmlns="http://schemas.openxmlformats.org/spreadsheetml/2006/main" count="496" uniqueCount="220">
  <si>
    <t>INPUT</t>
  </si>
  <si>
    <t>Ovn2</t>
  </si>
  <si>
    <t>Ovn3</t>
  </si>
  <si>
    <t>Varmekapacitet</t>
  </si>
  <si>
    <t>MWq</t>
  </si>
  <si>
    <t>Elkapacitet</t>
  </si>
  <si>
    <t>MWe</t>
  </si>
  <si>
    <t>Egetforbrug</t>
  </si>
  <si>
    <t>Køler</t>
  </si>
  <si>
    <t>RGK-kapacitet</t>
  </si>
  <si>
    <t>Modtryksvarme-virkningsgrad</t>
  </si>
  <si>
    <t>RGK-varme-virkningsgrad</t>
  </si>
  <si>
    <t>El-virkningsgrad</t>
  </si>
  <si>
    <t>Antal rådige døgn</t>
  </si>
  <si>
    <t>MWhe/døgn</t>
  </si>
  <si>
    <t>Anlæg</t>
  </si>
  <si>
    <t>Brændsler</t>
  </si>
  <si>
    <t>Affald</t>
  </si>
  <si>
    <t>ton</t>
  </si>
  <si>
    <t>Bioaffald</t>
  </si>
  <si>
    <t>Rådig mængde</t>
  </si>
  <si>
    <t>Aktiv</t>
  </si>
  <si>
    <t>0/1</t>
  </si>
  <si>
    <t>DV-omk sats</t>
  </si>
  <si>
    <t>kr/MWhf</t>
  </si>
  <si>
    <t>NS</t>
  </si>
  <si>
    <t>Priser</t>
  </si>
  <si>
    <t>Varmesalg</t>
  </si>
  <si>
    <t>kr/MWhq</t>
  </si>
  <si>
    <t>kr/ton</t>
  </si>
  <si>
    <t>Elspotpris</t>
  </si>
  <si>
    <t>kr/MWhe</t>
  </si>
  <si>
    <t>CO2 kvotepris</t>
  </si>
  <si>
    <t>Varmesalgspris</t>
  </si>
  <si>
    <t>Nedre brændværdi</t>
  </si>
  <si>
    <t>GJ/ton</t>
  </si>
  <si>
    <t>Affaldvarme-afgift</t>
  </si>
  <si>
    <t>Tillægsafgift</t>
  </si>
  <si>
    <t>CO2-afgift</t>
  </si>
  <si>
    <t xml:space="preserve">Øvrige parametre </t>
  </si>
  <si>
    <t>kgCO2/GJ</t>
  </si>
  <si>
    <t>kr/GJq</t>
  </si>
  <si>
    <t>CO2-indhold ift. CO2-afgift</t>
  </si>
  <si>
    <t>CO2-indhold ift. CO2-kvote</t>
  </si>
  <si>
    <t>kr/tonCO2</t>
  </si>
  <si>
    <t>Modtagepris</t>
  </si>
  <si>
    <t>Elproduktions-tarif</t>
  </si>
  <si>
    <t>Varmebehov</t>
  </si>
  <si>
    <t>MWhq</t>
  </si>
  <si>
    <t>Kommentarer</t>
  </si>
  <si>
    <t>RESULTATER</t>
  </si>
  <si>
    <t>Uden RGK</t>
  </si>
  <si>
    <t>Bortkølet varme</t>
  </si>
  <si>
    <t>Brutto elproduktion</t>
  </si>
  <si>
    <t>Netto elproduktion</t>
  </si>
  <si>
    <t>Enhed</t>
  </si>
  <si>
    <t>MWhe</t>
  </si>
  <si>
    <t>Antal driftstimer</t>
  </si>
  <si>
    <t>Max modtryksvarme</t>
  </si>
  <si>
    <t>Max. indfyret effekt</t>
  </si>
  <si>
    <t>MWhf</t>
  </si>
  <si>
    <t>Max. affaldsmængde</t>
  </si>
  <si>
    <t>Mængdefordeling</t>
  </si>
  <si>
    <t>Max. varmeproduktion Ovn3</t>
  </si>
  <si>
    <t>Rest varmebehov</t>
  </si>
  <si>
    <t>Rest total affaldsmængde</t>
  </si>
  <si>
    <t>Affaldsmængde forbrug</t>
  </si>
  <si>
    <t>Nedre brændværdi affald ialt</t>
  </si>
  <si>
    <t>Affaldsmængde ialt</t>
  </si>
  <si>
    <t>Max. NS-varme</t>
  </si>
  <si>
    <t>Max. varmeproduktion Ovn2</t>
  </si>
  <si>
    <t>Max. RGK-varme</t>
  </si>
  <si>
    <t>Max. varmeproduktion affald</t>
  </si>
  <si>
    <t>Varmeproduktion affald ialt</t>
  </si>
  <si>
    <t>Udækket varmebehov</t>
  </si>
  <si>
    <t>Sum varmevirkningsgrad</t>
  </si>
  <si>
    <t>mo1</t>
  </si>
  <si>
    <t>DepoSort</t>
  </si>
  <si>
    <t>DepoSmaat</t>
  </si>
  <si>
    <t>DepoNedd</t>
  </si>
  <si>
    <t>Dagren</t>
  </si>
  <si>
    <t>AndetBrand</t>
  </si>
  <si>
    <t>Trae</t>
  </si>
  <si>
    <t>DagrenRast</t>
  </si>
  <si>
    <t>DagrenInst</t>
  </si>
  <si>
    <t>DagrenHandel</t>
  </si>
  <si>
    <t>DagrenRestau</t>
  </si>
  <si>
    <t>Erhverv</t>
  </si>
  <si>
    <t>DagrenErhverv</t>
  </si>
  <si>
    <t>HandelKontor</t>
  </si>
  <si>
    <t>Privat</t>
  </si>
  <si>
    <t>TyskRest</t>
  </si>
  <si>
    <t>PolskRest</t>
  </si>
  <si>
    <t>PcbTrae</t>
  </si>
  <si>
    <t>TraeRekv</t>
  </si>
  <si>
    <t>Halm</t>
  </si>
  <si>
    <t>Pulver</t>
  </si>
  <si>
    <t>FlisAffald</t>
  </si>
  <si>
    <t>FuelConsP</t>
  </si>
  <si>
    <t>LHV</t>
  </si>
  <si>
    <t>FlisK</t>
  </si>
  <si>
    <t>Qm</t>
  </si>
  <si>
    <t>Fp</t>
  </si>
  <si>
    <t>GJ</t>
  </si>
  <si>
    <t>Restvarmekapacitet Ovn2</t>
  </si>
  <si>
    <t>Restvarmekapacitet Ovn3</t>
  </si>
  <si>
    <t>Kølevarme Ovn2</t>
  </si>
  <si>
    <t>Kølevarme Ovn3</t>
  </si>
  <si>
    <t>Affaldsforbrug kølevarme Ovn3</t>
  </si>
  <si>
    <t>Affaldsforbrug kølevarme Ovn2</t>
  </si>
  <si>
    <t>Økonomi</t>
  </si>
  <si>
    <t>Modtagebetaling affald</t>
  </si>
  <si>
    <t>Elsalg</t>
  </si>
  <si>
    <t>RGK-rabat</t>
  </si>
  <si>
    <t>Energiproduktion</t>
  </si>
  <si>
    <t>MWh</t>
  </si>
  <si>
    <t>Varmeproduktion ialt affaldsovne</t>
  </si>
  <si>
    <t>Leveret varme</t>
  </si>
  <si>
    <t>Betaling bioaffald</t>
  </si>
  <si>
    <t>DV-omkostninger</t>
  </si>
  <si>
    <t>Varmeproduktion Ovn2</t>
  </si>
  <si>
    <t>Varmeproduktion Ovn3</t>
  </si>
  <si>
    <t>Heraf RGK-varme</t>
  </si>
  <si>
    <t>Kvote-omkostning</t>
  </si>
  <si>
    <t>Udnyttet affaldsmængde</t>
  </si>
  <si>
    <t>Ikke-udnyttet affaldsmængde</t>
  </si>
  <si>
    <t>Indtægter total</t>
  </si>
  <si>
    <t>Omkostninger total</t>
  </si>
  <si>
    <t>Dækningsbidrag</t>
  </si>
  <si>
    <t>Mellemregninger for afgifter</t>
  </si>
  <si>
    <t>Energiproduktion ATL</t>
  </si>
  <si>
    <t>Forbrugt fossilt affald</t>
  </si>
  <si>
    <t>Forbrugt bioaffald</t>
  </si>
  <si>
    <t>Fossil elproduktion ATL</t>
  </si>
  <si>
    <t>Varmegrundlag ATL</t>
  </si>
  <si>
    <t>RGK-andel af energiproduktion</t>
  </si>
  <si>
    <t>Fossil varmeproduktion ATL,CO2</t>
  </si>
  <si>
    <t>Varmegrundlag CO2</t>
  </si>
  <si>
    <t>RGK-udnyttelse</t>
  </si>
  <si>
    <t>Styringsparametre</t>
  </si>
  <si>
    <t>procent</t>
  </si>
  <si>
    <t>For begge ovne</t>
  </si>
  <si>
    <t>Spidslastvarme</t>
  </si>
  <si>
    <t>FuelConsT</t>
  </si>
  <si>
    <t>Ovnkapaciteter</t>
  </si>
  <si>
    <t>Realiseret energi og mængde</t>
  </si>
  <si>
    <t>Kvote brændværdi jf. ENS</t>
  </si>
  <si>
    <t>tkr</t>
  </si>
  <si>
    <t>RGK ift. nominel</t>
  </si>
  <si>
    <t>Varmemængder</t>
  </si>
  <si>
    <t>RGK</t>
  </si>
  <si>
    <t>AFBILDNINGER</t>
  </si>
  <si>
    <t>Navn</t>
  </si>
  <si>
    <t>SOLVER-opsætninger</t>
  </si>
  <si>
    <t>Beskrivelse</t>
  </si>
  <si>
    <t>Maksimerer dækningsbidrag med RGK-udnyttelse som fri variabel</t>
  </si>
  <si>
    <t>Restriktioner</t>
  </si>
  <si>
    <t>MELLEMREGNINGER</t>
  </si>
  <si>
    <t>Affaldsforbrug Ovn3</t>
  </si>
  <si>
    <t>Nordic Sugar varme</t>
  </si>
  <si>
    <t>Affaldsforbrug Ovn2</t>
  </si>
  <si>
    <t>Ikke-udnyttet affald</t>
  </si>
  <si>
    <t>Udnyttet affald</t>
  </si>
  <si>
    <t>Brændselsmængder</t>
  </si>
  <si>
    <t>Kapacitetsudnyttelse</t>
  </si>
  <si>
    <t>Ovn3 tonnage</t>
  </si>
  <si>
    <t>Ovn2 tonnage</t>
  </si>
  <si>
    <t>Bortkøleanlæg varme</t>
  </si>
  <si>
    <t>SUM</t>
  </si>
  <si>
    <t>RGKudnyttelse</t>
  </si>
  <si>
    <t>$Q$5</t>
  </si>
  <si>
    <t>$Q$6</t>
  </si>
  <si>
    <t>$Q$7</t>
  </si>
  <si>
    <t>$Q$8</t>
  </si>
  <si>
    <t>$Q$9</t>
  </si>
  <si>
    <t>$Q$10</t>
  </si>
  <si>
    <t>$Q$11</t>
  </si>
  <si>
    <t>$Q$12</t>
  </si>
  <si>
    <t>$Q$13</t>
  </si>
  <si>
    <t>$Q$14</t>
  </si>
  <si>
    <t>$Q$15</t>
  </si>
  <si>
    <t>$Q$16</t>
  </si>
  <si>
    <t>$Q$17</t>
  </si>
  <si>
    <t>$Q$18</t>
  </si>
  <si>
    <t>$Q$19</t>
  </si>
  <si>
    <t>$Q$20</t>
  </si>
  <si>
    <t>$Q$21</t>
  </si>
  <si>
    <t>$Q$22</t>
  </si>
  <si>
    <t>$Q$23</t>
  </si>
  <si>
    <t>$Q$24</t>
  </si>
  <si>
    <t>$Q$25</t>
  </si>
  <si>
    <t>$Q$26</t>
  </si>
  <si>
    <t>$Q$27</t>
  </si>
  <si>
    <t>$Q$28</t>
  </si>
  <si>
    <t>$Q$29</t>
  </si>
  <si>
    <t>$Q$30</t>
  </si>
  <si>
    <t>$Q$31</t>
  </si>
  <si>
    <t>$Q$32</t>
  </si>
  <si>
    <t>$Q$33</t>
  </si>
  <si>
    <t>$Q$34</t>
  </si>
  <si>
    <t>$Q$35</t>
  </si>
  <si>
    <t>$Q$36</t>
  </si>
  <si>
    <t>RGK 10 %</t>
  </si>
  <si>
    <t>Created by Mogens Bech Laursen on 16-03-2022</t>
  </si>
  <si>
    <t>RGK 20 %</t>
  </si>
  <si>
    <t>RGK 30 %</t>
  </si>
  <si>
    <t>RGK 40 %</t>
  </si>
  <si>
    <t>RGK 50 %</t>
  </si>
  <si>
    <t>RGK 60 %</t>
  </si>
  <si>
    <t>RGK 70 %</t>
  </si>
  <si>
    <t>RGK 80 %</t>
  </si>
  <si>
    <t>RGK 90 %</t>
  </si>
  <si>
    <t>RGK 100 %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</si>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</sst>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"/>
    <numFmt numFmtId="167" formatCode="#,##0,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2" fillId="2" borderId="1" xfId="2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0" fillId="4" borderId="0" xfId="0" applyFill="1"/>
    <xf numFmtId="0" fontId="3" fillId="4" borderId="0" xfId="0" applyFont="1" applyFill="1"/>
    <xf numFmtId="2" fontId="0" fillId="0" borderId="0" xfId="0" applyNumberFormat="1"/>
    <xf numFmtId="0" fontId="2" fillId="2" borderId="1" xfId="2"/>
    <xf numFmtId="165" fontId="2" fillId="2" borderId="1" xfId="2" applyNumberFormat="1"/>
    <xf numFmtId="3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left" indent="1"/>
    </xf>
    <xf numFmtId="3" fontId="3" fillId="0" borderId="0" xfId="0" applyNumberFormat="1" applyFont="1" applyAlignment="1">
      <alignment horizontal="center"/>
    </xf>
    <xf numFmtId="3" fontId="0" fillId="0" borderId="0" xfId="0" applyNumberFormat="1" applyFont="1"/>
    <xf numFmtId="9" fontId="0" fillId="0" borderId="0" xfId="0" applyNumberFormat="1"/>
    <xf numFmtId="167" fontId="0" fillId="0" borderId="0" xfId="0" applyNumberFormat="1" applyFont="1"/>
    <xf numFmtId="167" fontId="0" fillId="0" borderId="0" xfId="0" applyNumberFormat="1"/>
    <xf numFmtId="0" fontId="3" fillId="4" borderId="0" xfId="0" applyFont="1" applyFill="1" applyAlignment="1">
      <alignment horizontal="left" indent="1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/>
    <xf numFmtId="0" fontId="0" fillId="0" borderId="0" xfId="0" applyFill="1" applyBorder="1" applyAlignment="1"/>
    <xf numFmtId="9" fontId="0" fillId="0" borderId="0" xfId="0" applyNumberFormat="1" applyFill="1" applyBorder="1" applyAlignment="1"/>
    <xf numFmtId="167" fontId="0" fillId="0" borderId="0" xfId="0" applyNumberFormat="1" applyFill="1" applyBorder="1" applyAlignment="1"/>
    <xf numFmtId="3" fontId="0" fillId="0" borderId="0" xfId="0" applyNumberFormat="1" applyFill="1" applyBorder="1" applyAlignment="1"/>
    <xf numFmtId="3" fontId="0" fillId="0" borderId="3" xfId="0" applyNumberFormat="1" applyFill="1" applyBorder="1" applyAlignment="1"/>
    <xf numFmtId="0" fontId="8" fillId="9" borderId="4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9" fillId="10" borderId="0" xfId="0" applyFont="1" applyFill="1" applyBorder="1" applyAlignment="1">
      <alignment horizontal="left"/>
    </xf>
    <xf numFmtId="0" fontId="10" fillId="10" borderId="5" xfId="0" applyFont="1" applyFill="1" applyBorder="1" applyAlignment="1">
      <alignment horizontal="left"/>
    </xf>
    <xf numFmtId="0" fontId="9" fillId="10" borderId="3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right"/>
    </xf>
    <xf numFmtId="0" fontId="11" fillId="9" borderId="4" xfId="0" applyFont="1" applyFill="1" applyBorder="1" applyAlignment="1">
      <alignment horizontal="right"/>
    </xf>
    <xf numFmtId="9" fontId="0" fillId="11" borderId="0" xfId="0" applyNumberFormat="1" applyFill="1" applyBorder="1" applyAlignment="1"/>
    <xf numFmtId="0" fontId="12" fillId="0" borderId="0" xfId="0" applyFont="1" applyFill="1" applyBorder="1" applyAlignment="1">
      <alignment vertical="top" wrapText="1"/>
    </xf>
    <xf numFmtId="3" fontId="13" fillId="0" borderId="3" xfId="3" applyNumberFormat="1" applyFont="1" applyFill="1" applyBorder="1" applyAlignment="1"/>
  </cellXfs>
  <cellStyles count="4">
    <cellStyle name="Bad" xfId="3" builtinId="27"/>
    <cellStyle name="Calculation" xfId="2" builtinId="22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Model!$T$47</c:f>
          <c:strCache>
            <c:ptCount val="1"/>
            <c:pt idx="0">
              <c:v>Økonomiske nøgletal: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3179196497151472"/>
          <c:y val="0.13775301764159703"/>
          <c:w val="0.71910013595718381"/>
          <c:h val="0.70151002712404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6.2597809076682318E-3"/>
                  <c:y val="2.2284122562674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7-4151-9579-4A35B12BE046}"/>
                </c:ext>
              </c:extLst>
            </c:dLbl>
            <c:dLbl>
              <c:idx val="13"/>
              <c:layout>
                <c:manualLayout>
                  <c:x val="2.503912363067292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7-4151-9579-4A35B12BE046}"/>
                </c:ext>
              </c:extLst>
            </c:dLbl>
            <c:dLbl>
              <c:idx val="14"/>
              <c:layout>
                <c:manualLayout>
                  <c:x val="5.4251434533124594E-2"/>
                  <c:y val="-3.4044793960164884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7-4151-9579-4A35B12B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Model!$P$5:$P$19</c:f>
              <c:numCache>
                <c:formatCode>#,##0,</c:formatCode>
                <c:ptCount val="15"/>
                <c:pt idx="0">
                  <c:v>7630788.6922525112</c:v>
                </c:pt>
                <c:pt idx="1">
                  <c:v>4412295.6965853656</c:v>
                </c:pt>
                <c:pt idx="2">
                  <c:v>3218492.9956671456</c:v>
                </c:pt>
                <c:pt idx="4">
                  <c:v>2177000</c:v>
                </c:pt>
                <c:pt idx="5">
                  <c:v>3947332.4512195117</c:v>
                </c:pt>
                <c:pt idx="6">
                  <c:v>0</c:v>
                </c:pt>
                <c:pt idx="7">
                  <c:v>1506456.2410329985</c:v>
                </c:pt>
                <c:pt idx="9">
                  <c:v>0</c:v>
                </c:pt>
                <c:pt idx="10">
                  <c:v>991200</c:v>
                </c:pt>
                <c:pt idx="11">
                  <c:v>650160.00000000012</c:v>
                </c:pt>
                <c:pt idx="12">
                  <c:v>1732464.0000000002</c:v>
                </c:pt>
                <c:pt idx="13">
                  <c:v>359813.16000000003</c:v>
                </c:pt>
                <c:pt idx="14">
                  <c:v>678658.53658536577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151-9579-4A35B12BE0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Model!$Q$5:$Q$19</c:f>
              <c:numCache>
                <c:formatCode>#,##0,</c:formatCode>
                <c:ptCount val="15"/>
                <c:pt idx="0">
                  <c:v>6959978.0260043042</c:v>
                </c:pt>
                <c:pt idx="1">
                  <c:v>4024359.2875764952</c:v>
                </c:pt>
                <c:pt idx="2">
                  <c:v>2935618.738427809</c:v>
                </c:pt>
                <c:pt idx="4">
                  <c:v>2177000</c:v>
                </c:pt>
                <c:pt idx="5">
                  <c:v>3572432.8323170734</c:v>
                </c:pt>
                <c:pt idx="6">
                  <c:v>0</c:v>
                </c:pt>
                <c:pt idx="7">
                  <c:v>1210545.1936872313</c:v>
                </c:pt>
                <c:pt idx="9">
                  <c:v>0</c:v>
                </c:pt>
                <c:pt idx="10">
                  <c:v>1006435.8793324776</c:v>
                </c:pt>
                <c:pt idx="11">
                  <c:v>650160.00000000012</c:v>
                </c:pt>
                <c:pt idx="12">
                  <c:v>1509008.7617835368</c:v>
                </c:pt>
                <c:pt idx="13">
                  <c:v>313404.03670438263</c:v>
                </c:pt>
                <c:pt idx="14">
                  <c:v>545350.60975609766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151-9579-4A35B12B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89663146566773055"/>
              <c:y val="0.7768610678539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Model!$T$25</c:f>
          <c:strCache>
            <c:ptCount val="1"/>
            <c:pt idx="0">
              <c:v>Varmemængder: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Model!$P$21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Model!$N$22:$N$27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Model!$P$22:$P$27</c:f>
              <c:numCache>
                <c:formatCode>#,##0</c:formatCode>
                <c:ptCount val="6"/>
                <c:pt idx="0">
                  <c:v>1420</c:v>
                </c:pt>
                <c:pt idx="1">
                  <c:v>16740</c:v>
                </c:pt>
                <c:pt idx="2">
                  <c:v>0</c:v>
                </c:pt>
                <c:pt idx="3">
                  <c:v>11160</c:v>
                </c:pt>
                <c:pt idx="4">
                  <c:v>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9F1-B745-D6FCA8553D30}"/>
            </c:ext>
          </c:extLst>
        </c:ser>
        <c:ser>
          <c:idx val="1"/>
          <c:order val="1"/>
          <c:tx>
            <c:strRef>
              <c:f>Model!$Q$21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Model!$N$22:$N$27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Model!$Q$22:$Q$27</c:f>
              <c:numCache>
                <c:formatCode>#,##0</c:formatCode>
                <c:ptCount val="6"/>
                <c:pt idx="0">
                  <c:v>1420</c:v>
                </c:pt>
                <c:pt idx="1">
                  <c:v>16740</c:v>
                </c:pt>
                <c:pt idx="2">
                  <c:v>1523.5879332477532</c:v>
                </c:pt>
                <c:pt idx="3">
                  <c:v>11160</c:v>
                </c:pt>
                <c:pt idx="4">
                  <c:v>7000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4-49F1-B745-D6FCA855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795770207"/>
        <c:axId val="795780607"/>
      </c:barChart>
      <c:catAx>
        <c:axId val="795770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80607"/>
        <c:crosses val="autoZero"/>
        <c:auto val="1"/>
        <c:lblAlgn val="ctr"/>
        <c:lblOffset val="100"/>
        <c:noMultiLvlLbl val="0"/>
      </c:catAx>
      <c:valAx>
        <c:axId val="79578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Model!$T$4</c:f>
          <c:strCache>
            <c:ptCount val="1"/>
            <c:pt idx="0">
              <c:v>RGK ift. Nominel: 12000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5886580647107943"/>
          <c:y val="0.13775301764159703"/>
          <c:w val="0.7055502752638998"/>
          <c:h val="0.765009999999999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Model!$R$5:$R$19</c:f>
              <c:numCache>
                <c:formatCode>#,##0,</c:formatCode>
                <c:ptCount val="15"/>
                <c:pt idx="0">
                  <c:v>-670810.66624820698</c:v>
                </c:pt>
                <c:pt idx="1">
                  <c:v>-387936.40900887037</c:v>
                </c:pt>
                <c:pt idx="2">
                  <c:v>-282874.25723933661</c:v>
                </c:pt>
                <c:pt idx="4">
                  <c:v>0</c:v>
                </c:pt>
                <c:pt idx="5">
                  <c:v>-374899.61890243832</c:v>
                </c:pt>
                <c:pt idx="6">
                  <c:v>0</c:v>
                </c:pt>
                <c:pt idx="7">
                  <c:v>-295911.04734576726</c:v>
                </c:pt>
                <c:pt idx="9">
                  <c:v>0</c:v>
                </c:pt>
                <c:pt idx="10">
                  <c:v>15235.879332477576</c:v>
                </c:pt>
                <c:pt idx="11">
                  <c:v>0</c:v>
                </c:pt>
                <c:pt idx="12">
                  <c:v>-223455.23821646348</c:v>
                </c:pt>
                <c:pt idx="13">
                  <c:v>-46409.123295617406</c:v>
                </c:pt>
                <c:pt idx="14">
                  <c:v>-133307.92682926811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2-4788-BDF9-D7F6BC1C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18021717413221192"/>
              <c:y val="0.9285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'Scenario 7 GWh'!$A$9</c:f>
              <c:strCache>
                <c:ptCount val="1"/>
                <c:pt idx="0">
                  <c:v>Omkostninger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7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7 GWh'!$E$9:$N$9</c:f>
              <c:numCache>
                <c:formatCode>#,##0,</c:formatCode>
                <c:ptCount val="10"/>
                <c:pt idx="0">
                  <c:v>4123321.3703158302</c:v>
                </c:pt>
                <c:pt idx="1">
                  <c:v>4110275.5213671499</c:v>
                </c:pt>
                <c:pt idx="2">
                  <c:v>4097823.8932815501</c:v>
                </c:pt>
                <c:pt idx="3">
                  <c:v>4085926.79114307</c:v>
                </c:pt>
                <c:pt idx="4">
                  <c:v>4074547.97860272</c:v>
                </c:pt>
                <c:pt idx="5">
                  <c:v>4063654.3092326801</c:v>
                </c:pt>
                <c:pt idx="6">
                  <c:v>4053215.4040488801</c:v>
                </c:pt>
                <c:pt idx="7">
                  <c:v>4043203.3685937799</c:v>
                </c:pt>
                <c:pt idx="8">
                  <c:v>4033592.5440312298</c:v>
                </c:pt>
                <c:pt idx="9">
                  <c:v>4024359.2875764999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3-407E-96F8-7C95247B1AE9}"/>
            </c:ext>
          </c:extLst>
        </c:ser>
        <c:ser>
          <c:idx val="2"/>
          <c:order val="1"/>
          <c:tx>
            <c:strRef>
              <c:f>'Scenario 7 GWh'!$A$10</c:f>
              <c:strCache>
                <c:ptCount val="1"/>
                <c:pt idx="0">
                  <c:v>Dækningsbidrag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7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7 GWh'!$E$10:$N$10</c:f>
              <c:numCache>
                <c:formatCode>#.##0.</c:formatCode>
                <c:ptCount val="10"/>
                <c:pt idx="0">
                  <c:v>3425980.5598761602</c:v>
                </c:pt>
                <c:pt idx="1">
                  <c:v>3361337.75855528</c:v>
                </c:pt>
                <c:pt idx="2">
                  <c:v>3299639.34984115</c:v>
                </c:pt>
                <c:pt idx="3">
                  <c:v>3240688.6435393998</c:v>
                </c:pt>
                <c:pt idx="4">
                  <c:v>3184306.0868191002</c:v>
                </c:pt>
                <c:pt idx="5">
                  <c:v>3130327.4375558798</c:v>
                </c:pt>
                <c:pt idx="6">
                  <c:v>3078602.1664402601</c:v>
                </c:pt>
                <c:pt idx="7">
                  <c:v>3028992.0551100401</c:v>
                </c:pt>
                <c:pt idx="8">
                  <c:v>2981369.9628130901</c:v>
                </c:pt>
                <c:pt idx="9">
                  <c:v>2935618.7384278099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3-407E-96F8-7C95247B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000192"/>
        <c:axId val="604163440"/>
      </c:barChart>
      <c:catAx>
        <c:axId val="2001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4163440"/>
        <c:crosses val="autoZero"/>
        <c:auto val="1"/>
        <c:lblAlgn val="ctr"/>
        <c:lblOffset val="100"/>
        <c:noMultiLvlLbl val="0"/>
      </c:catAx>
      <c:valAx>
        <c:axId val="6041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'Scenario 28 GWh'!$A$9</c:f>
              <c:strCache>
                <c:ptCount val="1"/>
                <c:pt idx="0">
                  <c:v>Omkostninger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28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28 GWh'!$E$9:$N$9</c:f>
              <c:numCache>
                <c:formatCode>#,##0,</c:formatCode>
                <c:ptCount val="10"/>
                <c:pt idx="0">
                  <c:v>7866196.3108281298</c:v>
                </c:pt>
                <c:pt idx="1">
                  <c:v>7831849.9144885596</c:v>
                </c:pt>
                <c:pt idx="2">
                  <c:v>7798897.0890948502</c:v>
                </c:pt>
                <c:pt idx="3">
                  <c:v>7767256.6557569401</c:v>
                </c:pt>
                <c:pt idx="4">
                  <c:v>7736853.6206430802</c:v>
                </c:pt>
                <c:pt idx="5">
                  <c:v>7707618.5969369598</c:v>
                </c:pt>
                <c:pt idx="6">
                  <c:v>7679487.2904326404</c:v>
                </c:pt>
                <c:pt idx="7">
                  <c:v>7652400.0407408504</c:v>
                </c:pt>
                <c:pt idx="8">
                  <c:v>7626301.4112166697</c:v>
                </c:pt>
                <c:pt idx="9">
                  <c:v>7601139.8216774501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9-4995-94D5-E3D25067DFCE}"/>
            </c:ext>
          </c:extLst>
        </c:ser>
        <c:ser>
          <c:idx val="2"/>
          <c:order val="1"/>
          <c:tx>
            <c:strRef>
              <c:f>'Scenario 28 GWh'!$A$10</c:f>
              <c:strCache>
                <c:ptCount val="1"/>
                <c:pt idx="0">
                  <c:v>Dækningsbidrag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28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28 GWh'!$E$10:$N$10</c:f>
              <c:numCache>
                <c:formatCode>#,##0,</c:formatCode>
                <c:ptCount val="10"/>
                <c:pt idx="0">
                  <c:v>8324633.6659763698</c:v>
                </c:pt>
                <c:pt idx="1">
                  <c:v>8270244.8982715895</c:v>
                </c:pt>
                <c:pt idx="2">
                  <c:v>8217976.8235435002</c:v>
                </c:pt>
                <c:pt idx="3">
                  <c:v>8369287.0980898896</c:v>
                </c:pt>
                <c:pt idx="4">
                  <c:v>8320899.2150051603</c:v>
                </c:pt>
                <c:pt idx="5">
                  <c:v>8274288.7753986102</c:v>
                </c:pt>
                <c:pt idx="6">
                  <c:v>8229357.9383448502</c:v>
                </c:pt>
                <c:pt idx="7">
                  <c:v>8186015.9145167004</c:v>
                </c:pt>
                <c:pt idx="8">
                  <c:v>8144178.3421499496</c:v>
                </c:pt>
                <c:pt idx="9">
                  <c:v>8103766.7281248998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9-4995-94D5-E3D25067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000192"/>
        <c:axId val="604163440"/>
      </c:barChart>
      <c:catAx>
        <c:axId val="2001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4163440"/>
        <c:crosses val="autoZero"/>
        <c:auto val="1"/>
        <c:lblAlgn val="ctr"/>
        <c:lblOffset val="100"/>
        <c:noMultiLvlLbl val="0"/>
      </c:catAx>
      <c:valAx>
        <c:axId val="6041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'Scenario 35 GWh'!$A$9</c:f>
              <c:strCache>
                <c:ptCount val="1"/>
                <c:pt idx="0">
                  <c:v>Omkostninger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35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35 GWh'!$E$9:$N$9</c:f>
              <c:numCache>
                <c:formatCode>#,##0,</c:formatCode>
                <c:ptCount val="10"/>
                <c:pt idx="0">
                  <c:v>7934106.8600176601</c:v>
                </c:pt>
                <c:pt idx="1">
                  <c:v>8049671.2001874102</c:v>
                </c:pt>
                <c:pt idx="2">
                  <c:v>8165235.5403571697</c:v>
                </c:pt>
                <c:pt idx="3">
                  <c:v>8280799.8805269198</c:v>
                </c:pt>
                <c:pt idx="4">
                  <c:v>8396364.2206966802</c:v>
                </c:pt>
                <c:pt idx="5">
                  <c:v>8511928.5608664397</c:v>
                </c:pt>
                <c:pt idx="6">
                  <c:v>8627492.9010361899</c:v>
                </c:pt>
                <c:pt idx="7">
                  <c:v>8743057.2412059493</c:v>
                </c:pt>
                <c:pt idx="8">
                  <c:v>8858621.5813757107</c:v>
                </c:pt>
                <c:pt idx="9">
                  <c:v>8974185.9215454608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F-4161-9C5F-96CAE1FF0B02}"/>
            </c:ext>
          </c:extLst>
        </c:ser>
        <c:ser>
          <c:idx val="2"/>
          <c:order val="1"/>
          <c:tx>
            <c:strRef>
              <c:f>'Scenario 35 GWh'!$A$10</c:f>
              <c:strCache>
                <c:ptCount val="1"/>
                <c:pt idx="0">
                  <c:v>Dækningsbidrag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35 GWh'!$E$3:$N$3</c:f>
              <c:strCache>
                <c:ptCount val="10"/>
                <c:pt idx="0">
                  <c:v>RGK 10 %</c:v>
                </c:pt>
                <c:pt idx="1">
                  <c:v>RGK 20 %</c:v>
                </c:pt>
                <c:pt idx="2">
                  <c:v>RGK 30 %</c:v>
                </c:pt>
                <c:pt idx="3">
                  <c:v>RGK 40 %</c:v>
                </c:pt>
                <c:pt idx="4">
                  <c:v>RGK 50 %</c:v>
                </c:pt>
                <c:pt idx="5">
                  <c:v>RGK 60 %</c:v>
                </c:pt>
                <c:pt idx="6">
                  <c:v>RGK 70 %</c:v>
                </c:pt>
                <c:pt idx="7">
                  <c:v>RGK 80 %</c:v>
                </c:pt>
                <c:pt idx="8">
                  <c:v>RGK 90 %</c:v>
                </c:pt>
                <c:pt idx="9">
                  <c:v>RGK 100 %</c:v>
                </c:pt>
              </c:strCache>
            </c:strRef>
          </c:cat>
          <c:val>
            <c:numRef>
              <c:f>'Scenario 35 GWh'!$E$10:$N$10</c:f>
              <c:numCache>
                <c:formatCode>#.##0.</c:formatCode>
                <c:ptCount val="10"/>
                <c:pt idx="0">
                  <c:v>8375903.3934416501</c:v>
                </c:pt>
                <c:pt idx="1">
                  <c:v>8433877.0532719009</c:v>
                </c:pt>
                <c:pt idx="2">
                  <c:v>8491850.7131021395</c:v>
                </c:pt>
                <c:pt idx="3">
                  <c:v>8767933.6147433594</c:v>
                </c:pt>
                <c:pt idx="4">
                  <c:v>8830698.2625735998</c:v>
                </c:pt>
                <c:pt idx="5">
                  <c:v>8893462.9104038496</c:v>
                </c:pt>
                <c:pt idx="6">
                  <c:v>8956227.55823409</c:v>
                </c:pt>
                <c:pt idx="7">
                  <c:v>9018992.2060643304</c:v>
                </c:pt>
                <c:pt idx="8">
                  <c:v>9081756.8538945802</c:v>
                </c:pt>
                <c:pt idx="9">
                  <c:v>9144521.5017248206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F-4161-9C5F-96CAE1FF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000192"/>
        <c:axId val="604163440"/>
      </c:barChart>
      <c:catAx>
        <c:axId val="2001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4163440"/>
        <c:crosses val="autoZero"/>
        <c:auto val="1"/>
        <c:lblAlgn val="ctr"/>
        <c:lblOffset val="100"/>
        <c:noMultiLvlLbl val="0"/>
      </c:catAx>
      <c:valAx>
        <c:axId val="6041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1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525413</xdr:colOff>
      <xdr:row>13</xdr:row>
      <xdr:rowOff>151778</xdr:rowOff>
    </xdr:from>
    <xdr:to>
      <xdr:col>34</xdr:col>
      <xdr:colOff>99958</xdr:colOff>
      <xdr:row>23</xdr:row>
      <xdr:rowOff>132728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587586-E294-4C74-9BF4-FBD48805E0B1}"/>
            </a:ext>
          </a:extLst>
        </xdr:cNvPr>
        <xdr:cNvSpPr txBox="1"/>
      </xdr:nvSpPr>
      <xdr:spPr>
        <a:xfrm rot="20887090">
          <a:off x="18213338" y="2628278"/>
          <a:ext cx="4451345" cy="188595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3600" b="1"/>
            <a:t>brug SCENARIO Manager</a:t>
          </a:r>
        </a:p>
      </xdr:txBody>
    </xdr:sp>
    <xdr:clientData/>
  </xdr:twoCellAnchor>
  <xdr:twoCellAnchor editAs="oneCell">
    <xdr:from>
      <xdr:col>19</xdr:col>
      <xdr:colOff>12324</xdr:colOff>
      <xdr:row>47</xdr:row>
      <xdr:rowOff>38098</xdr:rowOff>
    </xdr:from>
    <xdr:to>
      <xdr:col>25</xdr:col>
      <xdr:colOff>585972</xdr:colOff>
      <xdr:row>66</xdr:row>
      <xdr:rowOff>18598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CC451-141C-42FB-9C6D-598CDB10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31325</xdr:colOff>
      <xdr:row>25</xdr:row>
      <xdr:rowOff>36368</xdr:rowOff>
    </xdr:from>
    <xdr:to>
      <xdr:col>25</xdr:col>
      <xdr:colOff>604973</xdr:colOff>
      <xdr:row>44</xdr:row>
      <xdr:rowOff>16868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EC5D3-8CF7-46F7-AF51-A9935B03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11206</xdr:colOff>
      <xdr:row>4</xdr:row>
      <xdr:rowOff>22412</xdr:rowOff>
    </xdr:from>
    <xdr:to>
      <xdr:col>25</xdr:col>
      <xdr:colOff>584854</xdr:colOff>
      <xdr:row>23</xdr:row>
      <xdr:rowOff>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F3D20A-DAAF-45D8-BA9E-4526496A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25</xdr:col>
      <xdr:colOff>526675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CC950-9C2B-48DC-B9AC-47177C8A9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6723</xdr:rowOff>
    </xdr:from>
    <xdr:to>
      <xdr:col>25</xdr:col>
      <xdr:colOff>526676</xdr:colOff>
      <xdr:row>21</xdr:row>
      <xdr:rowOff>82923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4D9C9-768C-4DAE-8849-6EB3EDF6D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145677</xdr:colOff>
      <xdr:row>0</xdr:row>
      <xdr:rowOff>22412</xdr:rowOff>
    </xdr:from>
    <xdr:to>
      <xdr:col>25</xdr:col>
      <xdr:colOff>560295</xdr:colOff>
      <xdr:row>7</xdr:row>
      <xdr:rowOff>11206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FCCF80-8E07-44A5-9B7D-AB6F722FDE5A}"/>
            </a:ext>
          </a:extLst>
        </xdr:cNvPr>
        <xdr:cNvSpPr txBox="1"/>
      </xdr:nvSpPr>
      <xdr:spPr>
        <a:xfrm>
          <a:off x="14847795" y="22412"/>
          <a:ext cx="5860676" cy="11654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/>
            <a:t>Maksimal</a:t>
          </a:r>
          <a:r>
            <a:rPr lang="da-DK" sz="1400" baseline="0"/>
            <a:t> DB opnås her, når RGK-graden netop udløser RGK-rabatten. </a:t>
          </a:r>
        </a:p>
        <a:p>
          <a:r>
            <a:rPr lang="da-DK" sz="1400" baseline="0"/>
            <a:t>For større RGK-grad falder modtagebetalingen. </a:t>
          </a:r>
        </a:p>
        <a:p>
          <a:r>
            <a:rPr lang="da-DK" sz="1400" baseline="0"/>
            <a:t>Denne situation opstår, når varmebehovet ikke udnytter ovnkapaciteterne fuldt ud, om vinteren når NordicSugar-varme kommer ind, og om sommeren, når varmebehovet falder.</a:t>
          </a:r>
          <a:endParaRPr lang="da-DK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25</xdr:col>
      <xdr:colOff>526675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69395D-72BD-4C7E-A718-632CAABE6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C610-527A-4758-9182-C399B9E67627}">
  <dimension ref="A1:J11"/>
  <sheetViews>
    <sheetView workbookViewId="0">
      <selection activeCell="B6" sqref="B6"/>
    </sheetView>
    <sheetView workbookViewId="1"/>
  </sheetViews>
  <sheetFormatPr defaultRowHeight="15" x14ac:dyDescent="0.25"/>
  <cols>
    <col min="1" max="1" width="13.28515625" customWidth="1"/>
    <col min="2" max="10" width="30.7109375" customWidth="1"/>
  </cols>
  <sheetData>
    <row r="1" spans="1:10" x14ac:dyDescent="0.25">
      <c r="A1" s="5" t="s">
        <v>153</v>
      </c>
    </row>
    <row r="2" spans="1:10" x14ac:dyDescent="0.25">
      <c r="A2" s="5"/>
    </row>
    <row r="3" spans="1:10" x14ac:dyDescent="0.25">
      <c r="A3" s="5"/>
      <c r="B3" s="26">
        <v>1</v>
      </c>
      <c r="C3" s="26">
        <v>2</v>
      </c>
      <c r="D3" s="26">
        <v>3</v>
      </c>
      <c r="E3" s="26">
        <v>4</v>
      </c>
      <c r="F3" s="26">
        <v>5</v>
      </c>
      <c r="G3" s="26">
        <v>6</v>
      </c>
      <c r="H3" s="26">
        <v>7</v>
      </c>
      <c r="I3" s="26">
        <v>8</v>
      </c>
      <c r="J3" s="26">
        <v>9</v>
      </c>
    </row>
    <row r="4" spans="1:10" x14ac:dyDescent="0.25">
      <c r="A4" s="5" t="s">
        <v>152</v>
      </c>
      <c r="B4" t="s">
        <v>138</v>
      </c>
    </row>
    <row r="5" spans="1:10" ht="45" x14ac:dyDescent="0.25">
      <c r="A5" s="27" t="s">
        <v>154</v>
      </c>
      <c r="B5" s="25" t="s">
        <v>155</v>
      </c>
    </row>
    <row r="6" spans="1:10" x14ac:dyDescent="0.25">
      <c r="A6" s="5" t="s">
        <v>156</v>
      </c>
      <c r="B6">
        <f>MAX($K$74)</f>
        <v>0</v>
      </c>
    </row>
    <row r="7" spans="1:10" x14ac:dyDescent="0.25">
      <c r="B7">
        <f>COUNT($C$7)</f>
        <v>0</v>
      </c>
    </row>
    <row r="8" spans="1:10" x14ac:dyDescent="0.25">
      <c r="B8" t="b">
        <f>RGKudnyttelse&lt;=1</f>
        <v>1</v>
      </c>
    </row>
    <row r="9" spans="1:10" x14ac:dyDescent="0.25">
      <c r="B9" t="b">
        <f>RGKudnyttelse&gt;=0</f>
        <v>1</v>
      </c>
    </row>
    <row r="10" spans="1:10" x14ac:dyDescent="0.25">
      <c r="B10">
        <f>{32767;32767;0.000001;0.01;FALSE;FALSE;TRUE;1;1;1;0.0001;TRUE}</f>
        <v>32767</v>
      </c>
    </row>
    <row r="11" spans="1:10" x14ac:dyDescent="0.25">
      <c r="B11">
        <f>{0;0;1;100;0;FALSE;TRUE;0.075;0;0;FALSE;30}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189-028E-4B88-AC75-E88799B17CAC}">
  <dimension ref="A2:Z72"/>
  <sheetViews>
    <sheetView topLeftCell="A4" zoomScale="80" zoomScaleNormal="80" workbookViewId="0">
      <selection activeCell="C39" sqref="C39"/>
    </sheetView>
    <sheetView tabSelected="1" topLeftCell="B1" zoomScale="85" zoomScaleNormal="85" workbookViewId="1">
      <selection activeCell="C5" sqref="C5"/>
    </sheetView>
  </sheetViews>
  <sheetFormatPr defaultRowHeight="15" outlineLevelCol="1" x14ac:dyDescent="0.25"/>
  <cols>
    <col min="1" max="1" width="28.5703125" customWidth="1" outlineLevel="1"/>
    <col min="2" max="2" width="12.28515625" style="7" customWidth="1" outlineLevel="1"/>
    <col min="3" max="5" width="9.140625" customWidth="1" outlineLevel="1"/>
    <col min="6" max="6" width="13.42578125" customWidth="1" outlineLevel="1"/>
    <col min="7" max="7" width="2.85546875" style="34" customWidth="1"/>
    <col min="8" max="8" width="30.7109375" customWidth="1" outlineLevel="1"/>
    <col min="9" max="9" width="11" style="7" customWidth="1" outlineLevel="1"/>
    <col min="10" max="10" width="13.28515625" style="16" customWidth="1" outlineLevel="1"/>
    <col min="11" max="11" width="14.42578125" style="16" customWidth="1" outlineLevel="1"/>
    <col min="12" max="12" width="14.42578125" customWidth="1" outlineLevel="1"/>
    <col min="13" max="13" width="2.85546875" style="34" customWidth="1" outlineLevel="1"/>
    <col min="14" max="14" width="30.7109375" bestFit="1" customWidth="1"/>
    <col min="15" max="15" width="8.42578125" style="7" bestFit="1" customWidth="1"/>
    <col min="16" max="16" width="10" style="16" bestFit="1" customWidth="1"/>
    <col min="17" max="17" width="14.42578125" style="16" bestFit="1" customWidth="1"/>
    <col min="18" max="18" width="15.7109375" bestFit="1" customWidth="1"/>
    <col min="19" max="19" width="4.140625" customWidth="1"/>
    <col min="20" max="20" width="29.7109375" style="7" customWidth="1"/>
    <col min="21" max="22" width="13" customWidth="1"/>
  </cols>
  <sheetData>
    <row r="2" spans="1:26" x14ac:dyDescent="0.25">
      <c r="A2" s="31" t="s">
        <v>0</v>
      </c>
      <c r="B2" s="31"/>
      <c r="C2" s="31"/>
      <c r="D2" s="31"/>
      <c r="E2" s="31"/>
      <c r="F2" s="31"/>
      <c r="H2" s="33" t="s">
        <v>157</v>
      </c>
      <c r="I2" s="33"/>
      <c r="J2" s="33"/>
      <c r="K2" s="33"/>
      <c r="L2" s="33"/>
      <c r="N2" s="32" t="s">
        <v>50</v>
      </c>
      <c r="O2" s="32"/>
      <c r="P2" s="32"/>
      <c r="Q2" s="32"/>
      <c r="R2" s="32"/>
      <c r="T2" s="32" t="s">
        <v>151</v>
      </c>
      <c r="U2" s="32"/>
      <c r="V2" s="32"/>
      <c r="W2" s="32"/>
      <c r="X2" s="32"/>
      <c r="Y2" s="32"/>
      <c r="Z2" s="32"/>
    </row>
    <row r="4" spans="1:26" x14ac:dyDescent="0.25">
      <c r="A4" s="5" t="s">
        <v>139</v>
      </c>
      <c r="B4" s="10" t="s">
        <v>55</v>
      </c>
      <c r="C4" s="6"/>
      <c r="D4" s="6"/>
      <c r="E4" s="6"/>
      <c r="F4" s="9" t="s">
        <v>49</v>
      </c>
      <c r="I4" s="10" t="s">
        <v>55</v>
      </c>
      <c r="J4" s="19"/>
      <c r="K4" s="19"/>
      <c r="L4" s="5"/>
      <c r="N4" s="5" t="s">
        <v>110</v>
      </c>
      <c r="O4" s="10" t="s">
        <v>55</v>
      </c>
      <c r="P4" s="19" t="str">
        <f>J57</f>
        <v>Uden RGK</v>
      </c>
      <c r="Q4" s="19" t="str">
        <f t="shared" ref="Q4:R4" si="0">K57</f>
        <v>Med 100% RGK</v>
      </c>
      <c r="R4" s="19" t="str">
        <f t="shared" si="0"/>
        <v>RGK ift. nominel</v>
      </c>
      <c r="T4" s="24" t="str">
        <f>"RGK ift. Nominel: "&amp;C22&amp;" ton affald, "&amp;D22&amp;" ton bioaffald"</f>
        <v>RGK ift. Nominel: 12000 ton affald, 0 ton bioaffald</v>
      </c>
      <c r="U4" s="11"/>
      <c r="V4" s="11"/>
      <c r="W4" s="11"/>
      <c r="X4" s="11"/>
      <c r="Y4" s="11"/>
      <c r="Z4" s="11"/>
    </row>
    <row r="5" spans="1:26" x14ac:dyDescent="0.25">
      <c r="A5" s="7" t="s">
        <v>138</v>
      </c>
      <c r="B5" s="7" t="s">
        <v>140</v>
      </c>
      <c r="C5" s="21">
        <v>1</v>
      </c>
      <c r="F5" t="s">
        <v>141</v>
      </c>
      <c r="H5" s="5" t="s">
        <v>144</v>
      </c>
      <c r="I5" s="10"/>
      <c r="J5" s="19" t="s">
        <v>1</v>
      </c>
      <c r="K5" s="19" t="s">
        <v>2</v>
      </c>
      <c r="L5" s="6" t="s">
        <v>168</v>
      </c>
      <c r="N5" s="18" t="str">
        <f>H70</f>
        <v>Indtægter total</v>
      </c>
      <c r="O5" s="18" t="str">
        <f>I70</f>
        <v>tkr</v>
      </c>
      <c r="P5" s="23">
        <f>J70</f>
        <v>7630788.6922525112</v>
      </c>
      <c r="Q5" s="23">
        <f>K70</f>
        <v>6959978.0260043042</v>
      </c>
      <c r="R5" s="23">
        <f>L70</f>
        <v>-670810.66624820698</v>
      </c>
    </row>
    <row r="6" spans="1:26" x14ac:dyDescent="0.25">
      <c r="A6" s="7"/>
      <c r="H6" s="8" t="s">
        <v>57</v>
      </c>
      <c r="I6" s="10"/>
      <c r="J6" s="16">
        <f>24*C$9</f>
        <v>744</v>
      </c>
      <c r="K6" s="16">
        <f>24*D$9</f>
        <v>744</v>
      </c>
      <c r="N6" s="18" t="str">
        <f>H71</f>
        <v>Omkostninger total</v>
      </c>
      <c r="O6" s="18" t="str">
        <f>I71</f>
        <v>tkr</v>
      </c>
      <c r="P6" s="23">
        <f>J71</f>
        <v>4412295.6965853656</v>
      </c>
      <c r="Q6" s="23">
        <f>K71</f>
        <v>4024359.2875764952</v>
      </c>
      <c r="R6" s="23">
        <f>L71</f>
        <v>-387936.40900887037</v>
      </c>
    </row>
    <row r="7" spans="1:26" x14ac:dyDescent="0.25">
      <c r="A7" s="7"/>
      <c r="H7" s="8" t="s">
        <v>58</v>
      </c>
      <c r="I7" s="7" t="s">
        <v>48</v>
      </c>
      <c r="J7" s="20">
        <f>J6*C10</f>
        <v>7068</v>
      </c>
      <c r="K7" s="20">
        <f>K6*D10</f>
        <v>16740</v>
      </c>
      <c r="L7" s="20">
        <f>SUM(J7:K7)</f>
        <v>23808</v>
      </c>
      <c r="N7" s="18" t="str">
        <f>H72</f>
        <v>Dækningsbidrag</v>
      </c>
      <c r="O7" s="18" t="str">
        <f>I72</f>
        <v>tkr</v>
      </c>
      <c r="P7" s="23">
        <f>J72</f>
        <v>3218492.9956671456</v>
      </c>
      <c r="Q7" s="23">
        <f>K72</f>
        <v>2935618.738427809</v>
      </c>
      <c r="R7" s="23">
        <f>L72</f>
        <v>-282874.25723933661</v>
      </c>
    </row>
    <row r="8" spans="1:26" x14ac:dyDescent="0.25">
      <c r="A8" s="5" t="s">
        <v>15</v>
      </c>
      <c r="B8" s="10"/>
      <c r="C8" s="6" t="s">
        <v>1</v>
      </c>
      <c r="D8" s="6" t="s">
        <v>2</v>
      </c>
      <c r="E8" s="6" t="s">
        <v>8</v>
      </c>
      <c r="F8" s="6" t="s">
        <v>150</v>
      </c>
      <c r="H8" s="8" t="s">
        <v>71</v>
      </c>
      <c r="I8" s="18" t="s">
        <v>48</v>
      </c>
      <c r="J8" s="20">
        <f>EtaRgkOvn2/EtaQNomOvn2*J7</f>
        <v>1488</v>
      </c>
      <c r="K8" s="20">
        <f>EtaRgkOvn3/EtaQNomOvn3*K7</f>
        <v>4092</v>
      </c>
      <c r="L8" s="20">
        <f t="shared" ref="L8:L11" si="1">SUM(J8:K8)</f>
        <v>5580</v>
      </c>
      <c r="N8" s="5"/>
      <c r="O8" s="10"/>
      <c r="P8" s="19"/>
      <c r="Q8" s="19"/>
      <c r="R8" s="19"/>
    </row>
    <row r="9" spans="1:26" x14ac:dyDescent="0.25">
      <c r="A9" s="7" t="s">
        <v>13</v>
      </c>
      <c r="C9">
        <v>31</v>
      </c>
      <c r="D9">
        <v>31</v>
      </c>
      <c r="E9">
        <v>31</v>
      </c>
      <c r="H9" s="8" t="s">
        <v>72</v>
      </c>
      <c r="I9" s="18" t="s">
        <v>48</v>
      </c>
      <c r="J9" s="20">
        <f>SUM(J7:J8)</f>
        <v>8556</v>
      </c>
      <c r="K9" s="20">
        <f>SUM(K7:K8)</f>
        <v>20832</v>
      </c>
      <c r="L9" s="20">
        <f t="shared" si="1"/>
        <v>29388</v>
      </c>
      <c r="N9" s="18" t="str">
        <f>H58</f>
        <v>Varmesalg</v>
      </c>
      <c r="O9" s="18" t="str">
        <f t="shared" ref="O9:R12" si="2">I58</f>
        <v>tkr</v>
      </c>
      <c r="P9" s="22">
        <f t="shared" si="2"/>
        <v>2177000</v>
      </c>
      <c r="Q9" s="22">
        <f t="shared" si="2"/>
        <v>2177000</v>
      </c>
      <c r="R9" s="23">
        <f t="shared" si="2"/>
        <v>0</v>
      </c>
    </row>
    <row r="10" spans="1:26" x14ac:dyDescent="0.25">
      <c r="A10" s="7" t="s">
        <v>3</v>
      </c>
      <c r="B10" s="7" t="s">
        <v>4</v>
      </c>
      <c r="C10">
        <v>9.5</v>
      </c>
      <c r="D10">
        <v>22.5</v>
      </c>
      <c r="E10">
        <v>15</v>
      </c>
      <c r="H10" s="8" t="s">
        <v>59</v>
      </c>
      <c r="I10" s="7" t="s">
        <v>60</v>
      </c>
      <c r="J10" s="16">
        <f>J7/EtaQNomOvn2</f>
        <v>8374.4075829383892</v>
      </c>
      <c r="K10" s="16">
        <f>K7/EtaQNomOvn3</f>
        <v>25518.292682926829</v>
      </c>
      <c r="L10" s="20">
        <f t="shared" si="1"/>
        <v>33892.70026586522</v>
      </c>
      <c r="N10" s="18" t="str">
        <f>H59</f>
        <v>Elsalg</v>
      </c>
      <c r="O10" s="18" t="str">
        <f t="shared" si="2"/>
        <v>tkr</v>
      </c>
      <c r="P10" s="22">
        <f t="shared" si="2"/>
        <v>3947332.4512195117</v>
      </c>
      <c r="Q10" s="22">
        <f t="shared" si="2"/>
        <v>3572432.8323170734</v>
      </c>
      <c r="R10" s="23">
        <f t="shared" si="2"/>
        <v>-374899.61890243832</v>
      </c>
    </row>
    <row r="11" spans="1:26" x14ac:dyDescent="0.25">
      <c r="A11" s="7" t="s">
        <v>9</v>
      </c>
      <c r="B11" s="7" t="s">
        <v>4</v>
      </c>
      <c r="C11">
        <v>2</v>
      </c>
      <c r="D11">
        <v>5.5</v>
      </c>
      <c r="H11" s="8" t="s">
        <v>61</v>
      </c>
      <c r="I11" s="18" t="s">
        <v>18</v>
      </c>
      <c r="J11" s="20">
        <f>J10*3.6/Htotal</f>
        <v>2955.6732645664906</v>
      </c>
      <c r="K11" s="20">
        <f>K10/(Htotal/3.6)</f>
        <v>9006.456241033</v>
      </c>
      <c r="L11" s="20">
        <f t="shared" si="1"/>
        <v>11962.129505599491</v>
      </c>
      <c r="N11" s="18" t="str">
        <f>H60</f>
        <v>RGK-rabat</v>
      </c>
      <c r="O11" s="18" t="str">
        <f t="shared" si="2"/>
        <v>tkr</v>
      </c>
      <c r="P11" s="22">
        <f t="shared" si="2"/>
        <v>0</v>
      </c>
      <c r="Q11" s="22">
        <f t="shared" si="2"/>
        <v>0</v>
      </c>
      <c r="R11" s="23">
        <f t="shared" si="2"/>
        <v>0</v>
      </c>
    </row>
    <row r="12" spans="1:26" x14ac:dyDescent="0.25">
      <c r="A12" s="7" t="s">
        <v>5</v>
      </c>
      <c r="B12" s="7" t="s">
        <v>6</v>
      </c>
      <c r="D12">
        <v>8</v>
      </c>
      <c r="H12" s="7"/>
      <c r="J12" s="20"/>
      <c r="K12" s="20"/>
      <c r="N12" s="18" t="str">
        <f>H61</f>
        <v>Modtagebetaling affald</v>
      </c>
      <c r="O12" s="18" t="str">
        <f t="shared" si="2"/>
        <v>tkr</v>
      </c>
      <c r="P12" s="22">
        <f t="shared" si="2"/>
        <v>1506456.2410329985</v>
      </c>
      <c r="Q12" s="22">
        <f t="shared" si="2"/>
        <v>1210545.1936872313</v>
      </c>
      <c r="R12" s="23">
        <f t="shared" si="2"/>
        <v>-295911.04734576726</v>
      </c>
    </row>
    <row r="13" spans="1:26" x14ac:dyDescent="0.25">
      <c r="A13" s="7" t="s">
        <v>7</v>
      </c>
      <c r="B13" s="7" t="s">
        <v>14</v>
      </c>
      <c r="D13">
        <v>25</v>
      </c>
      <c r="H13" s="9" t="s">
        <v>145</v>
      </c>
      <c r="J13" s="19" t="s">
        <v>51</v>
      </c>
      <c r="K13" s="19" t="str">
        <f>"Med "&amp;TEXT(RGKudnyttelse,"0%")&amp;" RGK"</f>
        <v>Med 100% RGK</v>
      </c>
      <c r="L13" s="5" t="s">
        <v>148</v>
      </c>
      <c r="N13" s="18"/>
      <c r="O13" s="18"/>
      <c r="P13" s="23"/>
      <c r="Q13" s="23"/>
      <c r="R13" s="23"/>
    </row>
    <row r="14" spans="1:26" x14ac:dyDescent="0.25">
      <c r="A14" s="7" t="s">
        <v>10</v>
      </c>
      <c r="C14" s="3">
        <v>0.84399999999999997</v>
      </c>
      <c r="D14" s="3">
        <v>0.65600000000000003</v>
      </c>
      <c r="H14" s="8" t="s">
        <v>63</v>
      </c>
      <c r="I14" s="7" t="s">
        <v>48</v>
      </c>
      <c r="J14" s="20">
        <f>MIN(Qdemand,K7,EtaQNomOvn3*Ftotal*Htotal/3.6)</f>
        <v>7000</v>
      </c>
      <c r="K14" s="20">
        <f>MIN(Qdemand,K9,EtaQmaxOvn3*Ftotal*Htotal/3.6)</f>
        <v>7000</v>
      </c>
      <c r="L14" s="16">
        <f>K14-J14</f>
        <v>0</v>
      </c>
      <c r="N14" s="18" t="str">
        <f>H63</f>
        <v>Betaling bioaffald</v>
      </c>
      <c r="O14" s="18" t="str">
        <f t="shared" ref="O14:O19" si="3">I63</f>
        <v>tkr</v>
      </c>
      <c r="P14" s="23">
        <f t="shared" ref="P14:P19" si="4">J63</f>
        <v>0</v>
      </c>
      <c r="Q14" s="23">
        <f t="shared" ref="Q14:Q19" si="5">K63</f>
        <v>0</v>
      </c>
      <c r="R14" s="23">
        <f t="shared" ref="R14:R19" si="6">L63</f>
        <v>0</v>
      </c>
    </row>
    <row r="15" spans="1:26" x14ac:dyDescent="0.25">
      <c r="A15" s="7" t="s">
        <v>11</v>
      </c>
      <c r="C15" s="4">
        <f>$C$5*C11/C10*C14</f>
        <v>0.17768421052631578</v>
      </c>
      <c r="D15" s="4">
        <f>$C$5*D11/D10*D14</f>
        <v>0.16035555555555556</v>
      </c>
      <c r="H15" s="7" t="s">
        <v>66</v>
      </c>
      <c r="I15" s="7" t="s">
        <v>18</v>
      </c>
      <c r="J15" s="16">
        <f>$J$14/EtaQNomOvn3/(Htotal/3.6)</f>
        <v>3766.1406025824967</v>
      </c>
      <c r="K15" s="16">
        <f>$K$14/EtaQmaxOvn3/(Htotal/3.6)</f>
        <v>3026.3629842180776</v>
      </c>
      <c r="L15" s="16">
        <f t="shared" ref="L15:L55" si="7">K15-J15</f>
        <v>-739.77761836441914</v>
      </c>
      <c r="N15" s="18" t="str">
        <f>H64</f>
        <v>DV-omkostninger</v>
      </c>
      <c r="O15" s="18" t="str">
        <f t="shared" si="3"/>
        <v>tkr</v>
      </c>
      <c r="P15" s="22">
        <f t="shared" si="4"/>
        <v>991200</v>
      </c>
      <c r="Q15" s="22">
        <f t="shared" si="5"/>
        <v>1006435.8793324776</v>
      </c>
      <c r="R15" s="23">
        <f t="shared" si="6"/>
        <v>15235.879332477576</v>
      </c>
    </row>
    <row r="16" spans="1:26" x14ac:dyDescent="0.25">
      <c r="A16" s="7" t="s">
        <v>75</v>
      </c>
      <c r="C16" s="4">
        <f>SUM(C14:C15)</f>
        <v>1.0216842105263158</v>
      </c>
      <c r="D16" s="4">
        <f>SUM(D14:D15)</f>
        <v>0.81635555555555561</v>
      </c>
      <c r="H16" s="7" t="s">
        <v>64</v>
      </c>
      <c r="I16" s="7" t="s">
        <v>48</v>
      </c>
      <c r="J16" s="20">
        <f>Qdemand-J14</f>
        <v>0</v>
      </c>
      <c r="K16" s="20">
        <f>Qdemand-K14</f>
        <v>0</v>
      </c>
      <c r="L16" s="16">
        <f t="shared" si="7"/>
        <v>0</v>
      </c>
      <c r="N16" s="18" t="str">
        <f>H65</f>
        <v>Affaldvarme-afgift</v>
      </c>
      <c r="O16" s="18" t="str">
        <f t="shared" si="3"/>
        <v>tkr</v>
      </c>
      <c r="P16" s="22">
        <f t="shared" si="4"/>
        <v>650160.00000000012</v>
      </c>
      <c r="Q16" s="22">
        <f t="shared" si="5"/>
        <v>650160.00000000012</v>
      </c>
      <c r="R16" s="23">
        <f t="shared" si="6"/>
        <v>0</v>
      </c>
    </row>
    <row r="17" spans="1:26" x14ac:dyDescent="0.25">
      <c r="A17" s="7" t="s">
        <v>12</v>
      </c>
      <c r="D17" s="1">
        <v>0.22470000000000001</v>
      </c>
      <c r="H17" s="7" t="s">
        <v>65</v>
      </c>
      <c r="I17" s="7" t="s">
        <v>18</v>
      </c>
      <c r="J17" s="20">
        <f>Ftotal-J15</f>
        <v>8233.8593974175037</v>
      </c>
      <c r="K17" s="20">
        <f>Ftotal-K15</f>
        <v>8973.6370157819219</v>
      </c>
      <c r="L17" s="16">
        <f t="shared" si="7"/>
        <v>739.77761836441823</v>
      </c>
      <c r="N17" s="18" t="str">
        <f>H66</f>
        <v>Tillægsafgift</v>
      </c>
      <c r="O17" s="18" t="str">
        <f t="shared" si="3"/>
        <v>tkr</v>
      </c>
      <c r="P17" s="23">
        <f t="shared" si="4"/>
        <v>1732464.0000000002</v>
      </c>
      <c r="Q17" s="23">
        <f t="shared" si="5"/>
        <v>1509008.7617835368</v>
      </c>
      <c r="R17" s="23">
        <f t="shared" si="6"/>
        <v>-223455.23821646348</v>
      </c>
    </row>
    <row r="18" spans="1:26" x14ac:dyDescent="0.25">
      <c r="A18" s="7" t="s">
        <v>23</v>
      </c>
      <c r="B18" s="7" t="s">
        <v>24</v>
      </c>
      <c r="C18">
        <v>30</v>
      </c>
      <c r="D18">
        <v>50</v>
      </c>
      <c r="E18">
        <v>10</v>
      </c>
      <c r="F18">
        <v>10</v>
      </c>
      <c r="H18" s="8" t="s">
        <v>69</v>
      </c>
      <c r="I18" s="7" t="s">
        <v>48</v>
      </c>
      <c r="J18" s="20">
        <f>MIN(J16,NSvarme)</f>
        <v>0</v>
      </c>
      <c r="K18" s="20">
        <f>MIN(K16,NSvarme)</f>
        <v>0</v>
      </c>
      <c r="L18" s="16">
        <f t="shared" si="7"/>
        <v>0</v>
      </c>
      <c r="N18" s="18" t="str">
        <f>H67</f>
        <v>CO2-afgift</v>
      </c>
      <c r="O18" s="18" t="str">
        <f t="shared" si="3"/>
        <v>tkr</v>
      </c>
      <c r="P18" s="23">
        <f t="shared" si="4"/>
        <v>359813.16000000003</v>
      </c>
      <c r="Q18" s="23">
        <f t="shared" si="5"/>
        <v>313404.03670438263</v>
      </c>
      <c r="R18" s="23">
        <f t="shared" si="6"/>
        <v>-46409.123295617406</v>
      </c>
    </row>
    <row r="19" spans="1:26" x14ac:dyDescent="0.25">
      <c r="A19" s="7"/>
      <c r="H19" s="7" t="s">
        <v>64</v>
      </c>
      <c r="I19" s="7" t="s">
        <v>48</v>
      </c>
      <c r="J19" s="20">
        <f>J16-J18</f>
        <v>0</v>
      </c>
      <c r="K19" s="20">
        <f>K16-K18</f>
        <v>0</v>
      </c>
      <c r="L19" s="16">
        <f t="shared" si="7"/>
        <v>0</v>
      </c>
      <c r="N19" s="18" t="str">
        <f>H68</f>
        <v>Kvote-omkostning</v>
      </c>
      <c r="O19" s="18" t="str">
        <f t="shared" si="3"/>
        <v>tkr</v>
      </c>
      <c r="P19" s="23">
        <f t="shared" si="4"/>
        <v>678658.53658536577</v>
      </c>
      <c r="Q19" s="23">
        <f t="shared" si="5"/>
        <v>545350.60975609766</v>
      </c>
      <c r="R19" s="23">
        <f t="shared" si="6"/>
        <v>-133307.92682926811</v>
      </c>
    </row>
    <row r="20" spans="1:26" x14ac:dyDescent="0.25">
      <c r="A20" s="9" t="s">
        <v>16</v>
      </c>
      <c r="C20" s="6" t="s">
        <v>17</v>
      </c>
      <c r="D20" s="6" t="s">
        <v>19</v>
      </c>
      <c r="E20" s="6" t="s">
        <v>25</v>
      </c>
      <c r="H20" s="8" t="s">
        <v>70</v>
      </c>
      <c r="I20" s="7" t="s">
        <v>48</v>
      </c>
      <c r="J20" s="20">
        <f>MIN($J$19,J7,EtaQNomOvn2*(J17*Htotal)/3.6)</f>
        <v>0</v>
      </c>
      <c r="K20" s="20">
        <f>MIN($K$19,J9,EtaQmaxOvn2*(K17*Htotal)/3.6)</f>
        <v>0</v>
      </c>
      <c r="L20" s="16">
        <f t="shared" si="7"/>
        <v>0</v>
      </c>
      <c r="N20" s="18"/>
      <c r="O20" s="18"/>
      <c r="P20" s="23"/>
      <c r="Q20" s="23"/>
      <c r="R20" s="23"/>
    </row>
    <row r="21" spans="1:26" x14ac:dyDescent="0.25">
      <c r="A21" s="28" t="s">
        <v>21</v>
      </c>
      <c r="B21" s="28" t="s">
        <v>22</v>
      </c>
      <c r="C21" s="29">
        <v>1</v>
      </c>
      <c r="D21" s="29">
        <v>1</v>
      </c>
      <c r="E21" s="30">
        <v>1</v>
      </c>
      <c r="H21" s="7" t="s">
        <v>66</v>
      </c>
      <c r="I21" s="7" t="s">
        <v>18</v>
      </c>
      <c r="J21" s="20">
        <f>$J$20/EtaQNomOvn2/(Htotal/3.6)</f>
        <v>0</v>
      </c>
      <c r="K21" s="20">
        <f>$K$20/EtaQmaxOvn2/(Htotal/3.6)</f>
        <v>0</v>
      </c>
      <c r="L21" s="16">
        <f t="shared" si="7"/>
        <v>0</v>
      </c>
      <c r="N21" s="9" t="s">
        <v>149</v>
      </c>
      <c r="P21" s="19"/>
      <c r="Q21" s="19"/>
      <c r="R21" s="16"/>
    </row>
    <row r="22" spans="1:26" x14ac:dyDescent="0.25">
      <c r="A22" s="7" t="s">
        <v>20</v>
      </c>
      <c r="B22" s="7" t="s">
        <v>18</v>
      </c>
      <c r="C22" s="14">
        <f>F22-BioTonnage</f>
        <v>12000</v>
      </c>
      <c r="D22">
        <v>0</v>
      </c>
      <c r="E22">
        <v>4000</v>
      </c>
      <c r="F22">
        <v>12000</v>
      </c>
      <c r="H22" s="7" t="s">
        <v>64</v>
      </c>
      <c r="I22" s="7" t="s">
        <v>48</v>
      </c>
      <c r="J22" s="20">
        <f>J19-J20</f>
        <v>0</v>
      </c>
      <c r="K22" s="20">
        <f>K19-K20</f>
        <v>0</v>
      </c>
      <c r="L22" s="16">
        <f t="shared" si="7"/>
        <v>0</v>
      </c>
      <c r="N22" s="7" t="str">
        <f>H40</f>
        <v>Varmeproduktion Ovn2</v>
      </c>
      <c r="O22" s="7" t="s">
        <v>48</v>
      </c>
      <c r="P22" s="16">
        <f>J40</f>
        <v>1420</v>
      </c>
      <c r="Q22" s="16">
        <f>K40</f>
        <v>1420</v>
      </c>
      <c r="R22" s="16">
        <f>Q22-P22</f>
        <v>0</v>
      </c>
    </row>
    <row r="23" spans="1:26" x14ac:dyDescent="0.25">
      <c r="A23" s="7" t="s">
        <v>62</v>
      </c>
      <c r="C23" s="2">
        <f>C22/SUM($C$22:$D$22)</f>
        <v>1</v>
      </c>
      <c r="D23" s="2">
        <f>D22/SUM($C$22:$D$22)</f>
        <v>0</v>
      </c>
      <c r="H23" s="7" t="s">
        <v>65</v>
      </c>
      <c r="I23" s="7" t="s">
        <v>18</v>
      </c>
      <c r="J23" s="20">
        <f>J17-J21</f>
        <v>8233.8593974175037</v>
      </c>
      <c r="K23" s="20">
        <f>K17-K21</f>
        <v>8973.6370157819219</v>
      </c>
      <c r="L23" s="16">
        <f t="shared" si="7"/>
        <v>739.77761836441823</v>
      </c>
      <c r="N23" s="7" t="str">
        <f>H41</f>
        <v>Varmeproduktion Ovn3</v>
      </c>
      <c r="O23" s="7" t="s">
        <v>48</v>
      </c>
      <c r="P23" s="16">
        <f>J41</f>
        <v>16740</v>
      </c>
      <c r="Q23" s="16">
        <f>K41</f>
        <v>16740</v>
      </c>
      <c r="R23" s="16">
        <f t="shared" ref="R23:R27" si="8">Q23-P23</f>
        <v>0</v>
      </c>
    </row>
    <row r="24" spans="1:26" x14ac:dyDescent="0.25">
      <c r="A24" s="7" t="s">
        <v>45</v>
      </c>
      <c r="B24" s="7" t="s">
        <v>29</v>
      </c>
      <c r="C24">
        <v>400</v>
      </c>
      <c r="D24">
        <f>-6.5*3.6</f>
        <v>-23.400000000000002</v>
      </c>
      <c r="E24">
        <v>0</v>
      </c>
      <c r="H24" s="8" t="s">
        <v>73</v>
      </c>
      <c r="I24" s="7" t="s">
        <v>48</v>
      </c>
      <c r="J24" s="20">
        <f>J14+J20</f>
        <v>7000</v>
      </c>
      <c r="K24" s="20">
        <f>K14+K20</f>
        <v>7000</v>
      </c>
      <c r="L24" s="16">
        <f t="shared" si="7"/>
        <v>0</v>
      </c>
      <c r="N24" s="7" t="str">
        <f>H43</f>
        <v>Heraf RGK-varme</v>
      </c>
      <c r="O24" s="7" t="s">
        <v>48</v>
      </c>
      <c r="P24" s="16">
        <f>J43</f>
        <v>0</v>
      </c>
      <c r="Q24" s="16">
        <f>K43</f>
        <v>1523.5879332477532</v>
      </c>
      <c r="R24" s="16">
        <f t="shared" si="8"/>
        <v>1523.5879332477532</v>
      </c>
    </row>
    <row r="25" spans="1:26" x14ac:dyDescent="0.25">
      <c r="A25" s="7" t="s">
        <v>34</v>
      </c>
      <c r="B25" s="7" t="s">
        <v>35</v>
      </c>
      <c r="C25">
        <v>10.199999999999999</v>
      </c>
      <c r="D25">
        <v>14</v>
      </c>
      <c r="E25">
        <v>3.6</v>
      </c>
      <c r="H25" s="8" t="s">
        <v>74</v>
      </c>
      <c r="I25" s="7" t="s">
        <v>48</v>
      </c>
      <c r="J25" s="20">
        <f>J22</f>
        <v>0</v>
      </c>
      <c r="K25" s="20">
        <f>K22</f>
        <v>0</v>
      </c>
      <c r="L25" s="16">
        <f t="shared" si="7"/>
        <v>0</v>
      </c>
      <c r="N25" s="7" t="str">
        <f>H34</f>
        <v>Bortkølet varme</v>
      </c>
      <c r="O25" s="7" t="s">
        <v>48</v>
      </c>
      <c r="P25" s="16">
        <f>J34</f>
        <v>11160</v>
      </c>
      <c r="Q25" s="16">
        <f>K34</f>
        <v>11160</v>
      </c>
      <c r="R25" s="16">
        <f t="shared" si="8"/>
        <v>0</v>
      </c>
      <c r="T25" s="24" t="str">
        <f>"Varmemængder: "&amp;C22&amp;" ton affald, "&amp;D22&amp;" ton bioaffald"</f>
        <v>Varmemængder: 12000 ton affald, 0 ton bioaffald</v>
      </c>
      <c r="U25" s="12"/>
      <c r="V25" s="12"/>
      <c r="W25" s="12"/>
      <c r="X25" s="12"/>
      <c r="Y25" s="12"/>
      <c r="Z25" s="12"/>
    </row>
    <row r="26" spans="1:26" x14ac:dyDescent="0.25">
      <c r="A26" s="7" t="s">
        <v>42</v>
      </c>
      <c r="B26" s="7" t="s">
        <v>40</v>
      </c>
      <c r="C26">
        <v>37</v>
      </c>
      <c r="D26">
        <v>0</v>
      </c>
      <c r="E26">
        <v>0</v>
      </c>
      <c r="H26" s="7" t="s">
        <v>104</v>
      </c>
      <c r="I26" s="7" t="s">
        <v>48</v>
      </c>
      <c r="J26" s="16">
        <f>$J$7-$J$20</f>
        <v>7068</v>
      </c>
      <c r="K26" s="16">
        <f>J26</f>
        <v>7068</v>
      </c>
      <c r="L26" s="16">
        <f t="shared" si="7"/>
        <v>0</v>
      </c>
      <c r="N26" s="7" t="str">
        <f>H46</f>
        <v>Leveret varme</v>
      </c>
      <c r="O26" s="7" t="s">
        <v>48</v>
      </c>
      <c r="P26" s="16">
        <f>J46</f>
        <v>7000</v>
      </c>
      <c r="Q26" s="16">
        <f>K46</f>
        <v>7000</v>
      </c>
      <c r="R26" s="16">
        <f t="shared" si="8"/>
        <v>0</v>
      </c>
    </row>
    <row r="27" spans="1:26" x14ac:dyDescent="0.25">
      <c r="A27" s="7" t="s">
        <v>43</v>
      </c>
      <c r="B27" s="7" t="s">
        <v>40</v>
      </c>
      <c r="C27">
        <v>42.5</v>
      </c>
      <c r="D27">
        <v>0</v>
      </c>
      <c r="E27">
        <v>0</v>
      </c>
      <c r="H27" s="7" t="s">
        <v>105</v>
      </c>
      <c r="I27" s="7" t="s">
        <v>48</v>
      </c>
      <c r="J27" s="16">
        <f>$K$7-$J$14</f>
        <v>9740</v>
      </c>
      <c r="K27" s="16">
        <f>J27</f>
        <v>9740</v>
      </c>
      <c r="L27" s="16">
        <f t="shared" si="7"/>
        <v>0</v>
      </c>
      <c r="N27" s="7" t="str">
        <f>H47</f>
        <v>Spidslastvarme</v>
      </c>
      <c r="O27" s="7" t="s">
        <v>48</v>
      </c>
      <c r="P27" s="16">
        <f>J47</f>
        <v>0</v>
      </c>
      <c r="Q27" s="16">
        <f>K47</f>
        <v>0</v>
      </c>
      <c r="R27" s="16">
        <f t="shared" si="8"/>
        <v>0</v>
      </c>
    </row>
    <row r="28" spans="1:26" x14ac:dyDescent="0.25">
      <c r="A28" s="7" t="s">
        <v>146</v>
      </c>
      <c r="B28" s="7" t="s">
        <v>35</v>
      </c>
      <c r="C28">
        <v>10.6</v>
      </c>
      <c r="D28">
        <v>0</v>
      </c>
      <c r="E28">
        <v>0</v>
      </c>
      <c r="H28" s="7" t="s">
        <v>107</v>
      </c>
      <c r="I28" s="7" t="s">
        <v>48</v>
      </c>
      <c r="J28" s="16">
        <f>MIN(J27,EtaQNomOvn3*J23*Htotal/3.6,24*E9*KapQcool)</f>
        <v>9740</v>
      </c>
      <c r="K28" s="16">
        <f>MIN(K27,EtaQNomOvn3*K23*Htotal/3.6,24*E9*KapQcool)</f>
        <v>9740</v>
      </c>
      <c r="L28" s="16">
        <f t="shared" si="7"/>
        <v>0</v>
      </c>
      <c r="N28" s="7"/>
      <c r="P28" s="23"/>
      <c r="Q28" s="23"/>
      <c r="R28" s="16"/>
    </row>
    <row r="29" spans="1:26" x14ac:dyDescent="0.25">
      <c r="A29" s="9" t="s">
        <v>26</v>
      </c>
      <c r="H29" s="7" t="s">
        <v>108</v>
      </c>
      <c r="I29" s="7" t="s">
        <v>18</v>
      </c>
      <c r="J29" s="16">
        <f>J28/EtaQNomOvn3/(Htotal/3.6)</f>
        <v>5240.3156384505019</v>
      </c>
      <c r="K29" s="16">
        <f>K28/EtaQNomOvn3/(Htotal/3.6)</f>
        <v>5240.3156384505019</v>
      </c>
      <c r="L29" s="16">
        <f t="shared" si="7"/>
        <v>0</v>
      </c>
      <c r="N29" s="9" t="s">
        <v>163</v>
      </c>
      <c r="R29" s="16"/>
    </row>
    <row r="30" spans="1:26" x14ac:dyDescent="0.25">
      <c r="A30" s="7" t="s">
        <v>33</v>
      </c>
      <c r="B30" s="7" t="s">
        <v>28</v>
      </c>
      <c r="C30">
        <v>311</v>
      </c>
      <c r="H30" s="7" t="s">
        <v>65</v>
      </c>
      <c r="I30" s="7" t="s">
        <v>18</v>
      </c>
      <c r="J30" s="16">
        <f>J23-J29</f>
        <v>2993.5437589670018</v>
      </c>
      <c r="K30" s="16">
        <f>K23-K29</f>
        <v>3733.3213773314201</v>
      </c>
      <c r="L30" s="16">
        <f t="shared" si="7"/>
        <v>739.77761836441823</v>
      </c>
      <c r="N30" s="7" t="s">
        <v>158</v>
      </c>
      <c r="O30" s="7" t="s">
        <v>18</v>
      </c>
      <c r="P30" s="16">
        <f>J15</f>
        <v>3766.1406025824967</v>
      </c>
      <c r="Q30" s="16">
        <f>K15</f>
        <v>3026.3629842180776</v>
      </c>
      <c r="R30" s="16">
        <f>Q30-P30</f>
        <v>-739.77761836441914</v>
      </c>
    </row>
    <row r="31" spans="1:26" x14ac:dyDescent="0.25">
      <c r="A31" s="7" t="s">
        <v>30</v>
      </c>
      <c r="B31" s="7" t="s">
        <v>31</v>
      </c>
      <c r="C31">
        <v>800</v>
      </c>
      <c r="H31" s="7" t="s">
        <v>106</v>
      </c>
      <c r="I31" s="7" t="s">
        <v>48</v>
      </c>
      <c r="J31" s="16">
        <f>MIN(J26,EtaQNomOvn3*J30*Htotal/3.6,24*E9*KapQcool-J28)</f>
        <v>1420</v>
      </c>
      <c r="K31" s="16">
        <f>MIN(K26,EtaQNomOvn3*K30*Htotal/3.6,24*E9*KapQcool-K28)</f>
        <v>1420</v>
      </c>
      <c r="L31" s="16">
        <f t="shared" si="7"/>
        <v>0</v>
      </c>
      <c r="N31" s="7" t="s">
        <v>159</v>
      </c>
      <c r="O31" s="7" t="s">
        <v>48</v>
      </c>
      <c r="P31" s="16">
        <f>J18</f>
        <v>0</v>
      </c>
      <c r="Q31" s="16">
        <f>K18</f>
        <v>0</v>
      </c>
      <c r="R31" s="16">
        <f t="shared" ref="R31:R36" si="9">Q31-P31</f>
        <v>0</v>
      </c>
    </row>
    <row r="32" spans="1:26" x14ac:dyDescent="0.25">
      <c r="A32" s="7" t="s">
        <v>46</v>
      </c>
      <c r="B32" s="7" t="s">
        <v>31</v>
      </c>
      <c r="C32">
        <v>4</v>
      </c>
      <c r="H32" s="7" t="s">
        <v>109</v>
      </c>
      <c r="I32" s="7" t="s">
        <v>18</v>
      </c>
      <c r="J32" s="16">
        <f>J31/EtaQNomOvn2/(Htotal/3.6)</f>
        <v>593.81098410928359</v>
      </c>
      <c r="K32" s="16">
        <f>K31/EtaQNomOvn2/(Htotal/3.6)</f>
        <v>593.81098410928359</v>
      </c>
      <c r="L32" s="16">
        <f t="shared" si="7"/>
        <v>0</v>
      </c>
      <c r="N32" s="7" t="s">
        <v>160</v>
      </c>
      <c r="O32" s="7" t="s">
        <v>18</v>
      </c>
      <c r="P32" s="16">
        <f>J21</f>
        <v>0</v>
      </c>
      <c r="Q32" s="16">
        <f>K21</f>
        <v>0</v>
      </c>
      <c r="R32" s="16">
        <f t="shared" si="9"/>
        <v>0</v>
      </c>
    </row>
    <row r="33" spans="1:26" x14ac:dyDescent="0.25">
      <c r="A33" s="7" t="s">
        <v>32</v>
      </c>
      <c r="B33" s="7" t="s">
        <v>44</v>
      </c>
      <c r="C33">
        <v>400</v>
      </c>
      <c r="H33" s="7" t="s">
        <v>65</v>
      </c>
      <c r="I33" s="7" t="s">
        <v>18</v>
      </c>
      <c r="J33" s="16">
        <f>J30-J32</f>
        <v>2399.7327748577181</v>
      </c>
      <c r="K33" s="16">
        <f>K30-K32</f>
        <v>3139.5103932221364</v>
      </c>
      <c r="L33" s="16">
        <f t="shared" si="7"/>
        <v>739.77761836441823</v>
      </c>
      <c r="N33" s="7" t="s">
        <v>108</v>
      </c>
      <c r="O33" s="7" t="s">
        <v>18</v>
      </c>
      <c r="P33" s="16">
        <f>J29</f>
        <v>5240.3156384505019</v>
      </c>
      <c r="Q33" s="16">
        <f>K29</f>
        <v>5240.3156384505019</v>
      </c>
      <c r="R33" s="16">
        <f t="shared" si="9"/>
        <v>0</v>
      </c>
    </row>
    <row r="34" spans="1:26" x14ac:dyDescent="0.25">
      <c r="A34" s="7" t="s">
        <v>36</v>
      </c>
      <c r="B34" s="7" t="s">
        <v>41</v>
      </c>
      <c r="C34">
        <v>25.8</v>
      </c>
      <c r="H34" s="7" t="s">
        <v>52</v>
      </c>
      <c r="I34" s="7" t="s">
        <v>48</v>
      </c>
      <c r="J34" s="16">
        <f>J28+J31</f>
        <v>11160</v>
      </c>
      <c r="K34" s="16">
        <f>K28+K31</f>
        <v>11160</v>
      </c>
      <c r="L34" s="16">
        <f t="shared" si="7"/>
        <v>0</v>
      </c>
      <c r="N34" s="7" t="s">
        <v>109</v>
      </c>
      <c r="O34" s="7" t="s">
        <v>18</v>
      </c>
      <c r="P34" s="16">
        <f>J32</f>
        <v>593.81098410928359</v>
      </c>
      <c r="Q34" s="16">
        <f>K32</f>
        <v>593.81098410928359</v>
      </c>
      <c r="R34" s="16">
        <f t="shared" si="9"/>
        <v>0</v>
      </c>
    </row>
    <row r="35" spans="1:26" x14ac:dyDescent="0.25">
      <c r="A35" s="7" t="s">
        <v>37</v>
      </c>
      <c r="B35" s="7" t="s">
        <v>41</v>
      </c>
      <c r="C35">
        <v>31.8</v>
      </c>
      <c r="H35" s="7" t="s">
        <v>124</v>
      </c>
      <c r="I35" s="7" t="s">
        <v>18</v>
      </c>
      <c r="J35" s="16">
        <f>SUM($C$22:$D$22)-J36</f>
        <v>3766.1406025824963</v>
      </c>
      <c r="K35" s="16">
        <f>SUM($C$22:$D$22)-K36</f>
        <v>3026.3629842180781</v>
      </c>
      <c r="L35" s="16">
        <f t="shared" si="7"/>
        <v>-739.77761836441823</v>
      </c>
      <c r="N35" s="7" t="s">
        <v>162</v>
      </c>
      <c r="O35" s="7" t="s">
        <v>18</v>
      </c>
      <c r="P35" s="16">
        <f>P30+SUM(P32:P34)</f>
        <v>9600.2672251422828</v>
      </c>
      <c r="Q35" s="16">
        <f>Q30+SUM(Q32:Q34)</f>
        <v>8860.4896067778627</v>
      </c>
      <c r="R35" s="16">
        <f t="shared" si="9"/>
        <v>-739.77761836442005</v>
      </c>
    </row>
    <row r="36" spans="1:26" x14ac:dyDescent="0.25">
      <c r="A36" s="7" t="s">
        <v>38</v>
      </c>
      <c r="B36" s="7" t="s">
        <v>44</v>
      </c>
      <c r="C36">
        <v>178.5</v>
      </c>
      <c r="H36" s="7" t="s">
        <v>125</v>
      </c>
      <c r="I36" s="7" t="s">
        <v>18</v>
      </c>
      <c r="J36" s="20">
        <f>J23</f>
        <v>8233.8593974175037</v>
      </c>
      <c r="K36" s="20">
        <f>K23</f>
        <v>8973.6370157819219</v>
      </c>
      <c r="L36" s="16">
        <f t="shared" si="7"/>
        <v>739.77761836441823</v>
      </c>
      <c r="N36" s="7" t="s">
        <v>161</v>
      </c>
      <c r="O36" s="7" t="s">
        <v>18</v>
      </c>
      <c r="P36" s="20">
        <f>J36</f>
        <v>8233.8593974175037</v>
      </c>
      <c r="Q36" s="20">
        <f>K36</f>
        <v>8973.6370157819219</v>
      </c>
      <c r="R36" s="16">
        <f t="shared" si="9"/>
        <v>739.77761836441823</v>
      </c>
    </row>
    <row r="37" spans="1:26" x14ac:dyDescent="0.25">
      <c r="H37" t="s">
        <v>53</v>
      </c>
      <c r="I37" s="7" t="s">
        <v>56</v>
      </c>
      <c r="J37" s="16">
        <f>EtaE*(J15+J29)*Htotal/3.6</f>
        <v>5733.960365853658</v>
      </c>
      <c r="K37" s="16">
        <f>EtaE*(K15+K29)*Htotal/3.6</f>
        <v>5262.9809451219517</v>
      </c>
      <c r="L37" s="16">
        <f t="shared" si="7"/>
        <v>-470.97942073170634</v>
      </c>
      <c r="R37" s="16"/>
    </row>
    <row r="38" spans="1:26" x14ac:dyDescent="0.25">
      <c r="A38" s="9" t="s">
        <v>39</v>
      </c>
      <c r="H38" t="s">
        <v>7</v>
      </c>
      <c r="I38" s="7" t="s">
        <v>56</v>
      </c>
      <c r="J38" s="16">
        <f>$D$9*$D$13</f>
        <v>775</v>
      </c>
      <c r="K38" s="16">
        <f>$D$9*$D$13</f>
        <v>775</v>
      </c>
      <c r="L38" s="16">
        <f t="shared" si="7"/>
        <v>0</v>
      </c>
      <c r="N38" s="9" t="s">
        <v>164</v>
      </c>
      <c r="R38" s="16"/>
    </row>
    <row r="39" spans="1:26" x14ac:dyDescent="0.25">
      <c r="A39" s="7" t="s">
        <v>47</v>
      </c>
      <c r="B39" s="7" t="s">
        <v>48</v>
      </c>
      <c r="C39">
        <v>7000</v>
      </c>
      <c r="H39" t="s">
        <v>54</v>
      </c>
      <c r="I39" s="7" t="s">
        <v>56</v>
      </c>
      <c r="J39" s="16">
        <f>J37-J38</f>
        <v>4958.960365853658</v>
      </c>
      <c r="K39" s="16">
        <f>K37-K38</f>
        <v>4487.9809451219517</v>
      </c>
      <c r="L39" s="16">
        <f t="shared" si="7"/>
        <v>-470.97942073170634</v>
      </c>
      <c r="N39" s="7" t="s">
        <v>165</v>
      </c>
      <c r="P39" s="2">
        <f>(P30+P33)/$K$11</f>
        <v>0.99999999999999978</v>
      </c>
      <c r="Q39" s="2">
        <f>(Q30+Q33)/$K$11</f>
        <v>0.91786140979689357</v>
      </c>
      <c r="R39" s="2">
        <f>Q39-P39</f>
        <v>-8.213859020310621E-2</v>
      </c>
    </row>
    <row r="40" spans="1:26" x14ac:dyDescent="0.25">
      <c r="A40" s="7" t="s">
        <v>68</v>
      </c>
      <c r="B40" s="7" t="s">
        <v>18</v>
      </c>
      <c r="C40" s="14">
        <f>SUM(C22:D22)</f>
        <v>12000</v>
      </c>
      <c r="H40" t="s">
        <v>120</v>
      </c>
      <c r="I40" s="7" t="s">
        <v>48</v>
      </c>
      <c r="J40" s="16">
        <f>J20+J31</f>
        <v>1420</v>
      </c>
      <c r="K40" s="16">
        <f>K20+K31</f>
        <v>1420</v>
      </c>
      <c r="L40" s="16">
        <f t="shared" si="7"/>
        <v>0</v>
      </c>
      <c r="N40" s="7" t="s">
        <v>166</v>
      </c>
      <c r="P40" s="2">
        <f>(P32+P34)/$J$11</f>
        <v>0.20090548953027729</v>
      </c>
      <c r="Q40" s="2">
        <f>(Q32+Q34)/$J$11</f>
        <v>0.20090548953027729</v>
      </c>
      <c r="R40" s="2">
        <f t="shared" ref="R40:R41" si="10">Q40-P40</f>
        <v>0</v>
      </c>
    </row>
    <row r="41" spans="1:26" x14ac:dyDescent="0.25">
      <c r="A41" s="7" t="s">
        <v>67</v>
      </c>
      <c r="B41" s="7" t="s">
        <v>35</v>
      </c>
      <c r="C41" s="15">
        <f>(C22*LHVaffald+D22*LHVbioaffald)/Ftotal</f>
        <v>10.199999999999999</v>
      </c>
      <c r="D41" s="13">
        <f>Htotal/3.6</f>
        <v>2.833333333333333</v>
      </c>
      <c r="H41" t="s">
        <v>121</v>
      </c>
      <c r="I41" s="7" t="s">
        <v>48</v>
      </c>
      <c r="J41" s="16">
        <f>J14+J28</f>
        <v>16740</v>
      </c>
      <c r="K41" s="16">
        <f>K14+K28</f>
        <v>16740</v>
      </c>
      <c r="L41" s="16">
        <f t="shared" si="7"/>
        <v>0</v>
      </c>
      <c r="N41" s="7" t="s">
        <v>167</v>
      </c>
      <c r="P41" s="2">
        <f>P25/(24*$E$9*KapQcool)</f>
        <v>1</v>
      </c>
      <c r="Q41" s="2">
        <f>Q25/(24*$E$9*KapQcool)</f>
        <v>1</v>
      </c>
      <c r="R41" s="2">
        <f t="shared" si="10"/>
        <v>0</v>
      </c>
    </row>
    <row r="42" spans="1:26" x14ac:dyDescent="0.25">
      <c r="A42" s="7"/>
      <c r="H42" t="s">
        <v>116</v>
      </c>
      <c r="I42" s="7" t="s">
        <v>48</v>
      </c>
      <c r="J42" s="16">
        <f>SUM(J40:J41)</f>
        <v>18160</v>
      </c>
      <c r="K42" s="16">
        <f>SUM(K40:K41)</f>
        <v>18160</v>
      </c>
      <c r="L42" s="16">
        <f t="shared" si="7"/>
        <v>0</v>
      </c>
      <c r="R42" s="16"/>
    </row>
    <row r="43" spans="1:26" x14ac:dyDescent="0.25">
      <c r="H43" s="7" t="s">
        <v>122</v>
      </c>
      <c r="I43" s="7" t="s">
        <v>48</v>
      </c>
      <c r="J43" s="16">
        <v>0</v>
      </c>
      <c r="K43" s="16">
        <f>(EtaRgkOvn2*K15+EtaRgkOvn3*K21)*Htotal/3.6</f>
        <v>1523.5879332477532</v>
      </c>
      <c r="L43" s="16">
        <f t="shared" si="7"/>
        <v>1523.5879332477532</v>
      </c>
      <c r="N43" s="7"/>
      <c r="R43" s="16"/>
    </row>
    <row r="44" spans="1:26" x14ac:dyDescent="0.25">
      <c r="H44" s="7" t="s">
        <v>135</v>
      </c>
      <c r="J44" s="16">
        <v>0</v>
      </c>
      <c r="K44" s="2">
        <f>K43/K45</f>
        <v>6.5046713602226372E-2</v>
      </c>
      <c r="L44" s="16">
        <f t="shared" si="7"/>
        <v>6.5046713602226372E-2</v>
      </c>
      <c r="N44" s="7"/>
      <c r="Q44" s="2"/>
      <c r="R44" s="16"/>
    </row>
    <row r="45" spans="1:26" x14ac:dyDescent="0.25">
      <c r="H45" t="s">
        <v>114</v>
      </c>
      <c r="I45" s="7" t="s">
        <v>115</v>
      </c>
      <c r="J45" s="16">
        <f>J42+J37</f>
        <v>23893.960365853658</v>
      </c>
      <c r="K45" s="16">
        <f>K42+K37</f>
        <v>23422.980945121952</v>
      </c>
      <c r="L45" s="16">
        <f t="shared" si="7"/>
        <v>-470.97942073170634</v>
      </c>
      <c r="R45" s="16"/>
    </row>
    <row r="46" spans="1:26" x14ac:dyDescent="0.25">
      <c r="H46" t="s">
        <v>117</v>
      </c>
      <c r="I46" s="7" t="s">
        <v>48</v>
      </c>
      <c r="J46" s="16">
        <f>J42-J34</f>
        <v>7000</v>
      </c>
      <c r="K46" s="16">
        <f>K42-K34</f>
        <v>7000</v>
      </c>
      <c r="L46" s="16">
        <f t="shared" si="7"/>
        <v>0</v>
      </c>
      <c r="R46" s="16"/>
    </row>
    <row r="47" spans="1:26" x14ac:dyDescent="0.25">
      <c r="H47" t="s">
        <v>142</v>
      </c>
      <c r="I47" s="7" t="s">
        <v>48</v>
      </c>
      <c r="J47" s="16">
        <f>Qdemand-J46</f>
        <v>0</v>
      </c>
      <c r="K47" s="16">
        <f>Qdemand-K46</f>
        <v>0</v>
      </c>
      <c r="L47" s="16">
        <f t="shared" si="7"/>
        <v>0</v>
      </c>
      <c r="R47" s="16"/>
      <c r="T47" s="24" t="str">
        <f>"Økonomiske nøgletal: "&amp;C22&amp;" ton affald, "&amp;D22&amp;" ton bioaffald"</f>
        <v>Økonomiske nøgletal: 12000 ton affald, 0 ton bioaffald</v>
      </c>
      <c r="U47" s="11"/>
      <c r="V47" s="11"/>
      <c r="W47" s="11"/>
      <c r="X47" s="11"/>
      <c r="Y47" s="11"/>
      <c r="Z47" s="11"/>
    </row>
    <row r="48" spans="1:26" x14ac:dyDescent="0.25">
      <c r="H48" s="5" t="s">
        <v>129</v>
      </c>
      <c r="L48" s="16"/>
      <c r="N48" s="5"/>
      <c r="R48" s="16"/>
    </row>
    <row r="49" spans="8:18" x14ac:dyDescent="0.25">
      <c r="H49" t="s">
        <v>131</v>
      </c>
      <c r="I49" s="7" t="s">
        <v>60</v>
      </c>
      <c r="J49" s="16">
        <f>J$35*$C$23*LHVaffald/3.6</f>
        <v>10670.731707317071</v>
      </c>
      <c r="K49" s="16">
        <f>K$35*$C$23*LHVaffald/3.6</f>
        <v>8574.6951219512212</v>
      </c>
      <c r="L49" s="16">
        <f t="shared" si="7"/>
        <v>-2096.0365853658495</v>
      </c>
      <c r="R49" s="16"/>
    </row>
    <row r="50" spans="8:18" x14ac:dyDescent="0.25">
      <c r="H50" t="s">
        <v>132</v>
      </c>
      <c r="I50" s="7" t="s">
        <v>60</v>
      </c>
      <c r="J50" s="16">
        <f>J$35*AndelBioaffald*LHVbioaffald/3.6</f>
        <v>0</v>
      </c>
      <c r="K50" s="16">
        <f>K$35*AndelBioaffald*LHVbioaffald/3.6</f>
        <v>0</v>
      </c>
      <c r="L50" s="16">
        <f t="shared" si="7"/>
        <v>0</v>
      </c>
      <c r="R50" s="16"/>
    </row>
    <row r="51" spans="8:18" x14ac:dyDescent="0.25">
      <c r="H51" t="s">
        <v>130</v>
      </c>
      <c r="I51" s="7" t="s">
        <v>115</v>
      </c>
      <c r="J51" s="16">
        <f>J45/0.85 - J50</f>
        <v>28110.541606886658</v>
      </c>
      <c r="K51" s="16">
        <f>K45/0.95 - K50</f>
        <v>24655.769415917846</v>
      </c>
      <c r="L51" s="16">
        <f t="shared" si="7"/>
        <v>-3454.7721909688116</v>
      </c>
      <c r="R51" s="16"/>
    </row>
    <row r="52" spans="8:18" x14ac:dyDescent="0.25">
      <c r="H52" t="s">
        <v>136</v>
      </c>
      <c r="I52" s="7" t="s">
        <v>48</v>
      </c>
      <c r="J52" s="16">
        <f>J42*J51/(J51+J50)</f>
        <v>18160</v>
      </c>
      <c r="K52" s="16">
        <f>K42*K51/(K51+K50)</f>
        <v>18160</v>
      </c>
      <c r="L52" s="16">
        <f t="shared" si="7"/>
        <v>0</v>
      </c>
      <c r="R52" s="16"/>
    </row>
    <row r="53" spans="8:18" x14ac:dyDescent="0.25">
      <c r="H53" t="s">
        <v>133</v>
      </c>
      <c r="I53" s="7" t="s">
        <v>56</v>
      </c>
      <c r="J53" s="16">
        <f>J37*J51/(J51+J50)</f>
        <v>5733.960365853658</v>
      </c>
      <c r="K53" s="16">
        <f>K37*K51/(K51+K50)</f>
        <v>5262.9809451219517</v>
      </c>
      <c r="L53" s="16">
        <f t="shared" si="7"/>
        <v>-470.97942073170634</v>
      </c>
      <c r="R53" s="16"/>
    </row>
    <row r="54" spans="8:18" x14ac:dyDescent="0.25">
      <c r="H54" t="s">
        <v>134</v>
      </c>
      <c r="I54" s="7" t="s">
        <v>48</v>
      </c>
      <c r="J54" s="16">
        <f>J52/1.2</f>
        <v>15133.333333333334</v>
      </c>
      <c r="K54" s="16">
        <f>(K52-0.1*(K52+K53))/1.2</f>
        <v>13181.418254573171</v>
      </c>
      <c r="L54" s="16">
        <f t="shared" si="7"/>
        <v>-1951.9150787601629</v>
      </c>
      <c r="R54" s="16"/>
    </row>
    <row r="55" spans="8:18" x14ac:dyDescent="0.25">
      <c r="H55" t="s">
        <v>137</v>
      </c>
      <c r="I55" s="7" t="s">
        <v>48</v>
      </c>
      <c r="J55" s="16">
        <f>J54</f>
        <v>15133.333333333334</v>
      </c>
      <c r="K55" s="16">
        <f>K54</f>
        <v>13181.418254573171</v>
      </c>
      <c r="L55" s="16">
        <f t="shared" si="7"/>
        <v>-1951.9150787601629</v>
      </c>
      <c r="R55" s="16"/>
    </row>
    <row r="57" spans="8:18" x14ac:dyDescent="0.25">
      <c r="H57" s="5" t="s">
        <v>110</v>
      </c>
      <c r="I57" s="10"/>
      <c r="J57" s="19" t="str">
        <f>J13</f>
        <v>Uden RGK</v>
      </c>
      <c r="K57" s="19" t="str">
        <f>K13</f>
        <v>Med 100% RGK</v>
      </c>
      <c r="L57" s="5" t="s">
        <v>148</v>
      </c>
      <c r="N57" s="5"/>
      <c r="O57" s="10"/>
      <c r="P57" s="19"/>
      <c r="Q57" s="19"/>
      <c r="R57" s="5"/>
    </row>
    <row r="58" spans="8:18" x14ac:dyDescent="0.25">
      <c r="H58" s="18" t="s">
        <v>27</v>
      </c>
      <c r="I58" s="18" t="s">
        <v>147</v>
      </c>
      <c r="J58" s="22">
        <f>Varmesalgspris*J46</f>
        <v>2177000</v>
      </c>
      <c r="K58" s="22">
        <f>Varmesalgspris*K46</f>
        <v>2177000</v>
      </c>
      <c r="L58" s="23">
        <f>K58-J58</f>
        <v>0</v>
      </c>
      <c r="N58" s="18"/>
      <c r="O58" s="18"/>
      <c r="P58" s="22"/>
      <c r="Q58" s="22"/>
      <c r="R58" s="23"/>
    </row>
    <row r="59" spans="8:18" x14ac:dyDescent="0.25">
      <c r="H59" s="18" t="s">
        <v>112</v>
      </c>
      <c r="I59" s="18" t="s">
        <v>147</v>
      </c>
      <c r="J59" s="22">
        <f>(Elpris-ElprodTarif)*J39</f>
        <v>3947332.4512195117</v>
      </c>
      <c r="K59" s="22">
        <f>(Elpris-ElprodTarif)*K39</f>
        <v>3572432.8323170734</v>
      </c>
      <c r="L59" s="23">
        <f t="shared" ref="L59:L72" si="11">K59-J59</f>
        <v>-374899.61890243832</v>
      </c>
      <c r="N59" s="18"/>
      <c r="O59" s="18"/>
      <c r="P59" s="22"/>
      <c r="Q59" s="22"/>
      <c r="R59" s="23"/>
    </row>
    <row r="60" spans="8:18" x14ac:dyDescent="0.25">
      <c r="H60" s="18" t="s">
        <v>113</v>
      </c>
      <c r="I60" s="18" t="s">
        <v>147</v>
      </c>
      <c r="J60" s="22">
        <v>0</v>
      </c>
      <c r="K60" s="22">
        <f>IF(K43&lt;7%*K45,0,10%)*K66</f>
        <v>0</v>
      </c>
      <c r="L60" s="23">
        <f t="shared" si="11"/>
        <v>0</v>
      </c>
      <c r="N60" s="18"/>
      <c r="O60" s="18"/>
      <c r="P60" s="22"/>
      <c r="Q60" s="22"/>
      <c r="R60" s="23"/>
    </row>
    <row r="61" spans="8:18" x14ac:dyDescent="0.25">
      <c r="H61" s="18" t="s">
        <v>111</v>
      </c>
      <c r="I61" s="18" t="s">
        <v>147</v>
      </c>
      <c r="J61" s="22">
        <f>$C$24*($C$22-J36*$C$23)</f>
        <v>1506456.2410329985</v>
      </c>
      <c r="K61" s="22">
        <f>$C$24*($C$22-K36*$C$23)</f>
        <v>1210545.1936872313</v>
      </c>
      <c r="L61" s="23">
        <f t="shared" si="11"/>
        <v>-295911.04734576726</v>
      </c>
      <c r="N61" s="18"/>
      <c r="O61" s="18"/>
      <c r="P61" s="22"/>
      <c r="Q61" s="22"/>
      <c r="R61" s="23"/>
    </row>
    <row r="62" spans="8:18" x14ac:dyDescent="0.25">
      <c r="I62" s="18"/>
      <c r="J62" s="23"/>
      <c r="K62" s="23"/>
      <c r="L62" s="23"/>
      <c r="O62" s="18"/>
      <c r="P62" s="23"/>
      <c r="Q62" s="23"/>
      <c r="R62" s="23"/>
    </row>
    <row r="63" spans="8:18" x14ac:dyDescent="0.25">
      <c r="H63" s="18" t="s">
        <v>118</v>
      </c>
      <c r="I63" s="18" t="s">
        <v>147</v>
      </c>
      <c r="J63" s="23">
        <f>$D$24*($D$22-J36*AndelBioaffald)</f>
        <v>0</v>
      </c>
      <c r="K63" s="23">
        <f>$D$24*($D$22-K36*AndelBioaffald)</f>
        <v>0</v>
      </c>
      <c r="L63" s="23">
        <f t="shared" si="11"/>
        <v>0</v>
      </c>
      <c r="N63" s="18"/>
      <c r="O63" s="18"/>
      <c r="P63" s="23"/>
      <c r="Q63" s="23"/>
      <c r="R63" s="23"/>
    </row>
    <row r="64" spans="8:18" x14ac:dyDescent="0.25">
      <c r="H64" s="18" t="s">
        <v>119</v>
      </c>
      <c r="I64" s="18" t="s">
        <v>147</v>
      </c>
      <c r="J64" s="22">
        <f>$C$18*J40+$D$18*J41+$E$18*J34</f>
        <v>991200</v>
      </c>
      <c r="K64" s="22">
        <f>J64+$F$18*$K$43</f>
        <v>1006435.8793324776</v>
      </c>
      <c r="L64" s="23">
        <f t="shared" si="11"/>
        <v>15235.879332477576</v>
      </c>
      <c r="N64" s="18"/>
      <c r="O64" s="18"/>
      <c r="P64" s="22"/>
      <c r="Q64" s="22"/>
      <c r="R64" s="23"/>
    </row>
    <row r="65" spans="8:18" x14ac:dyDescent="0.25">
      <c r="H65" s="18" t="s">
        <v>36</v>
      </c>
      <c r="I65" s="18" t="s">
        <v>147</v>
      </c>
      <c r="J65" s="22">
        <f>AFV*3.6*J46</f>
        <v>650160.00000000012</v>
      </c>
      <c r="K65" s="22">
        <f>AFV*3.6*K46</f>
        <v>650160.00000000012</v>
      </c>
      <c r="L65" s="23">
        <f t="shared" si="11"/>
        <v>0</v>
      </c>
      <c r="N65" s="18"/>
      <c r="O65" s="18"/>
      <c r="P65" s="22"/>
      <c r="Q65" s="22"/>
      <c r="R65" s="23"/>
    </row>
    <row r="66" spans="8:18" x14ac:dyDescent="0.25">
      <c r="H66" s="18" t="s">
        <v>37</v>
      </c>
      <c r="I66" s="18" t="s">
        <v>147</v>
      </c>
      <c r="J66" s="23">
        <f>ATL*3.6*J54</f>
        <v>1732464.0000000002</v>
      </c>
      <c r="K66" s="23">
        <f>ATL*3.6*K54</f>
        <v>1509008.7617835368</v>
      </c>
      <c r="L66" s="23">
        <f t="shared" si="11"/>
        <v>-223455.23821646348</v>
      </c>
      <c r="N66" s="18"/>
      <c r="O66" s="18"/>
      <c r="P66" s="23"/>
      <c r="Q66" s="23"/>
      <c r="R66" s="23"/>
    </row>
    <row r="67" spans="8:18" x14ac:dyDescent="0.25">
      <c r="H67" s="18" t="s">
        <v>38</v>
      </c>
      <c r="I67" s="18" t="s">
        <v>147</v>
      </c>
      <c r="J67" s="23">
        <f>CO2afgift*$C$26 /1000 *3.6*J54</f>
        <v>359813.16000000003</v>
      </c>
      <c r="K67" s="23">
        <f>CO2afgift*$C$26 /1000 *3.6*K54</f>
        <v>313404.03670438263</v>
      </c>
      <c r="L67" s="23">
        <f t="shared" si="11"/>
        <v>-46409.123295617406</v>
      </c>
      <c r="N67" s="18"/>
      <c r="O67" s="18"/>
      <c r="P67" s="23"/>
      <c r="Q67" s="23"/>
      <c r="R67" s="23"/>
    </row>
    <row r="68" spans="8:18" x14ac:dyDescent="0.25">
      <c r="H68" s="18" t="s">
        <v>123</v>
      </c>
      <c r="I68" s="18" t="s">
        <v>147</v>
      </c>
      <c r="J68" s="23">
        <f>Kvotepris*$C$27/1000*C28*J35</f>
        <v>678658.53658536577</v>
      </c>
      <c r="K68" s="23">
        <f>Kvotepris*$C$27/1000*10.6*K35</f>
        <v>545350.60975609766</v>
      </c>
      <c r="L68" s="23">
        <f t="shared" si="11"/>
        <v>-133307.92682926811</v>
      </c>
      <c r="N68" s="18"/>
      <c r="O68" s="18"/>
      <c r="P68" s="23"/>
      <c r="Q68" s="23"/>
      <c r="R68" s="23"/>
    </row>
    <row r="69" spans="8:18" x14ac:dyDescent="0.25">
      <c r="I69" s="18"/>
      <c r="J69" s="23"/>
      <c r="K69" s="23"/>
      <c r="L69" s="23"/>
      <c r="O69" s="18"/>
      <c r="P69" s="23"/>
      <c r="Q69" s="23"/>
      <c r="R69" s="23"/>
    </row>
    <row r="70" spans="8:18" x14ac:dyDescent="0.25">
      <c r="H70" s="18" t="s">
        <v>126</v>
      </c>
      <c r="I70" s="18" t="s">
        <v>147</v>
      </c>
      <c r="J70" s="23">
        <f>SUM(J58:J61)</f>
        <v>7630788.6922525112</v>
      </c>
      <c r="K70" s="23">
        <f>SUM(K58:K61)</f>
        <v>6959978.0260043042</v>
      </c>
      <c r="L70" s="23">
        <f t="shared" si="11"/>
        <v>-670810.66624820698</v>
      </c>
      <c r="N70" s="18"/>
      <c r="O70" s="18"/>
      <c r="P70" s="23"/>
      <c r="Q70" s="23"/>
      <c r="R70" s="23"/>
    </row>
    <row r="71" spans="8:18" x14ac:dyDescent="0.25">
      <c r="H71" s="18" t="s">
        <v>127</v>
      </c>
      <c r="I71" s="18" t="s">
        <v>147</v>
      </c>
      <c r="J71" s="23">
        <f>SUM(J63:J68)</f>
        <v>4412295.6965853656</v>
      </c>
      <c r="K71" s="23">
        <f>SUM(K63:K68)</f>
        <v>4024359.2875764952</v>
      </c>
      <c r="L71" s="23">
        <f t="shared" si="11"/>
        <v>-387936.40900887037</v>
      </c>
      <c r="N71" s="18"/>
      <c r="O71" s="18"/>
      <c r="P71" s="23"/>
      <c r="Q71" s="23"/>
      <c r="R71" s="23"/>
    </row>
    <row r="72" spans="8:18" x14ac:dyDescent="0.25">
      <c r="H72" s="18" t="s">
        <v>128</v>
      </c>
      <c r="I72" s="18" t="s">
        <v>147</v>
      </c>
      <c r="J72" s="23">
        <f>J70-J71</f>
        <v>3218492.9956671456</v>
      </c>
      <c r="K72" s="23">
        <f>K70-K71</f>
        <v>2935618.738427809</v>
      </c>
      <c r="L72" s="23">
        <f t="shared" si="11"/>
        <v>-282874.25723933661</v>
      </c>
      <c r="N72" s="18"/>
      <c r="O72" s="18"/>
      <c r="P72" s="23"/>
      <c r="Q72" s="23"/>
      <c r="R72" s="23"/>
    </row>
  </sheetData>
  <scenarios current="9" show="9" sqref="Q5:Q36">
    <scenario name="RGK 10 %" locked="1" count="1" user="Mogens Bech Laursen" comment="Created by Mogens Bech Laursen on 16-03-2022">
      <inputCells r="C5" val="0,1" numFmtId="9"/>
    </scenario>
    <scenario name="RGK 20 %" locked="1" count="1" user="Mogens Bech Laursen" comment="Created by Mogens Bech Laursen on 16-03-2022">
      <inputCells r="C5" val="0,2" numFmtId="9"/>
    </scenario>
    <scenario name="RGK 30 %" locked="1" count="1" user="Mogens Bech Laursen" comment="Created by Mogens Bech Laursen on 16-03-2022">
      <inputCells r="C5" val="0,3" numFmtId="9"/>
    </scenario>
    <scenario name="RGK 40 %" locked="1" count="1" user="Mogens Bech Laursen" comment="Created by Mogens Bech Laursen on 16-03-2022">
      <inputCells r="C5" val="0,4" numFmtId="9"/>
    </scenario>
    <scenario name="RGK 50 %" locked="1" count="1" user="Mogens Bech Laursen" comment="Created by Mogens Bech Laursen on 16-03-2022">
      <inputCells r="C5" val="0,5" numFmtId="9"/>
    </scenario>
    <scenario name="RGK 60 %" locked="1" count="1" user="Mogens Bech Laursen" comment="Created by Mogens Bech Laursen on 16-03-2022">
      <inputCells r="C5" val="0,6" numFmtId="9"/>
    </scenario>
    <scenario name="RGK 70 %" locked="1" count="1" user="Mogens Bech Laursen" comment="Created by Mogens Bech Laursen on 16-03-2022">
      <inputCells r="C5" val="0,7" numFmtId="9"/>
    </scenario>
    <scenario name="RGK 80 %" locked="1" count="1" user="Mogens Bech Laursen" comment="Created by Mogens Bech Laursen on 16-03-2022">
      <inputCells r="C5" val="0,8" numFmtId="9"/>
    </scenario>
    <scenario name="RGK 90 %" locked="1" count="1" user="Mogens Bech Laursen" comment="Created by Mogens Bech Laursen on 16-03-2022">
      <inputCells r="C5" val="0,9" numFmtId="9"/>
    </scenario>
    <scenario name="RGK 100 %" locked="1" count="1" user="Mogens Bech Laursen" comment="Created by Mogens Bech Laursen on 16-03-2022">
      <inputCells r="C5" val="1" numFmtId="9"/>
    </scenario>
  </scenarios>
  <mergeCells count="4">
    <mergeCell ref="A2:F2"/>
    <mergeCell ref="H2:L2"/>
    <mergeCell ref="T2:Z2"/>
    <mergeCell ref="N2:R2"/>
  </mergeCells>
  <conditionalFormatting sqref="J14:K7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5981-8FA1-4768-995A-36FC6A3C9262}">
  <sheetPr>
    <outlinePr summaryBelow="0"/>
  </sheetPr>
  <dimension ref="A1:N42"/>
  <sheetViews>
    <sheetView showGridLines="0" zoomScale="85" zoomScaleNormal="85" workbookViewId="0">
      <selection activeCell="P5" sqref="P5"/>
    </sheetView>
    <sheetView workbookViewId="1"/>
  </sheetViews>
  <sheetFormatPr defaultRowHeight="15" outlineLevelRow="1" outlineLevelCol="1" x14ac:dyDescent="0.25"/>
  <cols>
    <col min="1" max="1" width="31.28515625" bestFit="1" customWidth="1"/>
    <col min="2" max="2" width="4.5703125" customWidth="1"/>
    <col min="3" max="3" width="8.5703125" customWidth="1"/>
    <col min="4" max="14" width="13.140625" bestFit="1" customWidth="1" outlineLevel="1"/>
    <col min="15" max="15" width="18.42578125" customWidth="1"/>
  </cols>
  <sheetData>
    <row r="1" spans="1:14" ht="15.75" thickBot="1" x14ac:dyDescent="0.3"/>
    <row r="2" spans="1:14" ht="15.75" x14ac:dyDescent="0.25">
      <c r="B2" s="41" t="s">
        <v>213</v>
      </c>
      <c r="C2" s="41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ht="15.75" collapsed="1" x14ac:dyDescent="0.25">
      <c r="B3" s="40"/>
      <c r="C3" s="40"/>
      <c r="D3" s="47" t="s">
        <v>215</v>
      </c>
      <c r="E3" s="47" t="s">
        <v>202</v>
      </c>
      <c r="F3" s="47" t="s">
        <v>204</v>
      </c>
      <c r="G3" s="47" t="s">
        <v>205</v>
      </c>
      <c r="H3" s="47" t="s">
        <v>206</v>
      </c>
      <c r="I3" s="47" t="s">
        <v>207</v>
      </c>
      <c r="J3" s="47" t="s">
        <v>208</v>
      </c>
      <c r="K3" s="47" t="s">
        <v>209</v>
      </c>
      <c r="L3" s="47" t="s">
        <v>210</v>
      </c>
      <c r="M3" s="47" t="s">
        <v>211</v>
      </c>
      <c r="N3" s="47" t="s">
        <v>212</v>
      </c>
    </row>
    <row r="4" spans="1:14" ht="45" hidden="1" outlineLevel="1" x14ac:dyDescent="0.25">
      <c r="B4" s="43"/>
      <c r="C4" s="43"/>
      <c r="D4" s="35"/>
      <c r="E4" s="49" t="s">
        <v>203</v>
      </c>
      <c r="F4" s="49" t="s">
        <v>203</v>
      </c>
      <c r="G4" s="49" t="s">
        <v>203</v>
      </c>
      <c r="H4" s="49" t="s">
        <v>203</v>
      </c>
      <c r="I4" s="49" t="s">
        <v>203</v>
      </c>
      <c r="J4" s="49" t="s">
        <v>203</v>
      </c>
      <c r="K4" s="49" t="s">
        <v>203</v>
      </c>
      <c r="L4" s="49" t="s">
        <v>203</v>
      </c>
      <c r="M4" s="49" t="s">
        <v>203</v>
      </c>
      <c r="N4" s="49" t="s">
        <v>203</v>
      </c>
    </row>
    <row r="5" spans="1:14" x14ac:dyDescent="0.25">
      <c r="B5" s="44" t="s">
        <v>214</v>
      </c>
      <c r="C5" s="44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</row>
    <row r="6" spans="1:14" outlineLevel="1" x14ac:dyDescent="0.25">
      <c r="B6" s="43"/>
      <c r="C6" s="43" t="s">
        <v>169</v>
      </c>
      <c r="D6" s="36">
        <v>1</v>
      </c>
      <c r="E6" s="48">
        <v>0.1</v>
      </c>
      <c r="F6" s="48">
        <v>0.2</v>
      </c>
      <c r="G6" s="48">
        <v>0.3</v>
      </c>
      <c r="H6" s="48">
        <v>0.4</v>
      </c>
      <c r="I6" s="48">
        <v>0.5</v>
      </c>
      <c r="J6" s="48">
        <v>0.6</v>
      </c>
      <c r="K6" s="48">
        <v>0.7</v>
      </c>
      <c r="L6" s="48">
        <v>0.8</v>
      </c>
      <c r="M6" s="48">
        <v>0.9</v>
      </c>
      <c r="N6" s="48">
        <v>1</v>
      </c>
    </row>
    <row r="7" spans="1:14" x14ac:dyDescent="0.25">
      <c r="B7" s="44" t="s">
        <v>216</v>
      </c>
      <c r="C7" s="44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 outlineLevel="1" x14ac:dyDescent="0.25">
      <c r="A8" s="7" t="str">
        <f>Model!N5</f>
        <v>Indtægter total</v>
      </c>
      <c r="B8" s="43"/>
      <c r="C8" s="43" t="s">
        <v>170</v>
      </c>
      <c r="D8" s="37">
        <v>6959978.0260043005</v>
      </c>
      <c r="E8" s="37">
        <v>7549301.93019199</v>
      </c>
      <c r="F8" s="37">
        <v>7471613.2799224304</v>
      </c>
      <c r="G8" s="37">
        <v>7397463.2431226997</v>
      </c>
      <c r="H8" s="37">
        <v>7326615.4346824698</v>
      </c>
      <c r="I8" s="37">
        <v>7258854.0654218197</v>
      </c>
      <c r="J8" s="37">
        <v>7193981.7467885604</v>
      </c>
      <c r="K8" s="37">
        <v>7131817.5704891402</v>
      </c>
      <c r="L8" s="37">
        <v>7072195.4237038204</v>
      </c>
      <c r="M8" s="37">
        <v>7014962.5068443203</v>
      </c>
      <c r="N8" s="37">
        <v>6959978.0260043005</v>
      </c>
    </row>
    <row r="9" spans="1:14" outlineLevel="1" x14ac:dyDescent="0.25">
      <c r="A9" s="7" t="str">
        <f>Model!N6</f>
        <v>Omkostninger total</v>
      </c>
      <c r="B9" s="43"/>
      <c r="C9" s="43" t="s">
        <v>171</v>
      </c>
      <c r="D9" s="37">
        <v>4024359.2875764999</v>
      </c>
      <c r="E9" s="37">
        <v>4123321.3703158302</v>
      </c>
      <c r="F9" s="37">
        <v>4110275.5213671499</v>
      </c>
      <c r="G9" s="37">
        <v>4097823.8932815501</v>
      </c>
      <c r="H9" s="37">
        <v>4085926.79114307</v>
      </c>
      <c r="I9" s="37">
        <v>4074547.97860272</v>
      </c>
      <c r="J9" s="37">
        <v>4063654.3092326801</v>
      </c>
      <c r="K9" s="37">
        <v>4053215.4040488801</v>
      </c>
      <c r="L9" s="37">
        <v>4043203.3685937799</v>
      </c>
      <c r="M9" s="37">
        <v>4033592.5440312298</v>
      </c>
      <c r="N9" s="37">
        <v>4024359.2875764999</v>
      </c>
    </row>
    <row r="10" spans="1:14" outlineLevel="1" x14ac:dyDescent="0.25">
      <c r="A10" s="7" t="str">
        <f>Model!N7</f>
        <v>Dækningsbidrag</v>
      </c>
      <c r="B10" s="43"/>
      <c r="C10" s="43" t="s">
        <v>172</v>
      </c>
      <c r="D10" s="37">
        <v>2935618.7384278099</v>
      </c>
      <c r="E10" s="37">
        <v>3425980.5598761602</v>
      </c>
      <c r="F10" s="37">
        <v>3361337.75855528</v>
      </c>
      <c r="G10" s="37">
        <v>3299639.34984115</v>
      </c>
      <c r="H10" s="37">
        <v>3240688.6435393998</v>
      </c>
      <c r="I10" s="37">
        <v>3184306.0868191002</v>
      </c>
      <c r="J10" s="37">
        <v>3130327.4375558798</v>
      </c>
      <c r="K10" s="37">
        <v>3078602.1664402601</v>
      </c>
      <c r="L10" s="37">
        <v>3028992.0551100401</v>
      </c>
      <c r="M10" s="37">
        <v>2981369.9628130901</v>
      </c>
      <c r="N10" s="37">
        <v>2935618.7384278099</v>
      </c>
    </row>
    <row r="11" spans="1:14" outlineLevel="1" x14ac:dyDescent="0.25">
      <c r="A11" s="7">
        <f>Model!N8</f>
        <v>0</v>
      </c>
      <c r="B11" s="43"/>
      <c r="C11" s="43" t="s">
        <v>173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outlineLevel="1" x14ac:dyDescent="0.25">
      <c r="A12" s="7" t="str">
        <f>Model!N9</f>
        <v>Varmesalg</v>
      </c>
      <c r="B12" s="43"/>
      <c r="C12" s="43" t="s">
        <v>174</v>
      </c>
      <c r="D12" s="37">
        <v>2177000</v>
      </c>
      <c r="E12" s="37">
        <v>2177000</v>
      </c>
      <c r="F12" s="37">
        <v>2177000</v>
      </c>
      <c r="G12" s="37">
        <v>2177000</v>
      </c>
      <c r="H12" s="37">
        <v>2177000</v>
      </c>
      <c r="I12" s="37">
        <v>2177000</v>
      </c>
      <c r="J12" s="37">
        <v>2177000</v>
      </c>
      <c r="K12" s="37">
        <v>2177000</v>
      </c>
      <c r="L12" s="37">
        <v>2177000</v>
      </c>
      <c r="M12" s="37">
        <v>2177000</v>
      </c>
      <c r="N12" s="37">
        <v>2177000</v>
      </c>
    </row>
    <row r="13" spans="1:14" outlineLevel="1" x14ac:dyDescent="0.25">
      <c r="A13" s="7" t="str">
        <f>Model!N10</f>
        <v>Elsalg</v>
      </c>
      <c r="B13" s="43"/>
      <c r="C13" s="43" t="s">
        <v>175</v>
      </c>
      <c r="D13" s="37">
        <v>3572432.8323170701</v>
      </c>
      <c r="E13" s="37">
        <v>3901791.4996825601</v>
      </c>
      <c r="F13" s="37">
        <v>3858373.21961554</v>
      </c>
      <c r="G13" s="37">
        <v>3816932.5837751902</v>
      </c>
      <c r="H13" s="37">
        <v>3777337.4823244801</v>
      </c>
      <c r="I13" s="37">
        <v>3739467.3159864801</v>
      </c>
      <c r="J13" s="37">
        <v>3703211.7691435101</v>
      </c>
      <c r="K13" s="37">
        <v>3668469.7365899901</v>
      </c>
      <c r="L13" s="37">
        <v>3635148.38194759</v>
      </c>
      <c r="M13" s="37">
        <v>3603162.3092762898</v>
      </c>
      <c r="N13" s="37">
        <v>3572432.8323170701</v>
      </c>
    </row>
    <row r="14" spans="1:14" outlineLevel="1" x14ac:dyDescent="0.25">
      <c r="A14" s="7" t="str">
        <f>Model!N11</f>
        <v>RGK-rabat</v>
      </c>
      <c r="B14" s="43"/>
      <c r="C14" s="43" t="s">
        <v>176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4" outlineLevel="1" x14ac:dyDescent="0.25">
      <c r="A15" s="7" t="str">
        <f>Model!N12</f>
        <v>Modtagebetaling affald</v>
      </c>
      <c r="B15" s="43"/>
      <c r="C15" s="43" t="s">
        <v>177</v>
      </c>
      <c r="D15" s="37">
        <v>1210545.1936872301</v>
      </c>
      <c r="E15" s="37">
        <v>1470510.4305094299</v>
      </c>
      <c r="F15" s="37">
        <v>1436240.0603068799</v>
      </c>
      <c r="G15" s="37">
        <v>1403530.65934751</v>
      </c>
      <c r="H15" s="37">
        <v>1372277.95235799</v>
      </c>
      <c r="I15" s="37">
        <v>1342386.7494353401</v>
      </c>
      <c r="J15" s="37">
        <v>1313769.97764506</v>
      </c>
      <c r="K15" s="37">
        <v>1286347.8338991499</v>
      </c>
      <c r="L15" s="37">
        <v>1260047.0417562299</v>
      </c>
      <c r="M15" s="37">
        <v>1234800.1975680301</v>
      </c>
      <c r="N15" s="37">
        <v>1210545.1936872301</v>
      </c>
    </row>
    <row r="16" spans="1:14" outlineLevel="1" x14ac:dyDescent="0.25">
      <c r="A16" s="7">
        <f>Model!N13</f>
        <v>0</v>
      </c>
      <c r="B16" s="43"/>
      <c r="C16" s="43" t="s">
        <v>178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1:14" outlineLevel="1" x14ac:dyDescent="0.25">
      <c r="A17" s="7" t="str">
        <f>Model!N14</f>
        <v>Betaling bioaffald</v>
      </c>
      <c r="B17" s="43"/>
      <c r="C17" s="43" t="s">
        <v>179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</row>
    <row r="18" spans="1:14" outlineLevel="1" x14ac:dyDescent="0.25">
      <c r="A18" s="7" t="str">
        <f>Model!N15</f>
        <v>DV-omkostninger</v>
      </c>
      <c r="B18" s="43"/>
      <c r="C18" s="43" t="s">
        <v>180</v>
      </c>
      <c r="D18" s="37">
        <v>1006435.87933248</v>
      </c>
      <c r="E18" s="37">
        <v>993050.77926815301</v>
      </c>
      <c r="F18" s="37">
        <v>994815.29340092698</v>
      </c>
      <c r="G18" s="37">
        <v>996499.43628955702</v>
      </c>
      <c r="H18" s="37">
        <v>998108.57686330995</v>
      </c>
      <c r="I18" s="37">
        <v>999647.61626355199</v>
      </c>
      <c r="J18" s="37">
        <v>1001121.03770487</v>
      </c>
      <c r="K18" s="37">
        <v>1002532.95009171</v>
      </c>
      <c r="L18" s="37">
        <v>1003887.12628429</v>
      </c>
      <c r="M18" s="37">
        <v>1005187.03676424</v>
      </c>
      <c r="N18" s="37">
        <v>1006435.87933248</v>
      </c>
    </row>
    <row r="19" spans="1:14" outlineLevel="1" x14ac:dyDescent="0.25">
      <c r="A19" s="7" t="str">
        <f>Model!N16</f>
        <v>Affaldvarme-afgift</v>
      </c>
      <c r="B19" s="43"/>
      <c r="C19" s="43" t="s">
        <v>181</v>
      </c>
      <c r="D19" s="37">
        <v>650160</v>
      </c>
      <c r="E19" s="37">
        <v>650160</v>
      </c>
      <c r="F19" s="37">
        <v>650160</v>
      </c>
      <c r="G19" s="37">
        <v>650160</v>
      </c>
      <c r="H19" s="37">
        <v>650160</v>
      </c>
      <c r="I19" s="37">
        <v>650160</v>
      </c>
      <c r="J19" s="37">
        <v>650160</v>
      </c>
      <c r="K19" s="37">
        <v>650160</v>
      </c>
      <c r="L19" s="37">
        <v>650160</v>
      </c>
      <c r="M19" s="37">
        <v>650160</v>
      </c>
      <c r="N19" s="37">
        <v>650160</v>
      </c>
    </row>
    <row r="20" spans="1:14" outlineLevel="1" x14ac:dyDescent="0.25">
      <c r="A20" s="7" t="str">
        <f>Model!N17</f>
        <v>Tillægsafgift</v>
      </c>
      <c r="B20" s="43"/>
      <c r="C20" s="43" t="s">
        <v>182</v>
      </c>
      <c r="D20" s="37">
        <v>1509008.76178354</v>
      </c>
      <c r="E20" s="37">
        <v>1505061.42298119</v>
      </c>
      <c r="F20" s="37">
        <v>1505581.7877950601</v>
      </c>
      <c r="G20" s="37">
        <v>1506078.45069194</v>
      </c>
      <c r="H20" s="37">
        <v>1506552.9949982699</v>
      </c>
      <c r="I20" s="37">
        <v>1507006.8660873</v>
      </c>
      <c r="J20" s="37">
        <v>1507441.3860833801</v>
      </c>
      <c r="K20" s="37">
        <v>1507857.76672479</v>
      </c>
      <c r="L20" s="37">
        <v>1508257.1206485201</v>
      </c>
      <c r="M20" s="37">
        <v>1508640.4713184701</v>
      </c>
      <c r="N20" s="37">
        <v>1509008.76178354</v>
      </c>
    </row>
    <row r="21" spans="1:14" outlineLevel="1" x14ac:dyDescent="0.25">
      <c r="A21" s="7" t="str">
        <f>Model!N18</f>
        <v>CO2-afgift</v>
      </c>
      <c r="B21" s="43"/>
      <c r="C21" s="43" t="s">
        <v>183</v>
      </c>
      <c r="D21" s="37">
        <v>313404.03670438298</v>
      </c>
      <c r="E21" s="37">
        <v>312584.21912199003</v>
      </c>
      <c r="F21" s="37">
        <v>312692.293002908</v>
      </c>
      <c r="G21" s="37">
        <v>312795.44426399103</v>
      </c>
      <c r="H21" s="37">
        <v>312894.00174421701</v>
      </c>
      <c r="I21" s="37">
        <v>312988.26563124399</v>
      </c>
      <c r="J21" s="37">
        <v>313078.51051533601</v>
      </c>
      <c r="K21" s="37">
        <v>313164.98806081299</v>
      </c>
      <c r="L21" s="37">
        <v>313247.92934978398</v>
      </c>
      <c r="M21" s="37">
        <v>313327.54694411502</v>
      </c>
      <c r="N21" s="37">
        <v>313404.03670438298</v>
      </c>
    </row>
    <row r="22" spans="1:14" outlineLevel="1" x14ac:dyDescent="0.25">
      <c r="A22" s="7" t="str">
        <f>Model!N19</f>
        <v>Kvote-omkostning</v>
      </c>
      <c r="B22" s="43"/>
      <c r="C22" s="43" t="s">
        <v>184</v>
      </c>
      <c r="D22" s="37">
        <v>545350.60975609801</v>
      </c>
      <c r="E22" s="37">
        <v>662464.94894449995</v>
      </c>
      <c r="F22" s="37">
        <v>647026.14716825099</v>
      </c>
      <c r="G22" s="37">
        <v>632290.56203605502</v>
      </c>
      <c r="H22" s="37">
        <v>618211.21753727703</v>
      </c>
      <c r="I22" s="37">
        <v>604745.23062062298</v>
      </c>
      <c r="J22" s="37">
        <v>591853.37492909795</v>
      </c>
      <c r="K22" s="37">
        <v>579499.69917156501</v>
      </c>
      <c r="L22" s="37">
        <v>567651.19231118006</v>
      </c>
      <c r="M22" s="37">
        <v>556277.489004398</v>
      </c>
      <c r="N22" s="37">
        <v>545350.60975609801</v>
      </c>
    </row>
    <row r="23" spans="1:14" outlineLevel="1" x14ac:dyDescent="0.25">
      <c r="A23" s="7">
        <f>Model!N20</f>
        <v>0</v>
      </c>
      <c r="B23" s="43"/>
      <c r="C23" s="43" t="s">
        <v>185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outlineLevel="1" x14ac:dyDescent="0.25">
      <c r="A24" s="7" t="str">
        <f>Model!N21</f>
        <v>Varmemængder</v>
      </c>
      <c r="B24" s="43"/>
      <c r="C24" s="43" t="s">
        <v>186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 outlineLevel="1" x14ac:dyDescent="0.25">
      <c r="A25" s="7" t="str">
        <f>Model!N22</f>
        <v>Varmeproduktion Ovn2</v>
      </c>
      <c r="B25" s="43"/>
      <c r="C25" s="43" t="s">
        <v>187</v>
      </c>
      <c r="D25" s="38">
        <v>1420</v>
      </c>
      <c r="E25" s="38">
        <v>1420</v>
      </c>
      <c r="F25" s="38">
        <v>1420</v>
      </c>
      <c r="G25" s="38">
        <v>1420</v>
      </c>
      <c r="H25" s="38">
        <v>1420</v>
      </c>
      <c r="I25" s="38">
        <v>1420</v>
      </c>
      <c r="J25" s="38">
        <v>1420</v>
      </c>
      <c r="K25" s="38">
        <v>1420</v>
      </c>
      <c r="L25" s="38">
        <v>1420</v>
      </c>
      <c r="M25" s="38">
        <v>1420</v>
      </c>
      <c r="N25" s="38">
        <v>1420</v>
      </c>
    </row>
    <row r="26" spans="1:14" outlineLevel="1" x14ac:dyDescent="0.25">
      <c r="A26" s="7" t="str">
        <f>Model!N23</f>
        <v>Varmeproduktion Ovn3</v>
      </c>
      <c r="B26" s="43"/>
      <c r="C26" s="43" t="s">
        <v>188</v>
      </c>
      <c r="D26" s="38">
        <v>16740</v>
      </c>
      <c r="E26" s="38">
        <v>16740</v>
      </c>
      <c r="F26" s="38">
        <v>16740</v>
      </c>
      <c r="G26" s="38">
        <v>16740</v>
      </c>
      <c r="H26" s="38">
        <v>16740</v>
      </c>
      <c r="I26" s="38">
        <v>16740</v>
      </c>
      <c r="J26" s="38">
        <v>16740</v>
      </c>
      <c r="K26" s="38">
        <v>16740</v>
      </c>
      <c r="L26" s="38">
        <v>16740</v>
      </c>
      <c r="M26" s="38">
        <v>16740</v>
      </c>
      <c r="N26" s="38">
        <v>16740</v>
      </c>
    </row>
    <row r="27" spans="1:14" outlineLevel="1" x14ac:dyDescent="0.25">
      <c r="A27" s="7" t="str">
        <f>Model!N24</f>
        <v>Heraf RGK-varme</v>
      </c>
      <c r="B27" s="43"/>
      <c r="C27" s="43" t="s">
        <v>189</v>
      </c>
      <c r="D27" s="38">
        <v>1523.58793324775</v>
      </c>
      <c r="E27" s="38">
        <v>185.07792681534499</v>
      </c>
      <c r="F27" s="38">
        <v>361.52934009268699</v>
      </c>
      <c r="G27" s="38">
        <v>529.94362895574</v>
      </c>
      <c r="H27" s="38">
        <v>690.85768633096495</v>
      </c>
      <c r="I27" s="38">
        <v>844.76162635518995</v>
      </c>
      <c r="J27" s="38">
        <v>992.10377048690896</v>
      </c>
      <c r="K27" s="38">
        <v>1133.2950091709999</v>
      </c>
      <c r="L27" s="38">
        <v>1268.7126284293599</v>
      </c>
      <c r="M27" s="38">
        <v>1398.70367642417</v>
      </c>
      <c r="N27" s="38">
        <v>1523.58793324775</v>
      </c>
    </row>
    <row r="28" spans="1:14" outlineLevel="1" x14ac:dyDescent="0.25">
      <c r="A28" s="7" t="str">
        <f>Model!N25</f>
        <v>Bortkølet varme</v>
      </c>
      <c r="B28" s="43"/>
      <c r="C28" s="43" t="s">
        <v>190</v>
      </c>
      <c r="D28" s="38">
        <v>11160</v>
      </c>
      <c r="E28" s="38">
        <v>11160</v>
      </c>
      <c r="F28" s="38">
        <v>11160</v>
      </c>
      <c r="G28" s="38">
        <v>11160</v>
      </c>
      <c r="H28" s="38">
        <v>11160</v>
      </c>
      <c r="I28" s="38">
        <v>11160</v>
      </c>
      <c r="J28" s="38">
        <v>11160</v>
      </c>
      <c r="K28" s="38">
        <v>11160</v>
      </c>
      <c r="L28" s="38">
        <v>11160</v>
      </c>
      <c r="M28" s="38">
        <v>11160</v>
      </c>
      <c r="N28" s="38">
        <v>11160</v>
      </c>
    </row>
    <row r="29" spans="1:14" outlineLevel="1" x14ac:dyDescent="0.25">
      <c r="A29" s="7" t="str">
        <f>Model!N26</f>
        <v>Leveret varme</v>
      </c>
      <c r="B29" s="43"/>
      <c r="C29" s="43" t="s">
        <v>191</v>
      </c>
      <c r="D29" s="38">
        <v>7000</v>
      </c>
      <c r="E29" s="38">
        <v>7000</v>
      </c>
      <c r="F29" s="38">
        <v>7000</v>
      </c>
      <c r="G29" s="38">
        <v>7000</v>
      </c>
      <c r="H29" s="38">
        <v>7000</v>
      </c>
      <c r="I29" s="38">
        <v>7000</v>
      </c>
      <c r="J29" s="38">
        <v>7000</v>
      </c>
      <c r="K29" s="38">
        <v>7000</v>
      </c>
      <c r="L29" s="38">
        <v>7000</v>
      </c>
      <c r="M29" s="38">
        <v>7000</v>
      </c>
      <c r="N29" s="38">
        <v>7000</v>
      </c>
    </row>
    <row r="30" spans="1:14" outlineLevel="1" x14ac:dyDescent="0.25">
      <c r="A30" s="7" t="str">
        <f>Model!N27</f>
        <v>Spidslastvarme</v>
      </c>
      <c r="B30" s="43"/>
      <c r="C30" s="43" t="s">
        <v>192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</row>
    <row r="31" spans="1:14" outlineLevel="1" x14ac:dyDescent="0.25">
      <c r="A31" s="7">
        <f>Model!N28</f>
        <v>0</v>
      </c>
      <c r="B31" s="43"/>
      <c r="C31" s="43" t="s">
        <v>193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4" outlineLevel="1" x14ac:dyDescent="0.25">
      <c r="A32" s="7" t="str">
        <f>Model!N29</f>
        <v>Brændselsmængder</v>
      </c>
      <c r="B32" s="43"/>
      <c r="C32" s="43" t="s">
        <v>194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outlineLevel="1" x14ac:dyDescent="0.25">
      <c r="A33" s="7" t="str">
        <f>Model!N30</f>
        <v>Affaldsforbrug Ovn3</v>
      </c>
      <c r="B33" s="43"/>
      <c r="C33" s="43" t="s">
        <v>195</v>
      </c>
      <c r="D33" s="38">
        <v>3026.3629842180799</v>
      </c>
      <c r="E33" s="38">
        <v>3676.2760762735902</v>
      </c>
      <c r="F33" s="38">
        <v>3590.6001507672099</v>
      </c>
      <c r="G33" s="38">
        <v>3508.8266483687898</v>
      </c>
      <c r="H33" s="38">
        <v>3430.6948808949901</v>
      </c>
      <c r="I33" s="38">
        <v>3355.9668735883602</v>
      </c>
      <c r="J33" s="38">
        <v>3284.4249441126399</v>
      </c>
      <c r="K33" s="38">
        <v>3215.8695847478598</v>
      </c>
      <c r="L33" s="38">
        <v>3150.1176043905598</v>
      </c>
      <c r="M33" s="38">
        <v>3087.0004939200799</v>
      </c>
      <c r="N33" s="38">
        <v>3026.3629842180799</v>
      </c>
    </row>
    <row r="34" spans="1:14" outlineLevel="1" x14ac:dyDescent="0.25">
      <c r="A34" s="7" t="str">
        <f>Model!N31</f>
        <v>Nordic Sugar varme</v>
      </c>
      <c r="B34" s="43"/>
      <c r="C34" s="43" t="s">
        <v>196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</row>
    <row r="35" spans="1:14" outlineLevel="1" x14ac:dyDescent="0.25">
      <c r="A35" s="7" t="str">
        <f>Model!N32</f>
        <v>Affaldsforbrug Ovn2</v>
      </c>
      <c r="B35" s="43"/>
      <c r="C35" s="43" t="s">
        <v>197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</row>
    <row r="36" spans="1:14" outlineLevel="1" x14ac:dyDescent="0.25">
      <c r="A36" s="7" t="str">
        <f>Model!N33</f>
        <v>Affaldsforbrug kølevarme Ovn3</v>
      </c>
      <c r="B36" s="43"/>
      <c r="C36" s="43" t="s">
        <v>198</v>
      </c>
      <c r="D36" s="38">
        <v>5240.3156384505</v>
      </c>
      <c r="E36" s="38">
        <v>5240.3156384505</v>
      </c>
      <c r="F36" s="38">
        <v>5240.3156384505</v>
      </c>
      <c r="G36" s="38">
        <v>5240.3156384505</v>
      </c>
      <c r="H36" s="38">
        <v>5240.3156384505</v>
      </c>
      <c r="I36" s="38">
        <v>5240.3156384505</v>
      </c>
      <c r="J36" s="38">
        <v>5240.3156384505</v>
      </c>
      <c r="K36" s="38">
        <v>5240.3156384505</v>
      </c>
      <c r="L36" s="38">
        <v>5240.3156384505</v>
      </c>
      <c r="M36" s="38">
        <v>5240.3156384505</v>
      </c>
      <c r="N36" s="38">
        <v>5240.3156384505</v>
      </c>
    </row>
    <row r="37" spans="1:14" outlineLevel="1" x14ac:dyDescent="0.25">
      <c r="A37" s="7" t="str">
        <f>Model!N34</f>
        <v>Affaldsforbrug kølevarme Ovn2</v>
      </c>
      <c r="B37" s="43"/>
      <c r="C37" s="43" t="s">
        <v>199</v>
      </c>
      <c r="D37" s="38">
        <v>593.81098410928405</v>
      </c>
      <c r="E37" s="38">
        <v>593.81098410928405</v>
      </c>
      <c r="F37" s="38">
        <v>593.81098410928405</v>
      </c>
      <c r="G37" s="38">
        <v>593.81098410928405</v>
      </c>
      <c r="H37" s="38">
        <v>593.81098410928405</v>
      </c>
      <c r="I37" s="38">
        <v>593.81098410928405</v>
      </c>
      <c r="J37" s="38">
        <v>593.81098410928405</v>
      </c>
      <c r="K37" s="38">
        <v>593.81098410928405</v>
      </c>
      <c r="L37" s="38">
        <v>593.81098410928405</v>
      </c>
      <c r="M37" s="38">
        <v>593.81098410928405</v>
      </c>
      <c r="N37" s="38">
        <v>593.81098410928405</v>
      </c>
    </row>
    <row r="38" spans="1:14" outlineLevel="1" x14ac:dyDescent="0.25">
      <c r="A38" s="7" t="str">
        <f>Model!N35</f>
        <v>Udnyttet affald</v>
      </c>
      <c r="B38" s="43"/>
      <c r="C38" s="43" t="s">
        <v>200</v>
      </c>
      <c r="D38" s="38">
        <v>8860.4896067778609</v>
      </c>
      <c r="E38" s="38">
        <v>9510.4026988333699</v>
      </c>
      <c r="F38" s="38">
        <v>9424.726773327</v>
      </c>
      <c r="G38" s="38">
        <v>9342.9532709285704</v>
      </c>
      <c r="H38" s="38">
        <v>9264.8215034547702</v>
      </c>
      <c r="I38" s="38">
        <v>9190.0934961481507</v>
      </c>
      <c r="J38" s="38">
        <v>9118.5515666724295</v>
      </c>
      <c r="K38" s="38">
        <v>9049.9962073076495</v>
      </c>
      <c r="L38" s="38">
        <v>8984.2442269503499</v>
      </c>
      <c r="M38" s="38">
        <v>8921.12711647986</v>
      </c>
      <c r="N38" s="38">
        <v>8860.4896067778609</v>
      </c>
    </row>
    <row r="39" spans="1:14" ht="15.75" outlineLevel="1" thickBot="1" x14ac:dyDescent="0.3">
      <c r="A39" s="7" t="str">
        <f>Model!N36</f>
        <v>Ikke-udnyttet affald</v>
      </c>
      <c r="B39" s="45"/>
      <c r="C39" s="45" t="s">
        <v>201</v>
      </c>
      <c r="D39" s="39">
        <v>8973.6370157819201</v>
      </c>
      <c r="E39" s="39">
        <v>8323.7239237264093</v>
      </c>
      <c r="F39" s="39">
        <v>8409.3998492327901</v>
      </c>
      <c r="G39" s="39">
        <v>8491.1733516312106</v>
      </c>
      <c r="H39" s="39">
        <v>8569.3051191050108</v>
      </c>
      <c r="I39" s="39">
        <v>8644.0331264116394</v>
      </c>
      <c r="J39" s="39">
        <v>8715.5750558873606</v>
      </c>
      <c r="K39" s="39">
        <v>8784.1304152521407</v>
      </c>
      <c r="L39" s="39">
        <v>8849.8823956094293</v>
      </c>
      <c r="M39" s="39">
        <v>8912.9995060799192</v>
      </c>
      <c r="N39" s="39">
        <v>8973.6370157819201</v>
      </c>
    </row>
    <row r="40" spans="1:14" x14ac:dyDescent="0.25">
      <c r="B40" t="s">
        <v>217</v>
      </c>
    </row>
    <row r="41" spans="1:14" x14ac:dyDescent="0.25">
      <c r="B41" t="s">
        <v>218</v>
      </c>
    </row>
    <row r="42" spans="1:14" x14ac:dyDescent="0.25">
      <c r="B42" t="s">
        <v>219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3CF46C4-608E-48A4-993B-37B07B7C2D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'Scenario 7 GWh'!E8:N8</xm:f>
              <xm:sqref>O8</xm:sqref>
            </x14:sparkline>
            <x14:sparkline>
              <xm:f>'Scenario 7 GWh'!E9:N9</xm:f>
              <xm:sqref>O9</xm:sqref>
            </x14:sparkline>
            <x14:sparkline>
              <xm:f>'Scenario 7 GWh'!E10:N10</xm:f>
              <xm:sqref>O10</xm:sqref>
            </x14:sparkline>
            <x14:sparkline>
              <xm:f>'Scenario 7 GWh'!E11:N11</xm:f>
              <xm:sqref>O11</xm:sqref>
            </x14:sparkline>
            <x14:sparkline>
              <xm:f>'Scenario 7 GWh'!E12:N12</xm:f>
              <xm:sqref>O12</xm:sqref>
            </x14:sparkline>
            <x14:sparkline>
              <xm:f>'Scenario 7 GWh'!E13:N13</xm:f>
              <xm:sqref>O13</xm:sqref>
            </x14:sparkline>
            <x14:sparkline>
              <xm:f>'Scenario 7 GWh'!E14:N14</xm:f>
              <xm:sqref>O14</xm:sqref>
            </x14:sparkline>
            <x14:sparkline>
              <xm:f>'Scenario 7 GWh'!E15:N15</xm:f>
              <xm:sqref>O15</xm:sqref>
            </x14:sparkline>
            <x14:sparkline>
              <xm:f>'Scenario 7 GWh'!E16:N16</xm:f>
              <xm:sqref>O16</xm:sqref>
            </x14:sparkline>
            <x14:sparkline>
              <xm:f>'Scenario 7 GWh'!E17:N17</xm:f>
              <xm:sqref>O17</xm:sqref>
            </x14:sparkline>
            <x14:sparkline>
              <xm:f>'Scenario 7 GWh'!E18:N18</xm:f>
              <xm:sqref>O18</xm:sqref>
            </x14:sparkline>
            <x14:sparkline>
              <xm:f>'Scenario 7 GWh'!E19:N19</xm:f>
              <xm:sqref>O19</xm:sqref>
            </x14:sparkline>
            <x14:sparkline>
              <xm:f>'Scenario 7 GWh'!E20:N20</xm:f>
              <xm:sqref>O20</xm:sqref>
            </x14:sparkline>
            <x14:sparkline>
              <xm:f>'Scenario 7 GWh'!E21:N21</xm:f>
              <xm:sqref>O21</xm:sqref>
            </x14:sparkline>
            <x14:sparkline>
              <xm:f>'Scenario 7 GWh'!E22:N22</xm:f>
              <xm:sqref>O22</xm:sqref>
            </x14:sparkline>
            <x14:sparkline>
              <xm:f>'Scenario 7 GWh'!E23:N23</xm:f>
              <xm:sqref>O23</xm:sqref>
            </x14:sparkline>
            <x14:sparkline>
              <xm:f>'Scenario 7 GWh'!E24:N24</xm:f>
              <xm:sqref>O24</xm:sqref>
            </x14:sparkline>
            <x14:sparkline>
              <xm:f>'Scenario 7 GWh'!E25:N25</xm:f>
              <xm:sqref>O25</xm:sqref>
            </x14:sparkline>
            <x14:sparkline>
              <xm:f>'Scenario 7 GWh'!E26:N26</xm:f>
              <xm:sqref>O26</xm:sqref>
            </x14:sparkline>
            <x14:sparkline>
              <xm:f>'Scenario 7 GWh'!E27:N27</xm:f>
              <xm:sqref>O27</xm:sqref>
            </x14:sparkline>
            <x14:sparkline>
              <xm:f>'Scenario 7 GWh'!E28:N28</xm:f>
              <xm:sqref>O28</xm:sqref>
            </x14:sparkline>
            <x14:sparkline>
              <xm:f>'Scenario 7 GWh'!E29:N29</xm:f>
              <xm:sqref>O29</xm:sqref>
            </x14:sparkline>
            <x14:sparkline>
              <xm:f>'Scenario 7 GWh'!E30:N30</xm:f>
              <xm:sqref>O30</xm:sqref>
            </x14:sparkline>
            <x14:sparkline>
              <xm:f>'Scenario 7 GWh'!E31:N31</xm:f>
              <xm:sqref>O31</xm:sqref>
            </x14:sparkline>
            <x14:sparkline>
              <xm:f>'Scenario 7 GWh'!E32:N32</xm:f>
              <xm:sqref>O32</xm:sqref>
            </x14:sparkline>
            <x14:sparkline>
              <xm:f>'Scenario 7 GWh'!E33:N33</xm:f>
              <xm:sqref>O33</xm:sqref>
            </x14:sparkline>
            <x14:sparkline>
              <xm:f>'Scenario 7 GWh'!E34:N34</xm:f>
              <xm:sqref>O34</xm:sqref>
            </x14:sparkline>
            <x14:sparkline>
              <xm:f>'Scenario 7 GWh'!E35:N35</xm:f>
              <xm:sqref>O35</xm:sqref>
            </x14:sparkline>
            <x14:sparkline>
              <xm:f>'Scenario 7 GWh'!E36:N36</xm:f>
              <xm:sqref>O36</xm:sqref>
            </x14:sparkline>
            <x14:sparkline>
              <xm:f>'Scenario 7 GWh'!E37:N37</xm:f>
              <xm:sqref>O37</xm:sqref>
            </x14:sparkline>
            <x14:sparkline>
              <xm:f>'Scenario 7 GWh'!E38:N38</xm:f>
              <xm:sqref>O38</xm:sqref>
            </x14:sparkline>
            <x14:sparkline>
              <xm:f>'Scenario 7 GWh'!E39:N39</xm:f>
              <xm:sqref>O39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DFD8-61B1-4AF0-B8E6-D7688662F97B}">
  <sheetPr>
    <outlinePr summaryBelow="0"/>
  </sheetPr>
  <dimension ref="A1:N42"/>
  <sheetViews>
    <sheetView showGridLines="0" tabSelected="1" zoomScale="85" zoomScaleNormal="85" workbookViewId="0">
      <selection activeCell="K28" sqref="K28"/>
    </sheetView>
    <sheetView workbookViewId="1"/>
  </sheetViews>
  <sheetFormatPr defaultRowHeight="15" outlineLevelRow="1" outlineLevelCol="1" x14ac:dyDescent="0.25"/>
  <cols>
    <col min="1" max="1" width="31.28515625" style="7" bestFit="1" customWidth="1"/>
    <col min="2" max="2" width="3.7109375" customWidth="1"/>
    <col min="3" max="3" width="13" customWidth="1"/>
    <col min="4" max="14" width="13.140625" bestFit="1" customWidth="1" outlineLevel="1"/>
    <col min="15" max="15" width="19.28515625" customWidth="1"/>
  </cols>
  <sheetData>
    <row r="1" spans="1:14" ht="15.75" thickBot="1" x14ac:dyDescent="0.3"/>
    <row r="2" spans="1:14" ht="15.75" x14ac:dyDescent="0.25">
      <c r="B2" s="41" t="s">
        <v>213</v>
      </c>
      <c r="C2" s="41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ht="15.75" collapsed="1" x14ac:dyDescent="0.25">
      <c r="B3" s="40"/>
      <c r="C3" s="40"/>
      <c r="D3" s="47" t="s">
        <v>215</v>
      </c>
      <c r="E3" s="47" t="s">
        <v>202</v>
      </c>
      <c r="F3" s="47" t="s">
        <v>204</v>
      </c>
      <c r="G3" s="47" t="s">
        <v>205</v>
      </c>
      <c r="H3" s="47" t="s">
        <v>206</v>
      </c>
      <c r="I3" s="47" t="s">
        <v>207</v>
      </c>
      <c r="J3" s="47" t="s">
        <v>208</v>
      </c>
      <c r="K3" s="47" t="s">
        <v>209</v>
      </c>
      <c r="L3" s="47" t="s">
        <v>210</v>
      </c>
      <c r="M3" s="47" t="s">
        <v>211</v>
      </c>
      <c r="N3" s="47" t="s">
        <v>212</v>
      </c>
    </row>
    <row r="4" spans="1:14" ht="45" hidden="1" outlineLevel="1" x14ac:dyDescent="0.25">
      <c r="B4" s="43"/>
      <c r="C4" s="43"/>
      <c r="D4" s="35"/>
      <c r="E4" s="49" t="s">
        <v>203</v>
      </c>
      <c r="F4" s="49" t="s">
        <v>203</v>
      </c>
      <c r="G4" s="49" t="s">
        <v>203</v>
      </c>
      <c r="H4" s="49" t="s">
        <v>203</v>
      </c>
      <c r="I4" s="49" t="s">
        <v>203</v>
      </c>
      <c r="J4" s="49" t="s">
        <v>203</v>
      </c>
      <c r="K4" s="49" t="s">
        <v>203</v>
      </c>
      <c r="L4" s="49" t="s">
        <v>203</v>
      </c>
      <c r="M4" s="49" t="s">
        <v>203</v>
      </c>
      <c r="N4" s="49" t="s">
        <v>203</v>
      </c>
    </row>
    <row r="5" spans="1:14" x14ac:dyDescent="0.25">
      <c r="B5" s="44" t="s">
        <v>214</v>
      </c>
      <c r="C5" s="44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</row>
    <row r="6" spans="1:14" outlineLevel="1" x14ac:dyDescent="0.25">
      <c r="B6" s="43"/>
      <c r="C6" s="43" t="s">
        <v>169</v>
      </c>
      <c r="D6" s="36">
        <v>1</v>
      </c>
      <c r="E6" s="48">
        <v>0.1</v>
      </c>
      <c r="F6" s="48">
        <v>0.2</v>
      </c>
      <c r="G6" s="48">
        <v>0.3</v>
      </c>
      <c r="H6" s="48">
        <v>0.4</v>
      </c>
      <c r="I6" s="48">
        <v>0.5</v>
      </c>
      <c r="J6" s="48">
        <v>0.6</v>
      </c>
      <c r="K6" s="48">
        <v>0.7</v>
      </c>
      <c r="L6" s="48">
        <v>0.8</v>
      </c>
      <c r="M6" s="48">
        <v>0.9</v>
      </c>
      <c r="N6" s="48">
        <v>1</v>
      </c>
    </row>
    <row r="7" spans="1:14" x14ac:dyDescent="0.25">
      <c r="B7" s="44" t="s">
        <v>216</v>
      </c>
      <c r="C7" s="44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 outlineLevel="1" x14ac:dyDescent="0.25">
      <c r="A8" s="7" t="str">
        <f>Model!N5</f>
        <v>Indtægter total</v>
      </c>
      <c r="B8" s="43"/>
      <c r="C8" s="43" t="s">
        <v>170</v>
      </c>
      <c r="D8" s="37">
        <v>15704906.5498023</v>
      </c>
      <c r="E8" s="37">
        <v>16190829.9768045</v>
      </c>
      <c r="F8" s="37">
        <v>16102094.8127602</v>
      </c>
      <c r="G8" s="37">
        <v>16016873.9126384</v>
      </c>
      <c r="H8" s="37">
        <v>16136543.7538468</v>
      </c>
      <c r="I8" s="37">
        <v>16057752.8356482</v>
      </c>
      <c r="J8" s="37">
        <v>15981907.3723356</v>
      </c>
      <c r="K8" s="37">
        <v>15908845.2287775</v>
      </c>
      <c r="L8" s="37">
        <v>15838415.9552575</v>
      </c>
      <c r="M8" s="37">
        <v>15770479.753366601</v>
      </c>
      <c r="N8" s="37">
        <v>15704906.5498023</v>
      </c>
    </row>
    <row r="9" spans="1:14" outlineLevel="1" x14ac:dyDescent="0.25">
      <c r="A9" s="7" t="str">
        <f>Model!N6</f>
        <v>Omkostninger total</v>
      </c>
      <c r="B9" s="43"/>
      <c r="C9" s="43" t="s">
        <v>171</v>
      </c>
      <c r="D9" s="37">
        <v>7601139.8216774501</v>
      </c>
      <c r="E9" s="37">
        <v>7866196.3108281298</v>
      </c>
      <c r="F9" s="37">
        <v>7831849.9144885596</v>
      </c>
      <c r="G9" s="37">
        <v>7798897.0890948502</v>
      </c>
      <c r="H9" s="37">
        <v>7767256.6557569401</v>
      </c>
      <c r="I9" s="37">
        <v>7736853.6206430802</v>
      </c>
      <c r="J9" s="37">
        <v>7707618.5969369598</v>
      </c>
      <c r="K9" s="37">
        <v>7679487.2904326404</v>
      </c>
      <c r="L9" s="37">
        <v>7652400.0407408504</v>
      </c>
      <c r="M9" s="37">
        <v>7626301.4112166697</v>
      </c>
      <c r="N9" s="37">
        <v>7601139.8216774501</v>
      </c>
    </row>
    <row r="10" spans="1:14" outlineLevel="1" x14ac:dyDescent="0.25">
      <c r="A10" s="7" t="str">
        <f>Model!N7</f>
        <v>Dækningsbidrag</v>
      </c>
      <c r="B10" s="43"/>
      <c r="C10" s="43" t="s">
        <v>172</v>
      </c>
      <c r="D10" s="37">
        <v>8103766.7281248998</v>
      </c>
      <c r="E10" s="37">
        <v>8324633.6659763698</v>
      </c>
      <c r="F10" s="37">
        <v>8270244.8982715895</v>
      </c>
      <c r="G10" s="37">
        <v>8217976.8235435002</v>
      </c>
      <c r="H10" s="37">
        <v>8369287.0980898896</v>
      </c>
      <c r="I10" s="37">
        <v>8320899.2150051603</v>
      </c>
      <c r="J10" s="37">
        <v>8274288.7753986102</v>
      </c>
      <c r="K10" s="37">
        <v>8229357.9383448502</v>
      </c>
      <c r="L10" s="37">
        <v>8186015.9145167004</v>
      </c>
      <c r="M10" s="37">
        <v>8144178.3421499496</v>
      </c>
      <c r="N10" s="37">
        <v>8103766.7281248998</v>
      </c>
    </row>
    <row r="11" spans="1:14" outlineLevel="1" x14ac:dyDescent="0.25">
      <c r="A11" s="7">
        <f>Model!N8</f>
        <v>0</v>
      </c>
      <c r="B11" s="43"/>
      <c r="C11" s="43" t="s">
        <v>173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outlineLevel="1" x14ac:dyDescent="0.25">
      <c r="A12" s="7" t="str">
        <f>Model!N9</f>
        <v>Varmesalg</v>
      </c>
      <c r="B12" s="43"/>
      <c r="C12" s="43" t="s">
        <v>174</v>
      </c>
      <c r="D12" s="37">
        <v>7499765</v>
      </c>
      <c r="E12" s="37">
        <v>7499765</v>
      </c>
      <c r="F12" s="37">
        <v>7499765</v>
      </c>
      <c r="G12" s="37">
        <v>7499765</v>
      </c>
      <c r="H12" s="37">
        <v>7499765</v>
      </c>
      <c r="I12" s="37">
        <v>7499765</v>
      </c>
      <c r="J12" s="37">
        <v>7499765</v>
      </c>
      <c r="K12" s="37">
        <v>7499765</v>
      </c>
      <c r="L12" s="37">
        <v>7499765</v>
      </c>
      <c r="M12" s="37">
        <v>7499765</v>
      </c>
      <c r="N12" s="37">
        <v>7499765</v>
      </c>
    </row>
    <row r="13" spans="1:14" outlineLevel="1" x14ac:dyDescent="0.25">
      <c r="A13" s="7" t="str">
        <f>Model!N10</f>
        <v>Elsalg</v>
      </c>
      <c r="B13" s="43"/>
      <c r="C13" s="43" t="s">
        <v>175</v>
      </c>
      <c r="D13" s="37">
        <v>3947332.4512195098</v>
      </c>
      <c r="E13" s="37">
        <v>3947332.4512195098</v>
      </c>
      <c r="F13" s="37">
        <v>3947332.4512195098</v>
      </c>
      <c r="G13" s="37">
        <v>3947332.4512195098</v>
      </c>
      <c r="H13" s="37">
        <v>3947332.4512195098</v>
      </c>
      <c r="I13" s="37">
        <v>3947332.4512195098</v>
      </c>
      <c r="J13" s="37">
        <v>3947332.4512195098</v>
      </c>
      <c r="K13" s="37">
        <v>3947332.4512195098</v>
      </c>
      <c r="L13" s="37">
        <v>3947332.4512195098</v>
      </c>
      <c r="M13" s="37">
        <v>3947332.4512195098</v>
      </c>
      <c r="N13" s="37">
        <v>3947332.4512195098</v>
      </c>
    </row>
    <row r="14" spans="1:14" outlineLevel="1" x14ac:dyDescent="0.25">
      <c r="A14" s="7" t="str">
        <f>Model!N11</f>
        <v>RGK-rabat</v>
      </c>
      <c r="B14" s="43"/>
      <c r="C14" s="43" t="s">
        <v>176</v>
      </c>
      <c r="D14" s="37">
        <v>201581.19181097599</v>
      </c>
      <c r="E14" s="37">
        <v>0</v>
      </c>
      <c r="F14" s="37">
        <v>0</v>
      </c>
      <c r="G14" s="37">
        <v>0</v>
      </c>
      <c r="H14" s="37">
        <v>201581.19181097599</v>
      </c>
      <c r="I14" s="37">
        <v>201581.19181097599</v>
      </c>
      <c r="J14" s="37">
        <v>201581.19181097599</v>
      </c>
      <c r="K14" s="37">
        <v>201581.19181097599</v>
      </c>
      <c r="L14" s="37">
        <v>201581.19181097599</v>
      </c>
      <c r="M14" s="37">
        <v>201581.19181097599</v>
      </c>
      <c r="N14" s="37">
        <v>201581.19181097599</v>
      </c>
    </row>
    <row r="15" spans="1:14" outlineLevel="1" x14ac:dyDescent="0.25">
      <c r="A15" s="7" t="str">
        <f>Model!N12</f>
        <v>Modtagebetaling affald</v>
      </c>
      <c r="B15" s="43"/>
      <c r="C15" s="43" t="s">
        <v>177</v>
      </c>
      <c r="D15" s="37">
        <v>4056227.9067718601</v>
      </c>
      <c r="E15" s="37">
        <v>4743732.5255849799</v>
      </c>
      <c r="F15" s="37">
        <v>4654997.3615406398</v>
      </c>
      <c r="G15" s="37">
        <v>4569776.4614188401</v>
      </c>
      <c r="H15" s="37">
        <v>4487865.11081634</v>
      </c>
      <c r="I15" s="37">
        <v>4409074.1926177498</v>
      </c>
      <c r="J15" s="37">
        <v>4333228.7293050801</v>
      </c>
      <c r="K15" s="37">
        <v>4260166.5857470101</v>
      </c>
      <c r="L15" s="37">
        <v>4189737.3122270601</v>
      </c>
      <c r="M15" s="37">
        <v>4121801.1103361398</v>
      </c>
      <c r="N15" s="37">
        <v>4056227.9067718601</v>
      </c>
    </row>
    <row r="16" spans="1:14" outlineLevel="1" x14ac:dyDescent="0.25">
      <c r="A16" s="7">
        <f>Model!N13</f>
        <v>0</v>
      </c>
      <c r="B16" s="43"/>
      <c r="C16" s="43" t="s">
        <v>178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1:14" outlineLevel="1" x14ac:dyDescent="0.25">
      <c r="A17" s="7" t="str">
        <f>Model!N14</f>
        <v>Betaling bioaffald</v>
      </c>
      <c r="B17" s="43"/>
      <c r="C17" s="43" t="s">
        <v>179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</row>
    <row r="18" spans="1:14" outlineLevel="1" x14ac:dyDescent="0.25">
      <c r="A18" s="7" t="str">
        <f>Model!N15</f>
        <v>DV-omkostninger</v>
      </c>
      <c r="B18" s="43"/>
      <c r="C18" s="43" t="s">
        <v>180</v>
      </c>
      <c r="D18" s="37">
        <v>1099534.71668785</v>
      </c>
      <c r="E18" s="37">
        <v>1054870.37506322</v>
      </c>
      <c r="F18" s="37">
        <v>1060499.17012563</v>
      </c>
      <c r="G18" s="37">
        <v>1065938.36023679</v>
      </c>
      <c r="H18" s="37">
        <v>1071198.99034531</v>
      </c>
      <c r="I18" s="37">
        <v>1076291.2638799101</v>
      </c>
      <c r="J18" s="37">
        <v>1081224.62139614</v>
      </c>
      <c r="K18" s="37">
        <v>1086007.8105647401</v>
      </c>
      <c r="L18" s="37">
        <v>1090648.9485936901</v>
      </c>
      <c r="M18" s="37">
        <v>1095155.5780213701</v>
      </c>
      <c r="N18" s="37">
        <v>1099534.71668785</v>
      </c>
    </row>
    <row r="19" spans="1:14" outlineLevel="1" x14ac:dyDescent="0.25">
      <c r="A19" s="7" t="str">
        <f>Model!N16</f>
        <v>Affaldvarme-afgift</v>
      </c>
      <c r="B19" s="43"/>
      <c r="C19" s="43" t="s">
        <v>181</v>
      </c>
      <c r="D19" s="37">
        <v>2239801.2000000002</v>
      </c>
      <c r="E19" s="37">
        <v>2239801.2000000002</v>
      </c>
      <c r="F19" s="37">
        <v>2239801.2000000002</v>
      </c>
      <c r="G19" s="37">
        <v>2239801.2000000002</v>
      </c>
      <c r="H19" s="37">
        <v>2239801.2000000002</v>
      </c>
      <c r="I19" s="37">
        <v>2239801.2000000002</v>
      </c>
      <c r="J19" s="37">
        <v>2239801.2000000002</v>
      </c>
      <c r="K19" s="37">
        <v>2239801.2000000002</v>
      </c>
      <c r="L19" s="37">
        <v>2239801.2000000002</v>
      </c>
      <c r="M19" s="37">
        <v>2239801.2000000002</v>
      </c>
      <c r="N19" s="37">
        <v>2239801.2000000002</v>
      </c>
    </row>
    <row r="20" spans="1:14" outlineLevel="1" x14ac:dyDescent="0.25">
      <c r="A20" s="7" t="str">
        <f>Model!N17</f>
        <v>Tillægsafgift</v>
      </c>
      <c r="B20" s="43"/>
      <c r="C20" s="43" t="s">
        <v>182</v>
      </c>
      <c r="D20" s="37">
        <v>2015811.9181097599</v>
      </c>
      <c r="E20" s="37">
        <v>2015811.9181097599</v>
      </c>
      <c r="F20" s="37">
        <v>2015811.9181097599</v>
      </c>
      <c r="G20" s="37">
        <v>2015811.9181097599</v>
      </c>
      <c r="H20" s="37">
        <v>2015811.9181097599</v>
      </c>
      <c r="I20" s="37">
        <v>2015811.9181097599</v>
      </c>
      <c r="J20" s="37">
        <v>2015811.9181097599</v>
      </c>
      <c r="K20" s="37">
        <v>2015811.9181097599</v>
      </c>
      <c r="L20" s="37">
        <v>2015811.9181097599</v>
      </c>
      <c r="M20" s="37">
        <v>2015811.9181097599</v>
      </c>
      <c r="N20" s="37">
        <v>2015811.9181097599</v>
      </c>
    </row>
    <row r="21" spans="1:14" outlineLevel="1" x14ac:dyDescent="0.25">
      <c r="A21" s="7" t="str">
        <f>Model!N18</f>
        <v>CO2-afgift</v>
      </c>
      <c r="B21" s="43"/>
      <c r="C21" s="43" t="s">
        <v>183</v>
      </c>
      <c r="D21" s="37">
        <v>418661.31487911602</v>
      </c>
      <c r="E21" s="37">
        <v>418661.31487911602</v>
      </c>
      <c r="F21" s="37">
        <v>418661.31487911602</v>
      </c>
      <c r="G21" s="37">
        <v>418661.31487911602</v>
      </c>
      <c r="H21" s="37">
        <v>418661.31487911602</v>
      </c>
      <c r="I21" s="37">
        <v>418661.31487911602</v>
      </c>
      <c r="J21" s="37">
        <v>418661.31487911602</v>
      </c>
      <c r="K21" s="37">
        <v>418661.31487911602</v>
      </c>
      <c r="L21" s="37">
        <v>418661.31487911602</v>
      </c>
      <c r="M21" s="37">
        <v>418661.31487911602</v>
      </c>
      <c r="N21" s="37">
        <v>418661.31487911602</v>
      </c>
    </row>
    <row r="22" spans="1:14" outlineLevel="1" x14ac:dyDescent="0.25">
      <c r="A22" s="7" t="str">
        <f>Model!N19</f>
        <v>Kvote-omkostning</v>
      </c>
      <c r="B22" s="43"/>
      <c r="C22" s="43" t="s">
        <v>184</v>
      </c>
      <c r="D22" s="37">
        <v>1827330.6720007199</v>
      </c>
      <c r="E22" s="37">
        <v>2137051.50277603</v>
      </c>
      <c r="F22" s="37">
        <v>2097076.3113740601</v>
      </c>
      <c r="G22" s="37">
        <v>2058684.29586919</v>
      </c>
      <c r="H22" s="37">
        <v>2021783.23242276</v>
      </c>
      <c r="I22" s="37">
        <v>1986287.9237742999</v>
      </c>
      <c r="J22" s="37">
        <v>1952119.5425519401</v>
      </c>
      <c r="K22" s="37">
        <v>1919205.0468790301</v>
      </c>
      <c r="L22" s="37">
        <v>1887476.6591582899</v>
      </c>
      <c r="M22" s="37">
        <v>1856871.4002064299</v>
      </c>
      <c r="N22" s="37">
        <v>1827330.6720007199</v>
      </c>
    </row>
    <row r="23" spans="1:14" outlineLevel="1" x14ac:dyDescent="0.25">
      <c r="A23" s="7">
        <f>Model!N20</f>
        <v>0</v>
      </c>
      <c r="B23" s="43"/>
      <c r="C23" s="43" t="s">
        <v>185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outlineLevel="1" x14ac:dyDescent="0.25">
      <c r="A24" s="7" t="str">
        <f>Model!N21</f>
        <v>Varmemængder</v>
      </c>
      <c r="B24" s="43"/>
      <c r="C24" s="43" t="s">
        <v>186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 outlineLevel="1" x14ac:dyDescent="0.25">
      <c r="A25" s="7" t="str">
        <f>Model!N22</f>
        <v>Varmeproduktion Ovn2</v>
      </c>
      <c r="B25" s="43"/>
      <c r="C25" s="43" t="s">
        <v>187</v>
      </c>
      <c r="D25" s="38">
        <v>3283</v>
      </c>
      <c r="E25" s="38">
        <v>6965.8</v>
      </c>
      <c r="F25" s="38">
        <v>6556.6</v>
      </c>
      <c r="G25" s="38">
        <v>6147.4</v>
      </c>
      <c r="H25" s="38">
        <v>5738.2</v>
      </c>
      <c r="I25" s="38">
        <v>5329</v>
      </c>
      <c r="J25" s="38">
        <v>4919.8</v>
      </c>
      <c r="K25" s="38">
        <v>4510.6000000000004</v>
      </c>
      <c r="L25" s="38">
        <v>4101.3999999999996</v>
      </c>
      <c r="M25" s="38">
        <v>3692.2</v>
      </c>
      <c r="N25" s="38">
        <v>3283</v>
      </c>
    </row>
    <row r="26" spans="1:14" outlineLevel="1" x14ac:dyDescent="0.25">
      <c r="A26" s="7" t="str">
        <f>Model!N23</f>
        <v>Varmeproduktion Ovn3</v>
      </c>
      <c r="B26" s="43"/>
      <c r="C26" s="43" t="s">
        <v>188</v>
      </c>
      <c r="D26" s="38">
        <v>20832</v>
      </c>
      <c r="E26" s="38">
        <v>17149.2</v>
      </c>
      <c r="F26" s="38">
        <v>17558.400000000001</v>
      </c>
      <c r="G26" s="38">
        <v>17967.599999999999</v>
      </c>
      <c r="H26" s="38">
        <v>18376.8</v>
      </c>
      <c r="I26" s="38">
        <v>18786</v>
      </c>
      <c r="J26" s="38">
        <v>19195.2</v>
      </c>
      <c r="K26" s="38">
        <v>19604.400000000001</v>
      </c>
      <c r="L26" s="38">
        <v>20013.599999999999</v>
      </c>
      <c r="M26" s="38">
        <v>20422.8</v>
      </c>
      <c r="N26" s="38">
        <v>20832</v>
      </c>
    </row>
    <row r="27" spans="1:14" outlineLevel="1" x14ac:dyDescent="0.25">
      <c r="A27" s="7" t="str">
        <f>Model!N24</f>
        <v>Heraf RGK-varme</v>
      </c>
      <c r="B27" s="43"/>
      <c r="C27" s="43" t="s">
        <v>189</v>
      </c>
      <c r="D27" s="38">
        <v>5049.4716687852897</v>
      </c>
      <c r="E27" s="38">
        <v>583.03750632208801</v>
      </c>
      <c r="F27" s="38">
        <v>1145.91701256335</v>
      </c>
      <c r="G27" s="38">
        <v>1689.83602367907</v>
      </c>
      <c r="H27" s="38">
        <v>2215.8990345309498</v>
      </c>
      <c r="I27" s="38">
        <v>2725.1263879911999</v>
      </c>
      <c r="J27" s="38">
        <v>3218.4621396144798</v>
      </c>
      <c r="K27" s="38">
        <v>3696.7810564744</v>
      </c>
      <c r="L27" s="38">
        <v>4160.8948593689802</v>
      </c>
      <c r="M27" s="38">
        <v>4611.5578021370802</v>
      </c>
      <c r="N27" s="38">
        <v>5049.4716687852897</v>
      </c>
    </row>
    <row r="28" spans="1:14" outlineLevel="1" x14ac:dyDescent="0.25">
      <c r="A28" s="7" t="str">
        <f>Model!N25</f>
        <v>Bortkølet varme</v>
      </c>
      <c r="B28" s="43"/>
      <c r="C28" s="43" t="s">
        <v>190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</row>
    <row r="29" spans="1:14" outlineLevel="1" x14ac:dyDescent="0.25">
      <c r="A29" s="7" t="str">
        <f>Model!N26</f>
        <v>Leveret varme</v>
      </c>
      <c r="B29" s="43"/>
      <c r="C29" s="43" t="s">
        <v>191</v>
      </c>
      <c r="D29" s="38">
        <v>24115</v>
      </c>
      <c r="E29" s="38">
        <v>24115</v>
      </c>
      <c r="F29" s="38">
        <v>24115</v>
      </c>
      <c r="G29" s="38">
        <v>24115</v>
      </c>
      <c r="H29" s="38">
        <v>24115</v>
      </c>
      <c r="I29" s="38">
        <v>24115</v>
      </c>
      <c r="J29" s="38">
        <v>24115</v>
      </c>
      <c r="K29" s="38">
        <v>24115</v>
      </c>
      <c r="L29" s="38">
        <v>24115</v>
      </c>
      <c r="M29" s="38">
        <v>24115</v>
      </c>
      <c r="N29" s="38">
        <v>24115</v>
      </c>
    </row>
    <row r="30" spans="1:14" outlineLevel="1" x14ac:dyDescent="0.25">
      <c r="A30" s="7" t="str">
        <f>Model!N27</f>
        <v>Spidslastvarme</v>
      </c>
      <c r="B30" s="43"/>
      <c r="C30" s="43" t="s">
        <v>192</v>
      </c>
      <c r="D30" s="38">
        <v>4000</v>
      </c>
      <c r="E30" s="38">
        <v>4000</v>
      </c>
      <c r="F30" s="38">
        <v>4000</v>
      </c>
      <c r="G30" s="38">
        <v>4000</v>
      </c>
      <c r="H30" s="38">
        <v>4000</v>
      </c>
      <c r="I30" s="38">
        <v>4000</v>
      </c>
      <c r="J30" s="38">
        <v>4000</v>
      </c>
      <c r="K30" s="38">
        <v>4000</v>
      </c>
      <c r="L30" s="38">
        <v>4000</v>
      </c>
      <c r="M30" s="38">
        <v>4000</v>
      </c>
      <c r="N30" s="38">
        <v>4000</v>
      </c>
    </row>
    <row r="31" spans="1:14" outlineLevel="1" x14ac:dyDescent="0.25">
      <c r="A31" s="7">
        <f>Model!N28</f>
        <v>0</v>
      </c>
      <c r="B31" s="43"/>
      <c r="C31" s="43" t="s">
        <v>193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4" outlineLevel="1" x14ac:dyDescent="0.25">
      <c r="A32" s="7" t="str">
        <f>Model!N29</f>
        <v>Brændselsmængder</v>
      </c>
      <c r="B32" s="43"/>
      <c r="C32" s="43" t="s">
        <v>194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outlineLevel="1" x14ac:dyDescent="0.25">
      <c r="A33" s="7" t="str">
        <f>Model!N30</f>
        <v>Affaldsforbrug Ovn3</v>
      </c>
      <c r="B33" s="43"/>
      <c r="C33" s="43" t="s">
        <v>195</v>
      </c>
      <c r="D33" s="38">
        <v>9006.456241033</v>
      </c>
      <c r="E33" s="38">
        <v>9006.456241033</v>
      </c>
      <c r="F33" s="38">
        <v>9006.456241033</v>
      </c>
      <c r="G33" s="38">
        <v>9006.456241033</v>
      </c>
      <c r="H33" s="38">
        <v>9006.456241033</v>
      </c>
      <c r="I33" s="38">
        <v>9006.456241033</v>
      </c>
      <c r="J33" s="38">
        <v>9006.456241033</v>
      </c>
      <c r="K33" s="38">
        <v>9006.456241033</v>
      </c>
      <c r="L33" s="38">
        <v>9006.456241033</v>
      </c>
      <c r="M33" s="38">
        <v>9006.456241033</v>
      </c>
      <c r="N33" s="38">
        <v>9006.456241033</v>
      </c>
    </row>
    <row r="34" spans="1:14" outlineLevel="1" x14ac:dyDescent="0.25">
      <c r="A34" s="7" t="str">
        <f>Model!N31</f>
        <v>Nordic Sugar varme</v>
      </c>
      <c r="B34" s="43"/>
      <c r="C34" s="43" t="s">
        <v>196</v>
      </c>
      <c r="D34" s="38">
        <v>4000</v>
      </c>
      <c r="E34" s="38">
        <v>4000</v>
      </c>
      <c r="F34" s="38">
        <v>4000</v>
      </c>
      <c r="G34" s="38">
        <v>4000</v>
      </c>
      <c r="H34" s="38">
        <v>4000</v>
      </c>
      <c r="I34" s="38">
        <v>4000</v>
      </c>
      <c r="J34" s="38">
        <v>4000</v>
      </c>
      <c r="K34" s="38">
        <v>4000</v>
      </c>
      <c r="L34" s="38">
        <v>4000</v>
      </c>
      <c r="M34" s="38">
        <v>4000</v>
      </c>
      <c r="N34" s="38">
        <v>4000</v>
      </c>
    </row>
    <row r="35" spans="1:14" outlineLevel="1" x14ac:dyDescent="0.25">
      <c r="A35" s="7" t="str">
        <f>Model!N32</f>
        <v>Affaldsforbrug Ovn2</v>
      </c>
      <c r="B35" s="43"/>
      <c r="C35" s="43" t="s">
        <v>197</v>
      </c>
      <c r="D35" s="38">
        <v>1134.1135258966599</v>
      </c>
      <c r="E35" s="38">
        <v>2852.8750729294502</v>
      </c>
      <c r="F35" s="38">
        <v>2631.0371628185999</v>
      </c>
      <c r="G35" s="38">
        <v>2417.98491251411</v>
      </c>
      <c r="H35" s="38">
        <v>2213.20653600786</v>
      </c>
      <c r="I35" s="38">
        <v>2016.2292405113701</v>
      </c>
      <c r="J35" s="38">
        <v>1826.6155822297001</v>
      </c>
      <c r="K35" s="38">
        <v>1643.9602233345199</v>
      </c>
      <c r="L35" s="38">
        <v>1467.8870395346601</v>
      </c>
      <c r="M35" s="38">
        <v>1298.0465348073601</v>
      </c>
      <c r="N35" s="38">
        <v>1134.1135258966599</v>
      </c>
    </row>
    <row r="36" spans="1:14" outlineLevel="1" x14ac:dyDescent="0.25">
      <c r="A36" s="7" t="str">
        <f>Model!N33</f>
        <v>Affaldsforbrug kølevarme Ovn3</v>
      </c>
      <c r="B36" s="43"/>
      <c r="C36" s="43" t="s">
        <v>198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</row>
    <row r="37" spans="1:14" outlineLevel="1" x14ac:dyDescent="0.25">
      <c r="A37" s="7" t="str">
        <f>Model!N34</f>
        <v>Affaldsforbrug kølevarme Ovn2</v>
      </c>
      <c r="B37" s="43"/>
      <c r="C37" s="43" t="s">
        <v>199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</row>
    <row r="38" spans="1:14" outlineLevel="1" x14ac:dyDescent="0.25">
      <c r="A38" s="7" t="str">
        <f>Model!N35</f>
        <v>Udnyttet affald</v>
      </c>
      <c r="B38" s="43"/>
      <c r="C38" s="43" t="s">
        <v>200</v>
      </c>
      <c r="D38" s="38">
        <v>10140.569766929701</v>
      </c>
      <c r="E38" s="38">
        <v>11859.331313962501</v>
      </c>
      <c r="F38" s="38">
        <v>11637.4934038516</v>
      </c>
      <c r="G38" s="38">
        <v>11424.441153547101</v>
      </c>
      <c r="H38" s="38">
        <v>11219.6627770409</v>
      </c>
      <c r="I38" s="38">
        <v>11022.6854815444</v>
      </c>
      <c r="J38" s="38">
        <v>10833.0718232627</v>
      </c>
      <c r="K38" s="38">
        <v>10650.416464367499</v>
      </c>
      <c r="L38" s="38">
        <v>10474.3432805677</v>
      </c>
      <c r="M38" s="38">
        <v>10304.502775840399</v>
      </c>
      <c r="N38" s="38">
        <v>10140.569766929701</v>
      </c>
    </row>
    <row r="39" spans="1:14" ht="15.75" outlineLevel="1" thickBot="1" x14ac:dyDescent="0.3">
      <c r="A39" s="7" t="str">
        <f>Model!N36</f>
        <v>Ikke-udnyttet affald</v>
      </c>
      <c r="B39" s="45"/>
      <c r="C39" s="45" t="s">
        <v>201</v>
      </c>
      <c r="D39" s="39">
        <v>1859.4302330703399</v>
      </c>
      <c r="E39" s="50">
        <v>140.66868603754901</v>
      </c>
      <c r="F39" s="50">
        <v>362.50659614840498</v>
      </c>
      <c r="G39" s="50">
        <v>575.558846452887</v>
      </c>
      <c r="H39" s="50">
        <v>780.33722295914004</v>
      </c>
      <c r="I39" s="50">
        <v>977.31451845562901</v>
      </c>
      <c r="J39" s="50">
        <v>1166.9281767373</v>
      </c>
      <c r="K39" s="50">
        <v>1349.5835356324801</v>
      </c>
      <c r="L39" s="50">
        <v>1525.65671943234</v>
      </c>
      <c r="M39" s="50">
        <v>1695.4972241596399</v>
      </c>
      <c r="N39" s="50">
        <v>1859.4302330703399</v>
      </c>
    </row>
    <row r="40" spans="1:14" x14ac:dyDescent="0.25">
      <c r="B40" t="s">
        <v>217</v>
      </c>
    </row>
    <row r="41" spans="1:14" x14ac:dyDescent="0.25">
      <c r="B41" t="s">
        <v>218</v>
      </c>
    </row>
    <row r="42" spans="1:14" x14ac:dyDescent="0.25">
      <c r="B42" t="s">
        <v>219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B46F0AC-F652-49DB-BE24-DA5E259D70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'Scenario 28 GWh'!E8:N8</xm:f>
              <xm:sqref>O8</xm:sqref>
            </x14:sparkline>
            <x14:sparkline>
              <xm:f>'Scenario 28 GWh'!E9:N9</xm:f>
              <xm:sqref>O9</xm:sqref>
            </x14:sparkline>
            <x14:sparkline>
              <xm:f>'Scenario 28 GWh'!E10:N10</xm:f>
              <xm:sqref>O10</xm:sqref>
            </x14:sparkline>
            <x14:sparkline>
              <xm:f>'Scenario 28 GWh'!E11:N11</xm:f>
              <xm:sqref>O11</xm:sqref>
            </x14:sparkline>
            <x14:sparkline>
              <xm:f>'Scenario 28 GWh'!E12:N12</xm:f>
              <xm:sqref>O12</xm:sqref>
            </x14:sparkline>
            <x14:sparkline>
              <xm:f>'Scenario 28 GWh'!E13:N13</xm:f>
              <xm:sqref>O13</xm:sqref>
            </x14:sparkline>
            <x14:sparkline>
              <xm:f>'Scenario 28 GWh'!E14:N14</xm:f>
              <xm:sqref>O14</xm:sqref>
            </x14:sparkline>
            <x14:sparkline>
              <xm:f>'Scenario 28 GWh'!E15:N15</xm:f>
              <xm:sqref>O15</xm:sqref>
            </x14:sparkline>
            <x14:sparkline>
              <xm:f>'Scenario 28 GWh'!E16:N16</xm:f>
              <xm:sqref>O16</xm:sqref>
            </x14:sparkline>
            <x14:sparkline>
              <xm:f>'Scenario 28 GWh'!E17:N17</xm:f>
              <xm:sqref>O17</xm:sqref>
            </x14:sparkline>
            <x14:sparkline>
              <xm:f>'Scenario 28 GWh'!E18:N18</xm:f>
              <xm:sqref>O18</xm:sqref>
            </x14:sparkline>
            <x14:sparkline>
              <xm:f>'Scenario 28 GWh'!E19:N19</xm:f>
              <xm:sqref>O19</xm:sqref>
            </x14:sparkline>
            <x14:sparkline>
              <xm:f>'Scenario 28 GWh'!E20:N20</xm:f>
              <xm:sqref>O20</xm:sqref>
            </x14:sparkline>
            <x14:sparkline>
              <xm:f>'Scenario 28 GWh'!E21:N21</xm:f>
              <xm:sqref>O21</xm:sqref>
            </x14:sparkline>
            <x14:sparkline>
              <xm:f>'Scenario 28 GWh'!E22:N22</xm:f>
              <xm:sqref>O22</xm:sqref>
            </x14:sparkline>
            <x14:sparkline>
              <xm:f>'Scenario 28 GWh'!E23:N23</xm:f>
              <xm:sqref>O23</xm:sqref>
            </x14:sparkline>
            <x14:sparkline>
              <xm:f>'Scenario 28 GWh'!E24:N24</xm:f>
              <xm:sqref>O24</xm:sqref>
            </x14:sparkline>
            <x14:sparkline>
              <xm:f>'Scenario 28 GWh'!E25:N25</xm:f>
              <xm:sqref>O25</xm:sqref>
            </x14:sparkline>
            <x14:sparkline>
              <xm:f>'Scenario 28 GWh'!E26:N26</xm:f>
              <xm:sqref>O26</xm:sqref>
            </x14:sparkline>
            <x14:sparkline>
              <xm:f>'Scenario 28 GWh'!E27:N27</xm:f>
              <xm:sqref>O27</xm:sqref>
            </x14:sparkline>
            <x14:sparkline>
              <xm:f>'Scenario 28 GWh'!E28:N28</xm:f>
              <xm:sqref>O28</xm:sqref>
            </x14:sparkline>
            <x14:sparkline>
              <xm:f>'Scenario 28 GWh'!E29:N29</xm:f>
              <xm:sqref>O29</xm:sqref>
            </x14:sparkline>
            <x14:sparkline>
              <xm:f>'Scenario 28 GWh'!E30:N30</xm:f>
              <xm:sqref>O30</xm:sqref>
            </x14:sparkline>
            <x14:sparkline>
              <xm:f>'Scenario 28 GWh'!E31:N31</xm:f>
              <xm:sqref>O31</xm:sqref>
            </x14:sparkline>
            <x14:sparkline>
              <xm:f>'Scenario 28 GWh'!E32:N32</xm:f>
              <xm:sqref>O32</xm:sqref>
            </x14:sparkline>
            <x14:sparkline>
              <xm:f>'Scenario 28 GWh'!E33:N33</xm:f>
              <xm:sqref>O33</xm:sqref>
            </x14:sparkline>
            <x14:sparkline>
              <xm:f>'Scenario 28 GWh'!E34:N34</xm:f>
              <xm:sqref>O34</xm:sqref>
            </x14:sparkline>
            <x14:sparkline>
              <xm:f>'Scenario 28 GWh'!E35:N35</xm:f>
              <xm:sqref>O35</xm:sqref>
            </x14:sparkline>
            <x14:sparkline>
              <xm:f>'Scenario 28 GWh'!E36:N36</xm:f>
              <xm:sqref>O36</xm:sqref>
            </x14:sparkline>
            <x14:sparkline>
              <xm:f>'Scenario 28 GWh'!E37:N37</xm:f>
              <xm:sqref>O37</xm:sqref>
            </x14:sparkline>
            <x14:sparkline>
              <xm:f>'Scenario 28 GWh'!E38:N38</xm:f>
              <xm:sqref>O38</xm:sqref>
            </x14:sparkline>
            <x14:sparkline>
              <xm:f>'Scenario 28 GWh'!E39:N39</xm:f>
              <xm:sqref>O39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F49F-1561-419C-B31C-066F255F1EE0}">
  <sheetPr>
    <outlinePr summaryBelow="0"/>
  </sheetPr>
  <dimension ref="A1:N42"/>
  <sheetViews>
    <sheetView showGridLines="0" zoomScale="85" zoomScaleNormal="85" workbookViewId="0">
      <selection activeCell="P5" sqref="P5"/>
    </sheetView>
    <sheetView workbookViewId="1"/>
  </sheetViews>
  <sheetFormatPr defaultRowHeight="15" outlineLevelRow="1" outlineLevelCol="1" x14ac:dyDescent="0.25"/>
  <cols>
    <col min="1" max="1" width="30.7109375" bestFit="1" customWidth="1"/>
    <col min="2" max="2" width="3" customWidth="1"/>
    <col min="3" max="3" width="11.28515625" customWidth="1"/>
    <col min="4" max="14" width="13.140625" bestFit="1" customWidth="1" outlineLevel="1"/>
    <col min="15" max="15" width="17.85546875" customWidth="1"/>
  </cols>
  <sheetData>
    <row r="1" spans="1:14" ht="15.75" thickBot="1" x14ac:dyDescent="0.3"/>
    <row r="2" spans="1:14" ht="15.75" x14ac:dyDescent="0.25">
      <c r="B2" s="41" t="s">
        <v>213</v>
      </c>
      <c r="C2" s="41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ht="15.75" collapsed="1" x14ac:dyDescent="0.25">
      <c r="B3" s="40"/>
      <c r="C3" s="40"/>
      <c r="D3" s="47" t="s">
        <v>215</v>
      </c>
      <c r="E3" s="47" t="s">
        <v>202</v>
      </c>
      <c r="F3" s="47" t="s">
        <v>204</v>
      </c>
      <c r="G3" s="47" t="s">
        <v>205</v>
      </c>
      <c r="H3" s="47" t="s">
        <v>206</v>
      </c>
      <c r="I3" s="47" t="s">
        <v>207</v>
      </c>
      <c r="J3" s="47" t="s">
        <v>208</v>
      </c>
      <c r="K3" s="47" t="s">
        <v>209</v>
      </c>
      <c r="L3" s="47" t="s">
        <v>210</v>
      </c>
      <c r="M3" s="47" t="s">
        <v>211</v>
      </c>
      <c r="N3" s="47" t="s">
        <v>212</v>
      </c>
    </row>
    <row r="4" spans="1:14" ht="45" hidden="1" outlineLevel="1" x14ac:dyDescent="0.25">
      <c r="B4" s="43"/>
      <c r="C4" s="43"/>
      <c r="D4" s="35"/>
      <c r="E4" s="49" t="s">
        <v>203</v>
      </c>
      <c r="F4" s="49" t="s">
        <v>203</v>
      </c>
      <c r="G4" s="49" t="s">
        <v>203</v>
      </c>
      <c r="H4" s="49" t="s">
        <v>203</v>
      </c>
      <c r="I4" s="49" t="s">
        <v>203</v>
      </c>
      <c r="J4" s="49" t="s">
        <v>203</v>
      </c>
      <c r="K4" s="49" t="s">
        <v>203</v>
      </c>
      <c r="L4" s="49" t="s">
        <v>203</v>
      </c>
      <c r="M4" s="49" t="s">
        <v>203</v>
      </c>
      <c r="N4" s="49" t="s">
        <v>203</v>
      </c>
    </row>
    <row r="5" spans="1:14" x14ac:dyDescent="0.25">
      <c r="B5" s="44" t="s">
        <v>214</v>
      </c>
      <c r="C5" s="44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</row>
    <row r="6" spans="1:14" outlineLevel="1" x14ac:dyDescent="0.25">
      <c r="B6" s="43"/>
      <c r="C6" s="43" t="s">
        <v>169</v>
      </c>
      <c r="D6" s="36">
        <v>1</v>
      </c>
      <c r="E6" s="48">
        <v>0.1</v>
      </c>
      <c r="F6" s="48">
        <v>0.2</v>
      </c>
      <c r="G6" s="48">
        <v>0.3</v>
      </c>
      <c r="H6" s="48">
        <v>0.4</v>
      </c>
      <c r="I6" s="48">
        <v>0.5</v>
      </c>
      <c r="J6" s="48">
        <v>0.6</v>
      </c>
      <c r="K6" s="48">
        <v>0.7</v>
      </c>
      <c r="L6" s="48">
        <v>0.8</v>
      </c>
      <c r="M6" s="48">
        <v>0.9</v>
      </c>
      <c r="N6" s="48">
        <v>1</v>
      </c>
    </row>
    <row r="7" spans="1:14" x14ac:dyDescent="0.25">
      <c r="B7" s="44" t="s">
        <v>216</v>
      </c>
      <c r="C7" s="44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 outlineLevel="1" x14ac:dyDescent="0.25">
      <c r="A8" s="7" t="str">
        <f>Model!N5</f>
        <v>Indtægter total</v>
      </c>
      <c r="B8" s="43"/>
      <c r="C8" s="43" t="s">
        <v>170</v>
      </c>
      <c r="D8" s="37">
        <v>18118707.4232703</v>
      </c>
      <c r="E8" s="37">
        <v>16310010.253459301</v>
      </c>
      <c r="F8" s="37">
        <v>16483548.253459301</v>
      </c>
      <c r="G8" s="37">
        <v>16657086.253459301</v>
      </c>
      <c r="H8" s="37">
        <v>17048733.495270301</v>
      </c>
      <c r="I8" s="37">
        <v>17227062.483270299</v>
      </c>
      <c r="J8" s="37">
        <v>17405391.4712703</v>
      </c>
      <c r="K8" s="37">
        <v>17583720.459270298</v>
      </c>
      <c r="L8" s="37">
        <v>17762049.4472703</v>
      </c>
      <c r="M8" s="37">
        <v>17940378.435270298</v>
      </c>
      <c r="N8" s="37">
        <v>18118707.4232703</v>
      </c>
    </row>
    <row r="9" spans="1:14" outlineLevel="1" x14ac:dyDescent="0.25">
      <c r="A9" s="7" t="str">
        <f>Model!N6</f>
        <v>Omkostninger total</v>
      </c>
      <c r="B9" s="43"/>
      <c r="C9" s="43" t="s">
        <v>171</v>
      </c>
      <c r="D9" s="37">
        <v>8974185.9215454608</v>
      </c>
      <c r="E9" s="37">
        <v>7934106.8600176601</v>
      </c>
      <c r="F9" s="37">
        <v>8049671.2001874102</v>
      </c>
      <c r="G9" s="37">
        <v>8165235.5403571697</v>
      </c>
      <c r="H9" s="37">
        <v>8280799.8805269198</v>
      </c>
      <c r="I9" s="37">
        <v>8396364.2206966802</v>
      </c>
      <c r="J9" s="37">
        <v>8511928.5608664397</v>
      </c>
      <c r="K9" s="37">
        <v>8627492.9010361899</v>
      </c>
      <c r="L9" s="37">
        <v>8743057.2412059493</v>
      </c>
      <c r="M9" s="37">
        <v>8858621.5813757107</v>
      </c>
      <c r="N9" s="37">
        <v>8974185.9215454608</v>
      </c>
    </row>
    <row r="10" spans="1:14" outlineLevel="1" x14ac:dyDescent="0.25">
      <c r="A10" s="7" t="str">
        <f>Model!N7</f>
        <v>Dækningsbidrag</v>
      </c>
      <c r="B10" s="43"/>
      <c r="C10" s="43" t="s">
        <v>172</v>
      </c>
      <c r="D10" s="37">
        <v>9144521.5017248206</v>
      </c>
      <c r="E10" s="37">
        <v>8375903.3934416501</v>
      </c>
      <c r="F10" s="37">
        <v>8433877.0532719009</v>
      </c>
      <c r="G10" s="37">
        <v>8491850.7131021395</v>
      </c>
      <c r="H10" s="37">
        <v>8767933.6147433594</v>
      </c>
      <c r="I10" s="37">
        <v>8830698.2625735998</v>
      </c>
      <c r="J10" s="37">
        <v>8893462.9104038496</v>
      </c>
      <c r="K10" s="37">
        <v>8956227.55823409</v>
      </c>
      <c r="L10" s="37">
        <v>9018992.2060643304</v>
      </c>
      <c r="M10" s="37">
        <v>9081756.8538945802</v>
      </c>
      <c r="N10" s="37">
        <v>9144521.5017248206</v>
      </c>
    </row>
    <row r="11" spans="1:14" outlineLevel="1" x14ac:dyDescent="0.25">
      <c r="A11" s="7">
        <f>Model!N8</f>
        <v>0</v>
      </c>
      <c r="B11" s="43"/>
      <c r="C11" s="43" t="s">
        <v>173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outlineLevel="1" x14ac:dyDescent="0.25">
      <c r="A12" s="7" t="str">
        <f>Model!N9</f>
        <v>Varmesalg</v>
      </c>
      <c r="B12" s="43"/>
      <c r="C12" s="43" t="s">
        <v>174</v>
      </c>
      <c r="D12" s="37">
        <v>9139668</v>
      </c>
      <c r="E12" s="37">
        <v>7577826</v>
      </c>
      <c r="F12" s="37">
        <v>7751364</v>
      </c>
      <c r="G12" s="37">
        <v>7924902</v>
      </c>
      <c r="H12" s="37">
        <v>8098440</v>
      </c>
      <c r="I12" s="37">
        <v>8271978</v>
      </c>
      <c r="J12" s="37">
        <v>8445516</v>
      </c>
      <c r="K12" s="37">
        <v>8619054</v>
      </c>
      <c r="L12" s="37">
        <v>8792592</v>
      </c>
      <c r="M12" s="37">
        <v>8966130</v>
      </c>
      <c r="N12" s="37">
        <v>9139668</v>
      </c>
    </row>
    <row r="13" spans="1:14" outlineLevel="1" x14ac:dyDescent="0.25">
      <c r="A13" s="7" t="str">
        <f>Model!N10</f>
        <v>Elsalg</v>
      </c>
      <c r="B13" s="43"/>
      <c r="C13" s="43" t="s">
        <v>175</v>
      </c>
      <c r="D13" s="37">
        <v>3947332.4512195098</v>
      </c>
      <c r="E13" s="37">
        <v>3947332.4512195098</v>
      </c>
      <c r="F13" s="37">
        <v>3947332.4512195098</v>
      </c>
      <c r="G13" s="37">
        <v>3947332.4512195098</v>
      </c>
      <c r="H13" s="37">
        <v>3947332.4512195098</v>
      </c>
      <c r="I13" s="37">
        <v>3947332.4512195098</v>
      </c>
      <c r="J13" s="37">
        <v>3947332.4512195098</v>
      </c>
      <c r="K13" s="37">
        <v>3947332.4512195098</v>
      </c>
      <c r="L13" s="37">
        <v>3947332.4512195098</v>
      </c>
      <c r="M13" s="37">
        <v>3947332.4512195098</v>
      </c>
      <c r="N13" s="37">
        <v>3947332.4512195098</v>
      </c>
    </row>
    <row r="14" spans="1:14" outlineLevel="1" x14ac:dyDescent="0.25">
      <c r="A14" s="7" t="str">
        <f>Model!N11</f>
        <v>RGK-rabat</v>
      </c>
      <c r="B14" s="43"/>
      <c r="C14" s="43" t="s">
        <v>176</v>
      </c>
      <c r="D14" s="37">
        <v>246855.16981097599</v>
      </c>
      <c r="E14" s="37">
        <v>0</v>
      </c>
      <c r="F14" s="37">
        <v>0</v>
      </c>
      <c r="G14" s="37">
        <v>0</v>
      </c>
      <c r="H14" s="37">
        <v>218109.241810976</v>
      </c>
      <c r="I14" s="37">
        <v>222900.22981097599</v>
      </c>
      <c r="J14" s="37">
        <v>227691.217810976</v>
      </c>
      <c r="K14" s="37">
        <v>232482.20581097601</v>
      </c>
      <c r="L14" s="37">
        <v>237273.19381097599</v>
      </c>
      <c r="M14" s="37">
        <v>242064.18181097601</v>
      </c>
      <c r="N14" s="37">
        <v>246855.16981097599</v>
      </c>
    </row>
    <row r="15" spans="1:14" outlineLevel="1" x14ac:dyDescent="0.25">
      <c r="A15" s="7" t="str">
        <f>Model!N12</f>
        <v>Modtagebetaling affald</v>
      </c>
      <c r="B15" s="43"/>
      <c r="C15" s="43" t="s">
        <v>177</v>
      </c>
      <c r="D15" s="37">
        <v>4784851.8022397999</v>
      </c>
      <c r="E15" s="37">
        <v>4784851.8022397999</v>
      </c>
      <c r="F15" s="37">
        <v>4784851.8022397999</v>
      </c>
      <c r="G15" s="37">
        <v>4784851.8022397999</v>
      </c>
      <c r="H15" s="37">
        <v>4784851.8022397999</v>
      </c>
      <c r="I15" s="37">
        <v>4784851.8022397999</v>
      </c>
      <c r="J15" s="37">
        <v>4784851.8022397999</v>
      </c>
      <c r="K15" s="37">
        <v>4784851.8022397999</v>
      </c>
      <c r="L15" s="37">
        <v>4784851.8022397999</v>
      </c>
      <c r="M15" s="37">
        <v>4784851.8022397999</v>
      </c>
      <c r="N15" s="37">
        <v>4784851.8022397999</v>
      </c>
    </row>
    <row r="16" spans="1:14" outlineLevel="1" x14ac:dyDescent="0.25">
      <c r="A16" s="7">
        <f>Model!N13</f>
        <v>0</v>
      </c>
      <c r="B16" s="43"/>
      <c r="C16" s="43" t="s">
        <v>178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1:14" outlineLevel="1" x14ac:dyDescent="0.25">
      <c r="A17" s="7" t="str">
        <f>Model!N14</f>
        <v>Betaling bioaffald</v>
      </c>
      <c r="B17" s="43"/>
      <c r="C17" s="43" t="s">
        <v>179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</row>
    <row r="18" spans="1:14" outlineLevel="1" x14ac:dyDescent="0.25">
      <c r="A18" s="7" t="str">
        <f>Model!N15</f>
        <v>DV-omkostninger</v>
      </c>
      <c r="B18" s="43"/>
      <c r="C18" s="43" t="s">
        <v>180</v>
      </c>
      <c r="D18" s="37">
        <v>1107810.8046975599</v>
      </c>
      <c r="E18" s="37">
        <v>1054917.0804697601</v>
      </c>
      <c r="F18" s="37">
        <v>1060794.16093951</v>
      </c>
      <c r="G18" s="37">
        <v>1066671.2414092701</v>
      </c>
      <c r="H18" s="37">
        <v>1072548.32187902</v>
      </c>
      <c r="I18" s="37">
        <v>1078425.4023487801</v>
      </c>
      <c r="J18" s="37">
        <v>1084302.48281854</v>
      </c>
      <c r="K18" s="37">
        <v>1090179.5632882901</v>
      </c>
      <c r="L18" s="37">
        <v>1096056.6437580499</v>
      </c>
      <c r="M18" s="37">
        <v>1101933.7242278</v>
      </c>
      <c r="N18" s="37">
        <v>1107810.8046975599</v>
      </c>
    </row>
    <row r="19" spans="1:14" outlineLevel="1" x14ac:dyDescent="0.25">
      <c r="A19" s="7" t="str">
        <f>Model!N16</f>
        <v>Affaldvarme-afgift</v>
      </c>
      <c r="B19" s="43"/>
      <c r="C19" s="43" t="s">
        <v>181</v>
      </c>
      <c r="D19" s="37">
        <v>2729557.44</v>
      </c>
      <c r="E19" s="37">
        <v>2263114.08</v>
      </c>
      <c r="F19" s="37">
        <v>2314941.12</v>
      </c>
      <c r="G19" s="37">
        <v>2366768.16</v>
      </c>
      <c r="H19" s="37">
        <v>2418595.2000000002</v>
      </c>
      <c r="I19" s="37">
        <v>2470422.2400000002</v>
      </c>
      <c r="J19" s="37">
        <v>2522249.2799999998</v>
      </c>
      <c r="K19" s="37">
        <v>2574076.3199999998</v>
      </c>
      <c r="L19" s="37">
        <v>2625903.36</v>
      </c>
      <c r="M19" s="37">
        <v>2677730.4</v>
      </c>
      <c r="N19" s="37">
        <v>2729557.44</v>
      </c>
    </row>
    <row r="20" spans="1:14" outlineLevel="1" x14ac:dyDescent="0.25">
      <c r="A20" s="7" t="str">
        <f>Model!N17</f>
        <v>Tillægsafgift</v>
      </c>
      <c r="B20" s="43"/>
      <c r="C20" s="43" t="s">
        <v>182</v>
      </c>
      <c r="D20" s="37">
        <v>2468551.6981097599</v>
      </c>
      <c r="E20" s="37">
        <v>2037362.77810976</v>
      </c>
      <c r="F20" s="37">
        <v>2085272.6581097599</v>
      </c>
      <c r="G20" s="37">
        <v>2133182.5381097598</v>
      </c>
      <c r="H20" s="37">
        <v>2181092.4181097602</v>
      </c>
      <c r="I20" s="37">
        <v>2229002.29810976</v>
      </c>
      <c r="J20" s="37">
        <v>2276912.1781097599</v>
      </c>
      <c r="K20" s="37">
        <v>2324822.0581097598</v>
      </c>
      <c r="L20" s="37">
        <v>2372731.9381097602</v>
      </c>
      <c r="M20" s="37">
        <v>2420641.8181097601</v>
      </c>
      <c r="N20" s="37">
        <v>2468551.6981097599</v>
      </c>
    </row>
    <row r="21" spans="1:14" outlineLevel="1" x14ac:dyDescent="0.25">
      <c r="A21" s="7" t="str">
        <f>Model!N18</f>
        <v>CO2-afgift</v>
      </c>
      <c r="B21" s="43"/>
      <c r="C21" s="43" t="s">
        <v>183</v>
      </c>
      <c r="D21" s="37">
        <v>512690.24182911601</v>
      </c>
      <c r="E21" s="37">
        <v>423137.18452911603</v>
      </c>
      <c r="F21" s="37">
        <v>433087.52422911598</v>
      </c>
      <c r="G21" s="37">
        <v>443037.86392911599</v>
      </c>
      <c r="H21" s="37">
        <v>452988.203629116</v>
      </c>
      <c r="I21" s="37">
        <v>462938.54332911602</v>
      </c>
      <c r="J21" s="37">
        <v>472888.88302911603</v>
      </c>
      <c r="K21" s="37">
        <v>482839.22272911598</v>
      </c>
      <c r="L21" s="37">
        <v>492789.56242911599</v>
      </c>
      <c r="M21" s="37">
        <v>502739.902129116</v>
      </c>
      <c r="N21" s="37">
        <v>512690.24182911601</v>
      </c>
    </row>
    <row r="22" spans="1:14" outlineLevel="1" x14ac:dyDescent="0.25">
      <c r="A22" s="7" t="str">
        <f>Model!N19</f>
        <v>Kvote-omkostning</v>
      </c>
      <c r="B22" s="43"/>
      <c r="C22" s="43" t="s">
        <v>184</v>
      </c>
      <c r="D22" s="37">
        <v>2155575.73690903</v>
      </c>
      <c r="E22" s="37">
        <v>2155575.73690903</v>
      </c>
      <c r="F22" s="37">
        <v>2155575.73690903</v>
      </c>
      <c r="G22" s="37">
        <v>2155575.73690903</v>
      </c>
      <c r="H22" s="37">
        <v>2155575.73690903</v>
      </c>
      <c r="I22" s="37">
        <v>2155575.73690903</v>
      </c>
      <c r="J22" s="37">
        <v>2155575.73690903</v>
      </c>
      <c r="K22" s="37">
        <v>2155575.73690903</v>
      </c>
      <c r="L22" s="37">
        <v>2155575.73690903</v>
      </c>
      <c r="M22" s="37">
        <v>2155575.73690903</v>
      </c>
      <c r="N22" s="37">
        <v>2155575.73690903</v>
      </c>
    </row>
    <row r="23" spans="1:14" outlineLevel="1" x14ac:dyDescent="0.25">
      <c r="A23" s="7">
        <f>Model!N20</f>
        <v>0</v>
      </c>
      <c r="B23" s="43"/>
      <c r="C23" s="43" t="s">
        <v>185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outlineLevel="1" x14ac:dyDescent="0.25">
      <c r="A24" s="7" t="str">
        <f>Model!N21</f>
        <v>Varmemængder</v>
      </c>
      <c r="B24" s="43"/>
      <c r="C24" s="43" t="s">
        <v>186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1:14" outlineLevel="1" x14ac:dyDescent="0.25">
      <c r="A25" s="7" t="str">
        <f>Model!N22</f>
        <v>Varmeproduktion Ovn2</v>
      </c>
      <c r="B25" s="43"/>
      <c r="C25" s="43" t="s">
        <v>187</v>
      </c>
      <c r="D25" s="38">
        <v>8556</v>
      </c>
      <c r="E25" s="38">
        <v>7216.8</v>
      </c>
      <c r="F25" s="38">
        <v>7365.6</v>
      </c>
      <c r="G25" s="38">
        <v>7514.4</v>
      </c>
      <c r="H25" s="38">
        <v>7663.2</v>
      </c>
      <c r="I25" s="38">
        <v>7812</v>
      </c>
      <c r="J25" s="38">
        <v>7960.8</v>
      </c>
      <c r="K25" s="38">
        <v>8109.6</v>
      </c>
      <c r="L25" s="38">
        <v>8258.4</v>
      </c>
      <c r="M25" s="38">
        <v>8407.2000000000007</v>
      </c>
      <c r="N25" s="38">
        <v>8556</v>
      </c>
    </row>
    <row r="26" spans="1:14" outlineLevel="1" x14ac:dyDescent="0.25">
      <c r="A26" s="7" t="str">
        <f>Model!N23</f>
        <v>Varmeproduktion Ovn3</v>
      </c>
      <c r="B26" s="43"/>
      <c r="C26" s="43" t="s">
        <v>188</v>
      </c>
      <c r="D26" s="38">
        <v>20832</v>
      </c>
      <c r="E26" s="38">
        <v>17149.2</v>
      </c>
      <c r="F26" s="38">
        <v>17558.400000000001</v>
      </c>
      <c r="G26" s="38">
        <v>17967.599999999999</v>
      </c>
      <c r="H26" s="38">
        <v>18376.8</v>
      </c>
      <c r="I26" s="38">
        <v>18786</v>
      </c>
      <c r="J26" s="38">
        <v>19195.2</v>
      </c>
      <c r="K26" s="38">
        <v>19604.400000000001</v>
      </c>
      <c r="L26" s="38">
        <v>20013.599999999999</v>
      </c>
      <c r="M26" s="38">
        <v>20422.8</v>
      </c>
      <c r="N26" s="38">
        <v>20832</v>
      </c>
    </row>
    <row r="27" spans="1:14" outlineLevel="1" x14ac:dyDescent="0.25">
      <c r="A27" s="7" t="str">
        <f>Model!N24</f>
        <v>Heraf RGK-varme</v>
      </c>
      <c r="B27" s="43"/>
      <c r="C27" s="43" t="s">
        <v>189</v>
      </c>
      <c r="D27" s="38">
        <v>5877.0804697560598</v>
      </c>
      <c r="E27" s="38">
        <v>587.70804697560595</v>
      </c>
      <c r="F27" s="38">
        <v>1175.4160939512101</v>
      </c>
      <c r="G27" s="38">
        <v>1763.12414092682</v>
      </c>
      <c r="H27" s="38">
        <v>2350.8321879024202</v>
      </c>
      <c r="I27" s="38">
        <v>2938.5402348780299</v>
      </c>
      <c r="J27" s="38">
        <v>3526.24828185363</v>
      </c>
      <c r="K27" s="38">
        <v>4113.9563288292402</v>
      </c>
      <c r="L27" s="38">
        <v>4701.6643758048504</v>
      </c>
      <c r="M27" s="38">
        <v>5289.3724227804496</v>
      </c>
      <c r="N27" s="38">
        <v>5877.0804697560598</v>
      </c>
    </row>
    <row r="28" spans="1:14" outlineLevel="1" x14ac:dyDescent="0.25">
      <c r="A28" s="7" t="str">
        <f>Model!N25</f>
        <v>Bortkølet varme</v>
      </c>
      <c r="B28" s="43"/>
      <c r="C28" s="43" t="s">
        <v>190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</row>
    <row r="29" spans="1:14" outlineLevel="1" x14ac:dyDescent="0.25">
      <c r="A29" s="7" t="str">
        <f>Model!N26</f>
        <v>Leveret varme</v>
      </c>
      <c r="B29" s="43"/>
      <c r="C29" s="43" t="s">
        <v>191</v>
      </c>
      <c r="D29" s="38">
        <v>29388</v>
      </c>
      <c r="E29" s="38">
        <v>24366</v>
      </c>
      <c r="F29" s="38">
        <v>24924</v>
      </c>
      <c r="G29" s="38">
        <v>25482</v>
      </c>
      <c r="H29" s="38">
        <v>26040</v>
      </c>
      <c r="I29" s="38">
        <v>26598</v>
      </c>
      <c r="J29" s="38">
        <v>27156</v>
      </c>
      <c r="K29" s="38">
        <v>27714</v>
      </c>
      <c r="L29" s="38">
        <v>28272</v>
      </c>
      <c r="M29" s="38">
        <v>28830</v>
      </c>
      <c r="N29" s="38">
        <v>29388</v>
      </c>
    </row>
    <row r="30" spans="1:14" outlineLevel="1" x14ac:dyDescent="0.25">
      <c r="A30" s="7" t="str">
        <f>Model!N27</f>
        <v>Spidslastvarme</v>
      </c>
      <c r="B30" s="43"/>
      <c r="C30" s="43" t="s">
        <v>192</v>
      </c>
      <c r="D30" s="38">
        <v>5612</v>
      </c>
      <c r="E30" s="38">
        <v>10634</v>
      </c>
      <c r="F30" s="38">
        <v>10076</v>
      </c>
      <c r="G30" s="38">
        <v>9518</v>
      </c>
      <c r="H30" s="38">
        <v>8960</v>
      </c>
      <c r="I30" s="38">
        <v>8402</v>
      </c>
      <c r="J30" s="38">
        <v>7844</v>
      </c>
      <c r="K30" s="38">
        <v>7286</v>
      </c>
      <c r="L30" s="38">
        <v>6728</v>
      </c>
      <c r="M30" s="38">
        <v>6170</v>
      </c>
      <c r="N30" s="38">
        <v>5612</v>
      </c>
    </row>
    <row r="31" spans="1:14" outlineLevel="1" x14ac:dyDescent="0.25">
      <c r="A31" s="7">
        <f>Model!N28</f>
        <v>0</v>
      </c>
      <c r="B31" s="43"/>
      <c r="C31" s="43" t="s">
        <v>193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4" outlineLevel="1" x14ac:dyDescent="0.25">
      <c r="A32" s="7" t="str">
        <f>Model!N29</f>
        <v>Brændselsmængder</v>
      </c>
      <c r="B32" s="43"/>
      <c r="C32" s="43" t="s">
        <v>194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outlineLevel="1" x14ac:dyDescent="0.25">
      <c r="A33" s="7" t="str">
        <f>Model!N30</f>
        <v>Affaldsforbrug Ovn3</v>
      </c>
      <c r="B33" s="43"/>
      <c r="C33" s="43" t="s">
        <v>195</v>
      </c>
      <c r="D33" s="38">
        <v>9006.456241033</v>
      </c>
      <c r="E33" s="38">
        <v>9006.456241033</v>
      </c>
      <c r="F33" s="38">
        <v>9006.456241033</v>
      </c>
      <c r="G33" s="38">
        <v>9006.456241033</v>
      </c>
      <c r="H33" s="38">
        <v>9006.456241033</v>
      </c>
      <c r="I33" s="38">
        <v>9006.456241033</v>
      </c>
      <c r="J33" s="38">
        <v>9006.456241033</v>
      </c>
      <c r="K33" s="38">
        <v>9006.456241033</v>
      </c>
      <c r="L33" s="38">
        <v>9006.456241033</v>
      </c>
      <c r="M33" s="38">
        <v>9006.456241033</v>
      </c>
      <c r="N33" s="38">
        <v>9006.456241033</v>
      </c>
    </row>
    <row r="34" spans="1:14" outlineLevel="1" x14ac:dyDescent="0.25">
      <c r="A34" s="7" t="str">
        <f>Model!N31</f>
        <v>Nordic Sugar varme</v>
      </c>
      <c r="B34" s="43"/>
      <c r="C34" s="43" t="s">
        <v>196</v>
      </c>
      <c r="D34" s="38">
        <v>4000</v>
      </c>
      <c r="E34" s="38">
        <v>4000</v>
      </c>
      <c r="F34" s="38">
        <v>4000</v>
      </c>
      <c r="G34" s="38">
        <v>4000</v>
      </c>
      <c r="H34" s="38">
        <v>4000</v>
      </c>
      <c r="I34" s="38">
        <v>4000</v>
      </c>
      <c r="J34" s="38">
        <v>4000</v>
      </c>
      <c r="K34" s="38">
        <v>4000</v>
      </c>
      <c r="L34" s="38">
        <v>4000</v>
      </c>
      <c r="M34" s="38">
        <v>4000</v>
      </c>
      <c r="N34" s="38">
        <v>4000</v>
      </c>
    </row>
    <row r="35" spans="1:14" outlineLevel="1" x14ac:dyDescent="0.25">
      <c r="A35" s="7" t="str">
        <f>Model!N32</f>
        <v>Affaldsforbrug Ovn2</v>
      </c>
      <c r="B35" s="43"/>
      <c r="C35" s="43" t="s">
        <v>197</v>
      </c>
      <c r="D35" s="38">
        <v>2955.6732645664902</v>
      </c>
      <c r="E35" s="38">
        <v>2955.6732645664902</v>
      </c>
      <c r="F35" s="38">
        <v>2955.6732645664902</v>
      </c>
      <c r="G35" s="38">
        <v>2955.6732645664902</v>
      </c>
      <c r="H35" s="38">
        <v>2955.6732645664902</v>
      </c>
      <c r="I35" s="38">
        <v>2955.6732645664902</v>
      </c>
      <c r="J35" s="38">
        <v>2955.6732645664902</v>
      </c>
      <c r="K35" s="38">
        <v>2955.6732645664902</v>
      </c>
      <c r="L35" s="38">
        <v>2955.6732645664902</v>
      </c>
      <c r="M35" s="38">
        <v>2955.6732645664902</v>
      </c>
      <c r="N35" s="38">
        <v>2955.6732645664902</v>
      </c>
    </row>
    <row r="36" spans="1:14" outlineLevel="1" x14ac:dyDescent="0.25">
      <c r="A36" s="7" t="str">
        <f>Model!N33</f>
        <v>Affaldsforbrug kølevarme Ovn3</v>
      </c>
      <c r="B36" s="43"/>
      <c r="C36" s="43" t="s">
        <v>198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</row>
    <row r="37" spans="1:14" outlineLevel="1" x14ac:dyDescent="0.25">
      <c r="A37" s="7" t="str">
        <f>Model!N34</f>
        <v>Affaldsforbrug kølevarme Ovn2</v>
      </c>
      <c r="B37" s="43"/>
      <c r="C37" s="43" t="s">
        <v>199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</row>
    <row r="38" spans="1:14" outlineLevel="1" x14ac:dyDescent="0.25">
      <c r="A38" s="7" t="str">
        <f>Model!N35</f>
        <v>Udnyttet affald</v>
      </c>
      <c r="B38" s="43"/>
      <c r="C38" s="43" t="s">
        <v>200</v>
      </c>
      <c r="D38" s="38">
        <v>11962.1295055995</v>
      </c>
      <c r="E38" s="38">
        <v>11962.1295055995</v>
      </c>
      <c r="F38" s="38">
        <v>11962.1295055995</v>
      </c>
      <c r="G38" s="38">
        <v>11962.1295055995</v>
      </c>
      <c r="H38" s="38">
        <v>11962.1295055995</v>
      </c>
      <c r="I38" s="38">
        <v>11962.1295055995</v>
      </c>
      <c r="J38" s="38">
        <v>11962.1295055995</v>
      </c>
      <c r="K38" s="38">
        <v>11962.1295055995</v>
      </c>
      <c r="L38" s="38">
        <v>11962.1295055995</v>
      </c>
      <c r="M38" s="38">
        <v>11962.1295055995</v>
      </c>
      <c r="N38" s="38">
        <v>11962.1295055995</v>
      </c>
    </row>
    <row r="39" spans="1:14" ht="15.75" outlineLevel="1" thickBot="1" x14ac:dyDescent="0.3">
      <c r="A39" s="7" t="str">
        <f>Model!N36</f>
        <v>Ikke-udnyttet affald</v>
      </c>
      <c r="B39" s="45"/>
      <c r="C39" s="45" t="s">
        <v>201</v>
      </c>
      <c r="D39" s="39">
        <v>37.870494400509401</v>
      </c>
      <c r="E39" s="39">
        <v>37.870494400509401</v>
      </c>
      <c r="F39" s="39">
        <v>37.870494400509401</v>
      </c>
      <c r="G39" s="39">
        <v>37.870494400509401</v>
      </c>
      <c r="H39" s="39">
        <v>37.870494400509401</v>
      </c>
      <c r="I39" s="39">
        <v>37.870494400509401</v>
      </c>
      <c r="J39" s="39">
        <v>37.870494400509401</v>
      </c>
      <c r="K39" s="39">
        <v>37.870494400509401</v>
      </c>
      <c r="L39" s="39">
        <v>37.870494400509898</v>
      </c>
      <c r="M39" s="39">
        <v>37.870494400509003</v>
      </c>
      <c r="N39" s="39">
        <v>37.870494400509401</v>
      </c>
    </row>
    <row r="40" spans="1:14" x14ac:dyDescent="0.25">
      <c r="B40" t="s">
        <v>217</v>
      </c>
    </row>
    <row r="41" spans="1:14" x14ac:dyDescent="0.25">
      <c r="B41" t="s">
        <v>218</v>
      </c>
    </row>
    <row r="42" spans="1:14" x14ac:dyDescent="0.25">
      <c r="B42" t="s">
        <v>219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D510920-6599-412A-9380-0323910B00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'Scenario 35 GWh'!E8:N8</xm:f>
              <xm:sqref>O8</xm:sqref>
            </x14:sparkline>
            <x14:sparkline>
              <xm:f>'Scenario 35 GWh'!E9:N9</xm:f>
              <xm:sqref>O9</xm:sqref>
            </x14:sparkline>
            <x14:sparkline>
              <xm:f>'Scenario 35 GWh'!E10:N10</xm:f>
              <xm:sqref>O10</xm:sqref>
            </x14:sparkline>
            <x14:sparkline>
              <xm:f>'Scenario 35 GWh'!E11:N11</xm:f>
              <xm:sqref>O11</xm:sqref>
            </x14:sparkline>
            <x14:sparkline>
              <xm:f>'Scenario 35 GWh'!E12:N12</xm:f>
              <xm:sqref>O12</xm:sqref>
            </x14:sparkline>
            <x14:sparkline>
              <xm:f>'Scenario 35 GWh'!E13:N13</xm:f>
              <xm:sqref>O13</xm:sqref>
            </x14:sparkline>
            <x14:sparkline>
              <xm:f>'Scenario 35 GWh'!E14:N14</xm:f>
              <xm:sqref>O14</xm:sqref>
            </x14:sparkline>
            <x14:sparkline>
              <xm:f>'Scenario 35 GWh'!E15:N15</xm:f>
              <xm:sqref>O15</xm:sqref>
            </x14:sparkline>
            <x14:sparkline>
              <xm:f>'Scenario 35 GWh'!E16:N16</xm:f>
              <xm:sqref>O16</xm:sqref>
            </x14:sparkline>
            <x14:sparkline>
              <xm:f>'Scenario 35 GWh'!E17:N17</xm:f>
              <xm:sqref>O17</xm:sqref>
            </x14:sparkline>
            <x14:sparkline>
              <xm:f>'Scenario 35 GWh'!E18:N18</xm:f>
              <xm:sqref>O18</xm:sqref>
            </x14:sparkline>
            <x14:sparkline>
              <xm:f>'Scenario 35 GWh'!E19:N19</xm:f>
              <xm:sqref>O19</xm:sqref>
            </x14:sparkline>
            <x14:sparkline>
              <xm:f>'Scenario 35 GWh'!E20:N20</xm:f>
              <xm:sqref>O20</xm:sqref>
            </x14:sparkline>
            <x14:sparkline>
              <xm:f>'Scenario 35 GWh'!E21:N21</xm:f>
              <xm:sqref>O21</xm:sqref>
            </x14:sparkline>
            <x14:sparkline>
              <xm:f>'Scenario 35 GWh'!E22:N22</xm:f>
              <xm:sqref>O22</xm:sqref>
            </x14:sparkline>
            <x14:sparkline>
              <xm:f>'Scenario 35 GWh'!E23:N23</xm:f>
              <xm:sqref>O23</xm:sqref>
            </x14:sparkline>
            <x14:sparkline>
              <xm:f>'Scenario 35 GWh'!E24:N24</xm:f>
              <xm:sqref>O24</xm:sqref>
            </x14:sparkline>
            <x14:sparkline>
              <xm:f>'Scenario 35 GWh'!E25:N25</xm:f>
              <xm:sqref>O25</xm:sqref>
            </x14:sparkline>
            <x14:sparkline>
              <xm:f>'Scenario 35 GWh'!E26:N26</xm:f>
              <xm:sqref>O26</xm:sqref>
            </x14:sparkline>
            <x14:sparkline>
              <xm:f>'Scenario 35 GWh'!E27:N27</xm:f>
              <xm:sqref>O27</xm:sqref>
            </x14:sparkline>
            <x14:sparkline>
              <xm:f>'Scenario 35 GWh'!E28:N28</xm:f>
              <xm:sqref>O28</xm:sqref>
            </x14:sparkline>
            <x14:sparkline>
              <xm:f>'Scenario 35 GWh'!E29:N29</xm:f>
              <xm:sqref>O29</xm:sqref>
            </x14:sparkline>
            <x14:sparkline>
              <xm:f>'Scenario 35 GWh'!E30:N30</xm:f>
              <xm:sqref>O30</xm:sqref>
            </x14:sparkline>
            <x14:sparkline>
              <xm:f>'Scenario 35 GWh'!E31:N31</xm:f>
              <xm:sqref>O31</xm:sqref>
            </x14:sparkline>
            <x14:sparkline>
              <xm:f>'Scenario 35 GWh'!E32:N32</xm:f>
              <xm:sqref>O32</xm:sqref>
            </x14:sparkline>
            <x14:sparkline>
              <xm:f>'Scenario 35 GWh'!E33:N33</xm:f>
              <xm:sqref>O33</xm:sqref>
            </x14:sparkline>
            <x14:sparkline>
              <xm:f>'Scenario 35 GWh'!E34:N34</xm:f>
              <xm:sqref>O34</xm:sqref>
            </x14:sparkline>
            <x14:sparkline>
              <xm:f>'Scenario 35 GWh'!E35:N35</xm:f>
              <xm:sqref>O35</xm:sqref>
            </x14:sparkline>
            <x14:sparkline>
              <xm:f>'Scenario 35 GWh'!E36:N36</xm:f>
              <xm:sqref>O36</xm:sqref>
            </x14:sparkline>
            <x14:sparkline>
              <xm:f>'Scenario 35 GWh'!E37:N37</xm:f>
              <xm:sqref>O37</xm:sqref>
            </x14:sparkline>
            <x14:sparkline>
              <xm:f>'Scenario 35 GWh'!E38:N38</xm:f>
              <xm:sqref>O38</xm:sqref>
            </x14:sparkline>
            <x14:sparkline>
              <xm:f>'Scenario 35 GWh'!E39:N39</xm:f>
              <xm:sqref>O39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E2D-0C92-4631-B92C-FB0A81AF4228}">
  <dimension ref="C2:P30"/>
  <sheetViews>
    <sheetView workbookViewId="0">
      <selection activeCell="I13" sqref="I13"/>
    </sheetView>
    <sheetView workbookViewId="1"/>
  </sheetViews>
  <sheetFormatPr defaultRowHeight="15" x14ac:dyDescent="0.25"/>
  <cols>
    <col min="3" max="3" width="14.140625" bestFit="1" customWidth="1"/>
    <col min="6" max="6" width="14.140625" bestFit="1" customWidth="1"/>
    <col min="10" max="10" width="14.140625" bestFit="1" customWidth="1"/>
  </cols>
  <sheetData>
    <row r="2" spans="3:14" x14ac:dyDescent="0.25">
      <c r="C2" t="s">
        <v>98</v>
      </c>
      <c r="F2" t="s">
        <v>143</v>
      </c>
      <c r="M2" t="s">
        <v>60</v>
      </c>
      <c r="N2" t="s">
        <v>60</v>
      </c>
    </row>
    <row r="3" spans="3:14" x14ac:dyDescent="0.25">
      <c r="D3" t="s">
        <v>76</v>
      </c>
      <c r="G3" t="s">
        <v>1</v>
      </c>
      <c r="H3" t="s">
        <v>2</v>
      </c>
      <c r="K3" t="s">
        <v>99</v>
      </c>
      <c r="M3" t="s">
        <v>1</v>
      </c>
      <c r="N3" t="s">
        <v>2</v>
      </c>
    </row>
    <row r="4" spans="3:14" x14ac:dyDescent="0.25">
      <c r="C4" t="s">
        <v>77</v>
      </c>
      <c r="D4" s="16">
        <v>11400.2114002</v>
      </c>
      <c r="F4" t="s">
        <v>77</v>
      </c>
      <c r="G4" s="16">
        <v>1382.27949725194</v>
      </c>
      <c r="H4" s="16">
        <v>2526.36441138806</v>
      </c>
      <c r="J4" t="s">
        <v>77</v>
      </c>
      <c r="K4" s="17">
        <v>10.5</v>
      </c>
      <c r="M4" s="16">
        <f>G4*$K4/3.6</f>
        <v>4031.6485336514916</v>
      </c>
      <c r="N4" s="16">
        <f>H4*$K4/3.6</f>
        <v>7368.5628665485083</v>
      </c>
    </row>
    <row r="5" spans="3:14" x14ac:dyDescent="0.25">
      <c r="C5" t="s">
        <v>78</v>
      </c>
      <c r="D5" s="16">
        <v>0</v>
      </c>
      <c r="F5" t="s">
        <v>78</v>
      </c>
      <c r="G5" s="16">
        <v>0</v>
      </c>
      <c r="H5" s="16">
        <v>0</v>
      </c>
      <c r="J5" t="s">
        <v>78</v>
      </c>
      <c r="K5" s="17">
        <v>10.5</v>
      </c>
      <c r="M5" s="16">
        <f t="shared" ref="M5:M24" si="0">G5*$K5/3.6</f>
        <v>0</v>
      </c>
      <c r="N5" s="16">
        <f t="shared" ref="N5:N24" si="1">H5*$K5/3.6</f>
        <v>0</v>
      </c>
    </row>
    <row r="6" spans="3:14" x14ac:dyDescent="0.25">
      <c r="C6" t="s">
        <v>79</v>
      </c>
      <c r="D6" s="16">
        <v>0</v>
      </c>
      <c r="F6" t="s">
        <v>79</v>
      </c>
      <c r="G6" s="16">
        <v>0</v>
      </c>
      <c r="H6" s="16">
        <v>0</v>
      </c>
      <c r="J6" t="s">
        <v>79</v>
      </c>
      <c r="K6" s="17">
        <v>10.5</v>
      </c>
      <c r="M6" s="16">
        <f t="shared" si="0"/>
        <v>0</v>
      </c>
      <c r="N6" s="16">
        <f t="shared" si="1"/>
        <v>0</v>
      </c>
    </row>
    <row r="7" spans="3:14" x14ac:dyDescent="0.25">
      <c r="C7" t="s">
        <v>80</v>
      </c>
      <c r="D7" s="16">
        <v>6154.3428210033298</v>
      </c>
      <c r="F7" t="s">
        <v>80</v>
      </c>
      <c r="G7" s="16">
        <v>0</v>
      </c>
      <c r="H7" s="16">
        <v>2356.9823569800001</v>
      </c>
      <c r="J7" t="s">
        <v>80</v>
      </c>
      <c r="K7" s="17">
        <v>9.4</v>
      </c>
      <c r="M7" s="16">
        <f t="shared" si="0"/>
        <v>0</v>
      </c>
      <c r="N7" s="16">
        <f t="shared" si="1"/>
        <v>6154.3428210033335</v>
      </c>
    </row>
    <row r="8" spans="3:14" x14ac:dyDescent="0.25">
      <c r="C8" t="s">
        <v>81</v>
      </c>
      <c r="D8" s="16">
        <v>1276.2179428833299</v>
      </c>
      <c r="F8" t="s">
        <v>81</v>
      </c>
      <c r="G8" s="16">
        <v>437.56043756000003</v>
      </c>
      <c r="H8" s="16">
        <v>0</v>
      </c>
      <c r="J8" t="s">
        <v>81</v>
      </c>
      <c r="K8" s="17">
        <v>10.5</v>
      </c>
      <c r="M8" s="16">
        <f t="shared" si="0"/>
        <v>1276.2179428833335</v>
      </c>
      <c r="N8" s="16">
        <f t="shared" si="1"/>
        <v>0</v>
      </c>
    </row>
    <row r="9" spans="3:14" x14ac:dyDescent="0.25">
      <c r="C9" t="s">
        <v>82</v>
      </c>
      <c r="D9" s="16">
        <v>0</v>
      </c>
      <c r="F9" t="s">
        <v>82</v>
      </c>
      <c r="G9" s="16">
        <v>0</v>
      </c>
      <c r="H9" s="16">
        <v>0</v>
      </c>
      <c r="J9" t="s">
        <v>82</v>
      </c>
      <c r="K9" s="17">
        <v>14.5</v>
      </c>
      <c r="M9" s="16">
        <f t="shared" si="0"/>
        <v>0</v>
      </c>
      <c r="N9" s="16">
        <f t="shared" si="1"/>
        <v>0</v>
      </c>
    </row>
    <row r="10" spans="3:14" x14ac:dyDescent="0.25">
      <c r="C10" t="s">
        <v>83</v>
      </c>
      <c r="D10" s="16">
        <v>972.20097220000002</v>
      </c>
      <c r="F10" t="s">
        <v>83</v>
      </c>
      <c r="G10" s="16">
        <v>291.66029165999998</v>
      </c>
      <c r="H10" s="16">
        <v>0</v>
      </c>
      <c r="J10" t="s">
        <v>83</v>
      </c>
      <c r="K10" s="17">
        <v>12</v>
      </c>
      <c r="M10" s="16">
        <f t="shared" si="0"/>
        <v>972.20097219999991</v>
      </c>
      <c r="N10" s="16">
        <f t="shared" si="1"/>
        <v>0</v>
      </c>
    </row>
    <row r="11" spans="3:14" x14ac:dyDescent="0.25">
      <c r="C11" t="s">
        <v>84</v>
      </c>
      <c r="D11" s="16">
        <v>15.375015375</v>
      </c>
      <c r="F11" t="s">
        <v>84</v>
      </c>
      <c r="G11" s="16">
        <v>6.1500061500000003</v>
      </c>
      <c r="H11" s="16">
        <v>0</v>
      </c>
      <c r="J11" t="s">
        <v>84</v>
      </c>
      <c r="K11" s="17">
        <v>9</v>
      </c>
      <c r="M11" s="16">
        <f t="shared" si="0"/>
        <v>15.375015375</v>
      </c>
      <c r="N11" s="16">
        <f t="shared" si="1"/>
        <v>0</v>
      </c>
    </row>
    <row r="12" spans="3:14" x14ac:dyDescent="0.25">
      <c r="C12" t="s">
        <v>85</v>
      </c>
      <c r="D12" s="16">
        <v>785.27856305555599</v>
      </c>
      <c r="F12" t="s">
        <v>85</v>
      </c>
      <c r="G12" s="16">
        <v>257.00025699999998</v>
      </c>
      <c r="H12" s="16">
        <v>0</v>
      </c>
      <c r="J12" t="s">
        <v>85</v>
      </c>
      <c r="K12" s="17">
        <v>11</v>
      </c>
      <c r="M12" s="16">
        <f t="shared" si="0"/>
        <v>785.27856305555542</v>
      </c>
      <c r="N12" s="16">
        <f t="shared" si="1"/>
        <v>0</v>
      </c>
    </row>
    <row r="13" spans="3:14" x14ac:dyDescent="0.25">
      <c r="C13" t="s">
        <v>86</v>
      </c>
      <c r="D13" s="16">
        <v>60.1667268333333</v>
      </c>
      <c r="F13" t="s">
        <v>86</v>
      </c>
      <c r="G13" s="16">
        <v>22.800022800000001</v>
      </c>
      <c r="H13" s="16">
        <v>0</v>
      </c>
      <c r="J13" t="s">
        <v>86</v>
      </c>
      <c r="K13" s="17">
        <v>9.5</v>
      </c>
      <c r="M13" s="16">
        <f t="shared" si="0"/>
        <v>60.166726833333335</v>
      </c>
      <c r="N13" s="16">
        <f t="shared" si="1"/>
        <v>0</v>
      </c>
    </row>
    <row r="14" spans="3:14" x14ac:dyDescent="0.25">
      <c r="C14" t="s">
        <v>87</v>
      </c>
      <c r="D14" s="16">
        <v>2540.00254</v>
      </c>
      <c r="F14" t="s">
        <v>87</v>
      </c>
      <c r="G14" s="16">
        <v>0</v>
      </c>
      <c r="H14" s="16">
        <v>1016.001016</v>
      </c>
      <c r="J14" t="s">
        <v>87</v>
      </c>
      <c r="K14" s="17">
        <v>9</v>
      </c>
      <c r="M14" s="16">
        <f t="shared" si="0"/>
        <v>0</v>
      </c>
      <c r="N14" s="16">
        <f t="shared" si="1"/>
        <v>2540.00254</v>
      </c>
    </row>
    <row r="15" spans="3:14" x14ac:dyDescent="0.25">
      <c r="C15" t="s">
        <v>88</v>
      </c>
      <c r="D15" s="16">
        <v>45.100045100000003</v>
      </c>
      <c r="F15" t="s">
        <v>88</v>
      </c>
      <c r="G15" s="16">
        <v>0</v>
      </c>
      <c r="H15" s="16">
        <v>13.53001353</v>
      </c>
      <c r="J15" t="s">
        <v>88</v>
      </c>
      <c r="K15" s="17">
        <v>12</v>
      </c>
      <c r="M15" s="16">
        <f t="shared" si="0"/>
        <v>0</v>
      </c>
      <c r="N15" s="16">
        <f t="shared" si="1"/>
        <v>45.100045100000003</v>
      </c>
    </row>
    <row r="16" spans="3:14" x14ac:dyDescent="0.25">
      <c r="C16" t="s">
        <v>89</v>
      </c>
      <c r="D16" s="16">
        <v>18.861129972222201</v>
      </c>
      <c r="F16" t="s">
        <v>89</v>
      </c>
      <c r="G16" s="16">
        <v>6.7900067899999996</v>
      </c>
      <c r="H16" s="16">
        <v>0</v>
      </c>
      <c r="J16" t="s">
        <v>89</v>
      </c>
      <c r="K16" s="17">
        <v>10</v>
      </c>
      <c r="M16" s="16">
        <f t="shared" si="0"/>
        <v>18.861129972222219</v>
      </c>
      <c r="N16" s="16">
        <f t="shared" si="1"/>
        <v>0</v>
      </c>
    </row>
    <row r="17" spans="3:16" x14ac:dyDescent="0.25">
      <c r="C17" t="s">
        <v>90</v>
      </c>
      <c r="D17" s="16">
        <v>0</v>
      </c>
      <c r="F17" t="s">
        <v>90</v>
      </c>
      <c r="G17" s="16">
        <v>0</v>
      </c>
      <c r="H17" s="16">
        <v>0</v>
      </c>
      <c r="J17" t="s">
        <v>90</v>
      </c>
      <c r="K17" s="17">
        <v>11</v>
      </c>
      <c r="M17" s="16">
        <f t="shared" si="0"/>
        <v>0</v>
      </c>
      <c r="N17" s="16">
        <f t="shared" si="1"/>
        <v>0</v>
      </c>
    </row>
    <row r="18" spans="3:16" x14ac:dyDescent="0.25">
      <c r="C18" t="s">
        <v>91</v>
      </c>
      <c r="D18" s="16">
        <v>9410.2844102750005</v>
      </c>
      <c r="F18" t="s">
        <v>91</v>
      </c>
      <c r="G18" s="16">
        <v>0</v>
      </c>
      <c r="H18" s="16">
        <v>3226.38322638</v>
      </c>
      <c r="J18" t="s">
        <v>91</v>
      </c>
      <c r="K18" s="17">
        <v>10.5</v>
      </c>
      <c r="M18" s="16">
        <f t="shared" si="0"/>
        <v>0</v>
      </c>
      <c r="N18" s="16">
        <f t="shared" si="1"/>
        <v>9410.2844102750005</v>
      </c>
    </row>
    <row r="19" spans="3:16" x14ac:dyDescent="0.25">
      <c r="C19" t="s">
        <v>92</v>
      </c>
      <c r="D19" s="16">
        <v>0</v>
      </c>
      <c r="F19" t="s">
        <v>92</v>
      </c>
      <c r="G19" s="16">
        <v>0</v>
      </c>
      <c r="H19" s="16">
        <v>0</v>
      </c>
      <c r="J19" t="s">
        <v>92</v>
      </c>
      <c r="K19" s="17">
        <v>10.5</v>
      </c>
      <c r="M19" s="16">
        <f t="shared" si="0"/>
        <v>0</v>
      </c>
      <c r="N19" s="16">
        <f t="shared" si="1"/>
        <v>0</v>
      </c>
    </row>
    <row r="20" spans="3:16" x14ac:dyDescent="0.25">
      <c r="C20" t="s">
        <v>93</v>
      </c>
      <c r="D20" s="16">
        <v>0</v>
      </c>
      <c r="F20" t="s">
        <v>93</v>
      </c>
      <c r="G20" s="16">
        <v>0</v>
      </c>
      <c r="H20" s="16">
        <v>0</v>
      </c>
      <c r="J20" t="s">
        <v>93</v>
      </c>
      <c r="K20" s="17">
        <v>13</v>
      </c>
      <c r="M20" s="16">
        <f t="shared" si="0"/>
        <v>0</v>
      </c>
      <c r="N20" s="16">
        <f t="shared" si="1"/>
        <v>0</v>
      </c>
    </row>
    <row r="21" spans="3:16" x14ac:dyDescent="0.25">
      <c r="C21" t="s">
        <v>94</v>
      </c>
      <c r="D21" s="16">
        <v>231.59745381944401</v>
      </c>
      <c r="F21" t="s">
        <v>94</v>
      </c>
      <c r="G21" s="16">
        <v>57.500057499999997</v>
      </c>
      <c r="H21" s="16">
        <v>0</v>
      </c>
      <c r="J21" t="s">
        <v>94</v>
      </c>
      <c r="K21" s="17">
        <v>14.5</v>
      </c>
      <c r="M21" s="16">
        <f t="shared" si="0"/>
        <v>231.59745381944444</v>
      </c>
      <c r="N21" s="16">
        <f t="shared" si="1"/>
        <v>0</v>
      </c>
    </row>
    <row r="22" spans="3:16" x14ac:dyDescent="0.25">
      <c r="C22" t="s">
        <v>95</v>
      </c>
      <c r="D22" s="16">
        <v>0</v>
      </c>
      <c r="F22" t="s">
        <v>95</v>
      </c>
      <c r="G22" s="16">
        <v>0</v>
      </c>
      <c r="H22" s="16">
        <v>0</v>
      </c>
      <c r="J22" t="s">
        <v>95</v>
      </c>
      <c r="K22" s="17">
        <v>14.7</v>
      </c>
      <c r="M22" s="16">
        <f t="shared" si="0"/>
        <v>0</v>
      </c>
      <c r="N22" s="16">
        <f t="shared" si="1"/>
        <v>0</v>
      </c>
    </row>
    <row r="23" spans="3:16" x14ac:dyDescent="0.25">
      <c r="C23" t="s">
        <v>96</v>
      </c>
      <c r="D23" s="16">
        <v>41.300041299999997</v>
      </c>
      <c r="F23" t="s">
        <v>96</v>
      </c>
      <c r="G23" s="16">
        <v>10.62001062</v>
      </c>
      <c r="H23" s="16">
        <v>0</v>
      </c>
      <c r="J23" t="s">
        <v>96</v>
      </c>
      <c r="K23" s="17">
        <v>14</v>
      </c>
      <c r="M23" s="16">
        <f t="shared" si="0"/>
        <v>41.300041299999997</v>
      </c>
      <c r="N23" s="16">
        <f t="shared" si="1"/>
        <v>0</v>
      </c>
    </row>
    <row r="24" spans="3:16" x14ac:dyDescent="0.25">
      <c r="C24" t="s">
        <v>97</v>
      </c>
      <c r="D24" s="16">
        <v>37.975037974999999</v>
      </c>
      <c r="F24" t="s">
        <v>97</v>
      </c>
      <c r="G24" s="16">
        <v>15.19001519</v>
      </c>
      <c r="H24" s="16">
        <v>0</v>
      </c>
      <c r="J24" t="s">
        <v>97</v>
      </c>
      <c r="K24" s="17">
        <v>9</v>
      </c>
      <c r="M24" s="16">
        <f t="shared" si="0"/>
        <v>37.975037974999999</v>
      </c>
      <c r="N24" s="16">
        <f t="shared" si="1"/>
        <v>0</v>
      </c>
    </row>
    <row r="25" spans="3:16" x14ac:dyDescent="0.25">
      <c r="D25" s="16">
        <f>SUM(D4:D24)</f>
        <v>32988.914099992209</v>
      </c>
      <c r="K25" s="16"/>
      <c r="L25" t="s">
        <v>102</v>
      </c>
      <c r="M25" s="16">
        <f>SUM(M4:M24)</f>
        <v>7470.6214170653802</v>
      </c>
      <c r="N25" s="16">
        <f>SUM(N4:N24)</f>
        <v>25518.29268292684</v>
      </c>
    </row>
    <row r="26" spans="3:16" x14ac:dyDescent="0.25">
      <c r="C26" s="1"/>
      <c r="D26">
        <f>C26*D25</f>
        <v>0</v>
      </c>
    </row>
    <row r="27" spans="3:16" x14ac:dyDescent="0.25">
      <c r="L27" t="s">
        <v>101</v>
      </c>
      <c r="M27" s="16">
        <f>M25*0.844</f>
        <v>6305.2044760031804</v>
      </c>
      <c r="N27" s="16">
        <f>N25*0.656</f>
        <v>16740.000000000007</v>
      </c>
    </row>
    <row r="28" spans="3:16" x14ac:dyDescent="0.25">
      <c r="D28" s="16">
        <f>SUMPRODUCT(G4:G24,K4:K24)+SUMPRODUCT(H4:H24,K4:K24)</f>
        <v>118760.09075997199</v>
      </c>
      <c r="E28" t="s">
        <v>103</v>
      </c>
    </row>
    <row r="29" spans="3:16" x14ac:dyDescent="0.25">
      <c r="D29" s="13">
        <f>D28/SUM(G4:H24)</f>
        <v>10.214329996215641</v>
      </c>
      <c r="E29" t="s">
        <v>35</v>
      </c>
      <c r="M29" t="s">
        <v>1</v>
      </c>
      <c r="N29" t="s">
        <v>2</v>
      </c>
      <c r="O29" t="s">
        <v>25</v>
      </c>
      <c r="P29" t="s">
        <v>100</v>
      </c>
    </row>
    <row r="30" spans="3:16" x14ac:dyDescent="0.25">
      <c r="L30" t="s">
        <v>76</v>
      </c>
      <c r="M30" s="16">
        <v>6305.2044760031904</v>
      </c>
      <c r="N30" s="16">
        <v>16740</v>
      </c>
      <c r="O30" s="16">
        <v>4000</v>
      </c>
      <c r="P30" s="16">
        <v>1069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SolverRepos</vt:lpstr>
      <vt:lpstr>Model</vt:lpstr>
      <vt:lpstr>Scenario 7 GWh</vt:lpstr>
      <vt:lpstr>Scenario 28 GWh</vt:lpstr>
      <vt:lpstr>Scenario 35 GWh</vt:lpstr>
      <vt:lpstr>Affald2021</vt:lpstr>
      <vt:lpstr>AFV</vt:lpstr>
      <vt:lpstr>AndelAffald</vt:lpstr>
      <vt:lpstr>AndelBioaffald</vt:lpstr>
      <vt:lpstr>ATL</vt:lpstr>
      <vt:lpstr>BioAffaldTonnage</vt:lpstr>
      <vt:lpstr>BioTonnage</vt:lpstr>
      <vt:lpstr>CO2afgift</vt:lpstr>
      <vt:lpstr>CO2indholdAfgift</vt:lpstr>
      <vt:lpstr>CO2indholdKvote</vt:lpstr>
      <vt:lpstr>DBmedRGK</vt:lpstr>
      <vt:lpstr>DBudenRGK</vt:lpstr>
      <vt:lpstr>Elpris</vt:lpstr>
      <vt:lpstr>ElprodTarif</vt:lpstr>
      <vt:lpstr>ENSkvoteLHV</vt:lpstr>
      <vt:lpstr>EtaE</vt:lpstr>
      <vt:lpstr>EtaQmaxOvn2</vt:lpstr>
      <vt:lpstr>EtaQmaxOvn3</vt:lpstr>
      <vt:lpstr>EtaQNomOvn2</vt:lpstr>
      <vt:lpstr>EtaQNomOvn3</vt:lpstr>
      <vt:lpstr>EtaRgkOvn2</vt:lpstr>
      <vt:lpstr>EtaRgkOvn3</vt:lpstr>
      <vt:lpstr>Ftotal</vt:lpstr>
      <vt:lpstr>Htotal</vt:lpstr>
      <vt:lpstr>KapQcool</vt:lpstr>
      <vt:lpstr>KapQnomOvn2</vt:lpstr>
      <vt:lpstr>KapQnomOvn3</vt:lpstr>
      <vt:lpstr>Kvotepris</vt:lpstr>
      <vt:lpstr>LHVaffald</vt:lpstr>
      <vt:lpstr>LHVbioaffald</vt:lpstr>
      <vt:lpstr>NSvarme</vt:lpstr>
      <vt:lpstr>Qdemand</vt:lpstr>
      <vt:lpstr>RGKudnyttelse</vt:lpstr>
      <vt:lpstr>Varmesalgspris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Mogens Bech Laursen</dc:creator>
  <cp:lastModifiedBy>Mogens Bech Laursen</cp:lastModifiedBy>
  <dcterms:created xsi:type="dcterms:W3CDTF">2022-03-13T11:17:09Z</dcterms:created>
  <dcterms:modified xsi:type="dcterms:W3CDTF">2022-03-16T09:13:18Z</dcterms:modified>
</cp:coreProperties>
</file>