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Matchup_Spreadsheets/"/>
    </mc:Choice>
  </mc:AlternateContent>
  <xr:revisionPtr revIDLastSave="0" documentId="13_ncr:1_{F588F485-564F-F544-BE52-D39A4C99EF48}" xr6:coauthVersionLast="45" xr6:coauthVersionMax="45" xr10:uidLastSave="{00000000-0000-0000-0000-000000000000}"/>
  <bookViews>
    <workbookView xWindow="-38400" yWindow="0" windowWidth="38400" windowHeight="21600" xr2:uid="{ABC37DFC-0D0C-E547-A0D4-747318560E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5" i="1" l="1"/>
  <c r="AD35" i="1"/>
  <c r="AE21" i="1"/>
  <c r="AE20" i="1"/>
  <c r="AE18" i="1"/>
  <c r="AE16" i="1"/>
  <c r="AE15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D26" i="1"/>
  <c r="AE25" i="1"/>
  <c r="AD25" i="1"/>
  <c r="AE33" i="1"/>
  <c r="AE24" i="1"/>
  <c r="AD24" i="1"/>
  <c r="AE34" i="1"/>
  <c r="AD16" i="1"/>
  <c r="AD18" i="1"/>
  <c r="AD4" i="1"/>
  <c r="AD14" i="1"/>
  <c r="AD3" i="1"/>
  <c r="AD10" i="1"/>
  <c r="AD2" i="1"/>
  <c r="AD21" i="1"/>
  <c r="AD20" i="1"/>
  <c r="AD13" i="1"/>
  <c r="AD5" i="1"/>
  <c r="AD7" i="1"/>
  <c r="AD17" i="1"/>
  <c r="AD6" i="1"/>
  <c r="AD8" i="1"/>
  <c r="AD19" i="1"/>
  <c r="AD11" i="1"/>
  <c r="AD12" i="1"/>
  <c r="AD15" i="1"/>
  <c r="AD9" i="1"/>
  <c r="S14" i="1" l="1"/>
  <c r="S20" i="1"/>
  <c r="S25" i="1"/>
  <c r="S3" i="1"/>
  <c r="S23" i="1"/>
  <c r="S18" i="1"/>
  <c r="S16" i="1"/>
  <c r="S2" i="1"/>
  <c r="S24" i="1"/>
  <c r="S29" i="1"/>
  <c r="S13" i="1"/>
  <c r="S26" i="1"/>
  <c r="S31" i="1"/>
  <c r="S4" i="1"/>
  <c r="S10" i="1"/>
  <c r="S21" i="1"/>
  <c r="S30" i="1"/>
  <c r="T3" i="1" l="1"/>
  <c r="U3" i="1" s="1"/>
  <c r="Z3" i="1"/>
  <c r="AA3" i="1" s="1"/>
  <c r="X3" i="1"/>
  <c r="Y3" i="1" s="1"/>
  <c r="V3" i="1"/>
  <c r="W3" i="1" s="1"/>
  <c r="T25" i="1"/>
  <c r="U25" i="1" s="1"/>
  <c r="Z25" i="1"/>
  <c r="AA25" i="1" s="1"/>
  <c r="X25" i="1"/>
  <c r="Y25" i="1" s="1"/>
  <c r="V25" i="1"/>
  <c r="W25" i="1" s="1"/>
  <c r="X31" i="1"/>
  <c r="Y31" i="1" s="1"/>
  <c r="V31" i="1"/>
  <c r="W31" i="1" s="1"/>
  <c r="T31" i="1"/>
  <c r="U31" i="1" s="1"/>
  <c r="Z31" i="1"/>
  <c r="AA31" i="1" s="1"/>
  <c r="X21" i="1"/>
  <c r="Y21" i="1" s="1"/>
  <c r="V21" i="1"/>
  <c r="W21" i="1" s="1"/>
  <c r="Z21" i="1"/>
  <c r="AA21" i="1" s="1"/>
  <c r="T21" i="1"/>
  <c r="U21" i="1" s="1"/>
  <c r="Z26" i="1"/>
  <c r="AA26" i="1" s="1"/>
  <c r="X26" i="1"/>
  <c r="Y26" i="1" s="1"/>
  <c r="V26" i="1"/>
  <c r="W26" i="1" s="1"/>
  <c r="T26" i="1"/>
  <c r="U26" i="1" s="1"/>
  <c r="X2" i="1"/>
  <c r="Y2" i="1" s="1"/>
  <c r="T2" i="1"/>
  <c r="U2" i="1" s="1"/>
  <c r="V2" i="1"/>
  <c r="W2" i="1" s="1"/>
  <c r="Z2" i="1"/>
  <c r="AA2" i="1" s="1"/>
  <c r="V10" i="1"/>
  <c r="W10" i="1" s="1"/>
  <c r="T10" i="1"/>
  <c r="U10" i="1" s="1"/>
  <c r="Z10" i="1"/>
  <c r="AA10" i="1" s="1"/>
  <c r="X10" i="1"/>
  <c r="Y10" i="1" s="1"/>
  <c r="X13" i="1"/>
  <c r="Y13" i="1" s="1"/>
  <c r="V13" i="1"/>
  <c r="W13" i="1" s="1"/>
  <c r="T13" i="1"/>
  <c r="U13" i="1" s="1"/>
  <c r="Z13" i="1"/>
  <c r="AA13" i="1" s="1"/>
  <c r="Z16" i="1"/>
  <c r="AA16" i="1" s="1"/>
  <c r="X16" i="1"/>
  <c r="Y16" i="1" s="1"/>
  <c r="V16" i="1"/>
  <c r="W16" i="1" s="1"/>
  <c r="T16" i="1"/>
  <c r="U16" i="1" s="1"/>
  <c r="Z4" i="1"/>
  <c r="AA4" i="1" s="1"/>
  <c r="X4" i="1"/>
  <c r="Y4" i="1" s="1"/>
  <c r="V4" i="1"/>
  <c r="W4" i="1" s="1"/>
  <c r="T4" i="1"/>
  <c r="U4" i="1" s="1"/>
  <c r="T29" i="1"/>
  <c r="U29" i="1" s="1"/>
  <c r="Z29" i="1"/>
  <c r="AA29" i="1" s="1"/>
  <c r="X29" i="1"/>
  <c r="Y29" i="1" s="1"/>
  <c r="V29" i="1"/>
  <c r="W29" i="1" s="1"/>
  <c r="V18" i="1"/>
  <c r="W18" i="1" s="1"/>
  <c r="T18" i="1"/>
  <c r="U18" i="1" s="1"/>
  <c r="Z18" i="1"/>
  <c r="AA18" i="1" s="1"/>
  <c r="X18" i="1"/>
  <c r="Y18" i="1" s="1"/>
  <c r="Z20" i="1"/>
  <c r="AA20" i="1" s="1"/>
  <c r="X20" i="1"/>
  <c r="Y20" i="1" s="1"/>
  <c r="V20" i="1"/>
  <c r="W20" i="1" s="1"/>
  <c r="T20" i="1"/>
  <c r="U20" i="1" s="1"/>
  <c r="Z30" i="1"/>
  <c r="AA30" i="1" s="1"/>
  <c r="X30" i="1"/>
  <c r="Y30" i="1" s="1"/>
  <c r="V30" i="1"/>
  <c r="W30" i="1" s="1"/>
  <c r="T30" i="1"/>
  <c r="U30" i="1" s="1"/>
  <c r="V24" i="1"/>
  <c r="W24" i="1" s="1"/>
  <c r="T24" i="1"/>
  <c r="U24" i="1" s="1"/>
  <c r="Z24" i="1"/>
  <c r="AA24" i="1" s="1"/>
  <c r="X24" i="1"/>
  <c r="Y24" i="1" s="1"/>
  <c r="V23" i="1"/>
  <c r="W23" i="1" s="1"/>
  <c r="T23" i="1"/>
  <c r="U23" i="1" s="1"/>
  <c r="Z23" i="1"/>
  <c r="AA23" i="1" s="1"/>
  <c r="X23" i="1"/>
  <c r="Y23" i="1" s="1"/>
  <c r="V14" i="1"/>
  <c r="W14" i="1" s="1"/>
  <c r="T14" i="1"/>
  <c r="U14" i="1" s="1"/>
  <c r="Z14" i="1"/>
  <c r="AA14" i="1" s="1"/>
  <c r="X14" i="1"/>
  <c r="Y14" i="1" s="1"/>
  <c r="S11" i="1"/>
  <c r="S17" i="1"/>
  <c r="S5" i="1"/>
  <c r="S27" i="1"/>
  <c r="S7" i="1"/>
  <c r="S19" i="1"/>
  <c r="S35" i="1"/>
  <c r="S15" i="1"/>
  <c r="S32" i="1"/>
  <c r="S6" i="1"/>
  <c r="S34" i="1"/>
  <c r="S12" i="1"/>
  <c r="S28" i="1"/>
  <c r="S8" i="1"/>
  <c r="S33" i="1"/>
  <c r="S9" i="1"/>
  <c r="S22" i="1"/>
  <c r="X9" i="1" l="1"/>
  <c r="Y9" i="1" s="1"/>
  <c r="V9" i="1"/>
  <c r="W9" i="1" s="1"/>
  <c r="T9" i="1"/>
  <c r="U9" i="1" s="1"/>
  <c r="Z9" i="1"/>
  <c r="AA9" i="1" s="1"/>
  <c r="Z34" i="1"/>
  <c r="AA34" i="1" s="1"/>
  <c r="X34" i="1"/>
  <c r="Y34" i="1" s="1"/>
  <c r="V34" i="1"/>
  <c r="W34" i="1" s="1"/>
  <c r="T34" i="1"/>
  <c r="U34" i="1" s="1"/>
  <c r="Z12" i="1"/>
  <c r="AA12" i="1" s="1"/>
  <c r="X12" i="1"/>
  <c r="Y12" i="1" s="1"/>
  <c r="V12" i="1"/>
  <c r="W12" i="1" s="1"/>
  <c r="T12" i="1"/>
  <c r="U12" i="1" s="1"/>
  <c r="T33" i="1"/>
  <c r="U33" i="1" s="1"/>
  <c r="Z33" i="1"/>
  <c r="AA33" i="1" s="1"/>
  <c r="X33" i="1"/>
  <c r="Y33" i="1" s="1"/>
  <c r="V33" i="1"/>
  <c r="W33" i="1" s="1"/>
  <c r="X35" i="1"/>
  <c r="Y35" i="1" s="1"/>
  <c r="V35" i="1"/>
  <c r="W35" i="1" s="1"/>
  <c r="T35" i="1"/>
  <c r="U35" i="1" s="1"/>
  <c r="Z35" i="1"/>
  <c r="AA35" i="1" s="1"/>
  <c r="Z5" i="1"/>
  <c r="AA5" i="1" s="1"/>
  <c r="X5" i="1"/>
  <c r="Y5" i="1" s="1"/>
  <c r="T5" i="1"/>
  <c r="U5" i="1" s="1"/>
  <c r="V5" i="1"/>
  <c r="W5" i="1" s="1"/>
  <c r="Z8" i="1"/>
  <c r="AA8" i="1" s="1"/>
  <c r="X8" i="1"/>
  <c r="Y8" i="1" s="1"/>
  <c r="V8" i="1"/>
  <c r="W8" i="1" s="1"/>
  <c r="T8" i="1"/>
  <c r="U8" i="1" s="1"/>
  <c r="T19" i="1"/>
  <c r="U19" i="1" s="1"/>
  <c r="Z19" i="1"/>
  <c r="AA19" i="1" s="1"/>
  <c r="X19" i="1"/>
  <c r="Y19" i="1" s="1"/>
  <c r="V19" i="1"/>
  <c r="W19" i="1" s="1"/>
  <c r="T15" i="1"/>
  <c r="U15" i="1" s="1"/>
  <c r="Z15" i="1"/>
  <c r="AA15" i="1" s="1"/>
  <c r="X15" i="1"/>
  <c r="Y15" i="1" s="1"/>
  <c r="V15" i="1"/>
  <c r="W15" i="1" s="1"/>
  <c r="X27" i="1"/>
  <c r="Y27" i="1" s="1"/>
  <c r="V27" i="1"/>
  <c r="W27" i="1" s="1"/>
  <c r="T27" i="1"/>
  <c r="U27" i="1" s="1"/>
  <c r="Z27" i="1"/>
  <c r="AA27" i="1" s="1"/>
  <c r="V6" i="1"/>
  <c r="W6" i="1" s="1"/>
  <c r="T6" i="1"/>
  <c r="U6" i="1" s="1"/>
  <c r="Z6" i="1"/>
  <c r="AA6" i="1" s="1"/>
  <c r="X6" i="1"/>
  <c r="Y6" i="1" s="1"/>
  <c r="X17" i="1"/>
  <c r="Y17" i="1" s="1"/>
  <c r="T17" i="1"/>
  <c r="U17" i="1" s="1"/>
  <c r="V17" i="1"/>
  <c r="W17" i="1" s="1"/>
  <c r="Z17" i="1"/>
  <c r="AA17" i="1" s="1"/>
  <c r="X22" i="1"/>
  <c r="Y22" i="1" s="1"/>
  <c r="V22" i="1"/>
  <c r="W22" i="1" s="1"/>
  <c r="Z22" i="1"/>
  <c r="AA22" i="1" s="1"/>
  <c r="T22" i="1"/>
  <c r="U22" i="1" s="1"/>
  <c r="V28" i="1"/>
  <c r="W28" i="1" s="1"/>
  <c r="T28" i="1"/>
  <c r="U28" i="1" s="1"/>
  <c r="Z28" i="1"/>
  <c r="AA28" i="1" s="1"/>
  <c r="X28" i="1"/>
  <c r="Y28" i="1" s="1"/>
  <c r="V32" i="1"/>
  <c r="W32" i="1" s="1"/>
  <c r="T32" i="1"/>
  <c r="U32" i="1" s="1"/>
  <c r="Z32" i="1"/>
  <c r="AA32" i="1" s="1"/>
  <c r="X32" i="1"/>
  <c r="Y32" i="1" s="1"/>
  <c r="T7" i="1"/>
  <c r="U7" i="1" s="1"/>
  <c r="Z7" i="1"/>
  <c r="AA7" i="1" s="1"/>
  <c r="X7" i="1"/>
  <c r="Y7" i="1" s="1"/>
  <c r="V7" i="1"/>
  <c r="W7" i="1" s="1"/>
  <c r="T11" i="1"/>
  <c r="U11" i="1" s="1"/>
  <c r="Z11" i="1"/>
  <c r="AA11" i="1" s="1"/>
  <c r="X11" i="1"/>
  <c r="Y11" i="1" s="1"/>
  <c r="V11" i="1"/>
  <c r="W11" i="1" s="1"/>
</calcChain>
</file>

<file path=xl/sharedStrings.xml><?xml version="1.0" encoding="utf-8"?>
<sst xmlns="http://schemas.openxmlformats.org/spreadsheetml/2006/main" count="154" uniqueCount="74">
  <si>
    <t>Pos</t>
  </si>
  <si>
    <t>Salary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</si>
  <si>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</si>
  <si>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</si>
  <si>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</si>
  <si>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</si>
  <si>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</si>
  <si>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</si>
  <si>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</si>
  <si>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</si>
  <si>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</si>
  <si>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</si>
  <si>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</si>
  <si>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</si>
  <si>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</si>
  <si>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</si>
  <si>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Fernando</t>
  </si>
  <si>
    <t>Player</t>
  </si>
  <si>
    <t>Team</t>
  </si>
  <si>
    <t>Team_Odds</t>
  </si>
  <si>
    <t>FPPG_w_Odds</t>
  </si>
  <si>
    <t>FPPG/$1000</t>
  </si>
  <si>
    <t>Floor_w_Odds</t>
  </si>
  <si>
    <t>Floor/$1000</t>
  </si>
  <si>
    <t>FPP90_w_Odds</t>
  </si>
  <si>
    <t>FPP90/$1000</t>
  </si>
  <si>
    <t>Floor90_w_Odds</t>
  </si>
  <si>
    <t>Floor90/$1000</t>
  </si>
  <si>
    <t>Goal_Odds</t>
  </si>
  <si>
    <t>Pts_w_GOdds</t>
  </si>
  <si>
    <t>Starting</t>
  </si>
  <si>
    <t>Samir Handanovic</t>
  </si>
  <si>
    <t>Diego Godin</t>
  </si>
  <si>
    <t>Roberto Gagliardini</t>
  </si>
  <si>
    <t>Stefan de Vrij</t>
  </si>
  <si>
    <t>Alexis Sanchez</t>
  </si>
  <si>
    <t>Romelu Lukaku</t>
  </si>
  <si>
    <t>Lautaro Martinez</t>
  </si>
  <si>
    <t>Victor Moses</t>
  </si>
  <si>
    <t>Ashley Young</t>
  </si>
  <si>
    <t>Borja Valero</t>
  </si>
  <si>
    <t>Nicolo Barella</t>
  </si>
  <si>
    <t>Christian Eriksen</t>
  </si>
  <si>
    <t>Danilo D'Ambrosio</t>
  </si>
  <si>
    <t>Cristiano Biraghi</t>
  </si>
  <si>
    <t>Marcelo Brozovic</t>
  </si>
  <si>
    <t>Antonio Candreva</t>
  </si>
  <si>
    <t>Alessandro Bastoni</t>
  </si>
  <si>
    <t>INT</t>
  </si>
  <si>
    <t>Joan Jordan</t>
  </si>
  <si>
    <t>Sergio Reguilon</t>
  </si>
  <si>
    <t>Franco Vazquez</t>
  </si>
  <si>
    <t>Oliver Torres</t>
  </si>
  <si>
    <t>Diego Carlos</t>
  </si>
  <si>
    <t>Luuk de Jong</t>
  </si>
  <si>
    <t>Nemanja Gudelj</t>
  </si>
  <si>
    <t>Jesus Navas</t>
  </si>
  <si>
    <t>Youssef En-Nesyri</t>
  </si>
  <si>
    <t>Suso</t>
  </si>
  <si>
    <t>Yassine Bounou</t>
  </si>
  <si>
    <t>Jules Kounde</t>
  </si>
  <si>
    <t>Munir El Haddadi</t>
  </si>
  <si>
    <t>Ever Banega</t>
  </si>
  <si>
    <t>Lucas Ocampos</t>
  </si>
  <si>
    <t>Sergi Gomez</t>
  </si>
  <si>
    <t>SEV</t>
  </si>
  <si>
    <t>Start_Mins</t>
  </si>
  <si>
    <t>M</t>
  </si>
  <si>
    <t>M/F</t>
  </si>
  <si>
    <t>D</t>
  </si>
  <si>
    <t>F</t>
  </si>
  <si>
    <t>GK</t>
  </si>
  <si>
    <t>y</t>
  </si>
  <si>
    <t>Sub_Mins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</si>
</sst>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C1C7-E0F9-D547-B90F-217BFE0B1EBA}">
  <dimension ref="A1:AF35"/>
  <sheetViews>
    <sheetView tabSelected="1" workbookViewId="0">
      <selection activeCell="AG28" sqref="AG28"/>
    </sheetView>
  </sheetViews>
  <sheetFormatPr baseColWidth="10" defaultRowHeight="16" x14ac:dyDescent="0.2"/>
  <cols>
    <col min="1" max="1" width="17.33203125" bestFit="1" customWidth="1"/>
    <col min="2" max="32" width="8.83203125" customWidth="1"/>
  </cols>
  <sheetData>
    <row r="1" spans="1:32" x14ac:dyDescent="0.2">
      <c r="A1" t="s">
        <v>17</v>
      </c>
      <c r="B1" t="s">
        <v>18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66</v>
      </c>
      <c r="AE1" t="s">
        <v>73</v>
      </c>
      <c r="AF1" t="s">
        <v>30</v>
      </c>
    </row>
    <row r="2" spans="1:32" x14ac:dyDescent="0.2">
      <c r="A2" t="s">
        <v>56</v>
      </c>
      <c r="B2" t="s">
        <v>65</v>
      </c>
      <c r="C2" t="s">
        <v>69</v>
      </c>
      <c r="D2">
        <v>6200</v>
      </c>
      <c r="E2" s="1">
        <v>5</v>
      </c>
      <c r="F2">
        <v>0</v>
      </c>
      <c r="G2">
        <v>1</v>
      </c>
      <c r="H2">
        <v>1</v>
      </c>
      <c r="I2">
        <v>0</v>
      </c>
      <c r="J2">
        <v>30</v>
      </c>
      <c r="K2">
        <v>7</v>
      </c>
      <c r="L2">
        <v>321</v>
      </c>
      <c r="M2">
        <v>3</v>
      </c>
      <c r="N2">
        <v>4</v>
      </c>
      <c r="O2">
        <v>3</v>
      </c>
      <c r="P2">
        <v>9</v>
      </c>
      <c r="Q2">
        <v>0</v>
      </c>
      <c r="R2">
        <v>0</v>
      </c>
      <c r="S2" s="1">
        <f>2/7</f>
        <v>0.2857142857142857</v>
      </c>
      <c r="T2" s="1">
        <f>(F2*10+G2*6+H2+I2+J2+8.7+K2+L2*0.02+M2-N2*0.5+O2+P2*0.5-Q2*1.5-R2*6)/5 + (S2-0/5)*10</f>
        <v>16.381142857142859</v>
      </c>
      <c r="U2" s="1">
        <f>T2/(D2/1000)</f>
        <v>2.6421198156682029</v>
      </c>
      <c r="V2" s="1">
        <f>(H2+I2+J2+8.7+K2+L2*0.02+M2-N2*0.5+O2+P2*0.5-Q2*1.5)/5 + (S2-0/5)*10</f>
        <v>15.181142857142859</v>
      </c>
      <c r="W2" s="1">
        <f>V2/(D2/1000)</f>
        <v>2.4485714285714288</v>
      </c>
      <c r="X2" s="1">
        <f>(F2*10+G2*6+H2+I2+J2+8.7+K2+L2*0.02+M2-N2*0.5+O2+P2*0.5-Q2*1.5-R2*6)/E2 + (S2-0/5)*10</f>
        <v>16.381142857142859</v>
      </c>
      <c r="Y2" s="1">
        <f>X2/(D2/1000)</f>
        <v>2.6421198156682029</v>
      </c>
      <c r="Z2" s="1">
        <f>(H2+I2+J2+8.7+K2+L2*0.02+M2-N2*0.5+O2+P2*0.5-Q2*1.5)/E2 + (S2-0/5)*10</f>
        <v>15.181142857142859</v>
      </c>
      <c r="AA2" s="1">
        <f>Z2/(D2/1000)</f>
        <v>2.4485714285714288</v>
      </c>
      <c r="AD2">
        <f>(90+90+90+90+90+90)/6</f>
        <v>90</v>
      </c>
      <c r="AF2" t="s">
        <v>72</v>
      </c>
    </row>
    <row r="3" spans="1:32" x14ac:dyDescent="0.2">
      <c r="A3" t="s">
        <v>60</v>
      </c>
      <c r="B3" t="s">
        <v>65</v>
      </c>
      <c r="C3" t="s">
        <v>69</v>
      </c>
      <c r="D3">
        <v>4600</v>
      </c>
      <c r="E3" s="1">
        <v>5</v>
      </c>
      <c r="F3">
        <v>0</v>
      </c>
      <c r="G3">
        <v>0</v>
      </c>
      <c r="H3">
        <v>5</v>
      </c>
      <c r="I3">
        <v>2</v>
      </c>
      <c r="J3">
        <v>0</v>
      </c>
      <c r="K3">
        <v>0</v>
      </c>
      <c r="L3">
        <v>288</v>
      </c>
      <c r="M3">
        <v>3</v>
      </c>
      <c r="N3">
        <v>3</v>
      </c>
      <c r="O3">
        <v>4</v>
      </c>
      <c r="P3">
        <v>9</v>
      </c>
      <c r="Q3">
        <v>1</v>
      </c>
      <c r="R3">
        <v>0</v>
      </c>
      <c r="S3" s="1">
        <f>2/7</f>
        <v>0.2857142857142857</v>
      </c>
      <c r="T3" s="1">
        <f>(F3*10+G3*6+H3+I3+J3+8.7+K3+L3*0.02+M3-N3*0.5+O3+P3*0.5-Q3*1.5-R3*6)/5 + (S3-0/5)*10</f>
        <v>8.8491428571428568</v>
      </c>
      <c r="U3" s="1">
        <f>T3/(D3/1000)</f>
        <v>1.9237267080745342</v>
      </c>
      <c r="V3" s="1">
        <f>(H3+I3+J3+8.7+K3+L3*0.02+M3-N3*0.5+O3+P3*0.5-Q3*1.5)/5 + (S3-0/5)*10</f>
        <v>8.8491428571428568</v>
      </c>
      <c r="W3" s="1">
        <f>V3/(D3/1000)</f>
        <v>1.9237267080745342</v>
      </c>
      <c r="X3" s="1">
        <f>(F3*10+G3*6+H3+I3+J3+8.7+K3+L3*0.02+M3-N3*0.5+O3+P3*0.5-Q3*1.5-R3*6)/E3 + (S3-0/5)*10</f>
        <v>8.8491428571428568</v>
      </c>
      <c r="Y3" s="1">
        <f>X3/(D3/1000)</f>
        <v>1.9237267080745342</v>
      </c>
      <c r="Z3" s="1">
        <f>(H3+I3+J3+8.7+K3+L3*0.02+M3-N3*0.5+O3+P3*0.5-Q3*1.5)/E3 + (S3-0/5)*10</f>
        <v>8.8491428571428568</v>
      </c>
      <c r="AA3" s="1">
        <f>Z3/(D3/1000)</f>
        <v>1.9237267080745342</v>
      </c>
      <c r="AD3">
        <f>(90+90+90+90+90+90)/6</f>
        <v>90</v>
      </c>
      <c r="AF3" t="s">
        <v>72</v>
      </c>
    </row>
    <row r="4" spans="1:32" x14ac:dyDescent="0.2">
      <c r="A4" t="s">
        <v>50</v>
      </c>
      <c r="B4" t="s">
        <v>65</v>
      </c>
      <c r="C4" t="s">
        <v>69</v>
      </c>
      <c r="D4">
        <v>7000</v>
      </c>
      <c r="E4" s="1">
        <v>5</v>
      </c>
      <c r="F4">
        <v>2</v>
      </c>
      <c r="G4">
        <v>1</v>
      </c>
      <c r="H4">
        <v>5</v>
      </c>
      <c r="I4">
        <v>2</v>
      </c>
      <c r="J4">
        <v>9</v>
      </c>
      <c r="K4">
        <v>6</v>
      </c>
      <c r="L4">
        <v>276</v>
      </c>
      <c r="M4">
        <v>7</v>
      </c>
      <c r="N4">
        <v>7</v>
      </c>
      <c r="O4">
        <v>4</v>
      </c>
      <c r="P4">
        <v>6</v>
      </c>
      <c r="Q4">
        <v>0</v>
      </c>
      <c r="R4">
        <v>0</v>
      </c>
      <c r="S4" s="1">
        <f>2/7</f>
        <v>0.2857142857142857</v>
      </c>
      <c r="T4" s="1">
        <f>(F4*10+G4*6+H4+I4+J4+8.7+K4+L4*0.02+M4-N4*0.5+O4+P4*0.5-Q4*1.5-R4*6)/5 + (S4-0/5)*10</f>
        <v>17.401142857142858</v>
      </c>
      <c r="U4" s="1">
        <f>T4/(D4/1000)</f>
        <v>2.4858775510204083</v>
      </c>
      <c r="V4" s="1">
        <f>(H4+I4+J4+8.7+K4+L4*0.02+M4-N4*0.5+O4+P4*0.5-Q4*1.5)/5 + (S4-0/5)*10</f>
        <v>12.201142857142855</v>
      </c>
      <c r="W4" s="1">
        <f>V4/(D4/1000)</f>
        <v>1.743020408163265</v>
      </c>
      <c r="X4" s="1">
        <f>(F4*10+G4*6+H4+I4+J4+8.7+K4+L4*0.02+M4-N4*0.5+O4+P4*0.5-Q4*1.5-R4*6)/E4 + (S4-0/5)*10</f>
        <v>17.401142857142858</v>
      </c>
      <c r="Y4" s="1">
        <f>X4/(D4/1000)</f>
        <v>2.4858775510204083</v>
      </c>
      <c r="Z4" s="1">
        <f>(H4+I4+J4+8.7+K4+L4*0.02+M4-N4*0.5+O4+P4*0.5-Q4*1.5)/E4 + (S4-0/5)*10</f>
        <v>12.201142857142855</v>
      </c>
      <c r="AA4" s="1">
        <f>Z4/(D4/1000)</f>
        <v>1.743020408163265</v>
      </c>
      <c r="AD4">
        <f>(90+90+90+90+90+90)/6</f>
        <v>90</v>
      </c>
      <c r="AF4" t="s">
        <v>72</v>
      </c>
    </row>
    <row r="5" spans="1:32" x14ac:dyDescent="0.2">
      <c r="A5" t="s">
        <v>34</v>
      </c>
      <c r="B5" t="s">
        <v>48</v>
      </c>
      <c r="C5" t="s">
        <v>69</v>
      </c>
      <c r="D5">
        <v>3400</v>
      </c>
      <c r="E5" s="1">
        <v>5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195</v>
      </c>
      <c r="M5">
        <v>2</v>
      </c>
      <c r="N5">
        <v>4</v>
      </c>
      <c r="O5">
        <v>4</v>
      </c>
      <c r="P5">
        <v>8</v>
      </c>
      <c r="Q5">
        <v>1</v>
      </c>
      <c r="R5">
        <v>0</v>
      </c>
      <c r="S5" s="1">
        <f>17/(21+17)</f>
        <v>0.44736842105263158</v>
      </c>
      <c r="T5" s="1">
        <f>(F5*10+G5*6+H5+I5+J5+8.7+K5+L5*0.02+M5-N5*0.5+O5+P5*0.5-Q5*1.5-R5*6)/5 + (S5-0/5)*10</f>
        <v>9.6936842105263157</v>
      </c>
      <c r="U5" s="1">
        <f>T5/(D5/1000)</f>
        <v>2.8510835913312693</v>
      </c>
      <c r="V5" s="1">
        <f>(H5+I5+J5+8.7+K5+L5*0.02+M5-N5*0.5+O5+P5*0.5-Q5*1.5)/5 + (S5-0/5)*10</f>
        <v>8.4936842105263164</v>
      </c>
      <c r="W5" s="1">
        <f>V5/(D5/1000)</f>
        <v>2.4981424148606814</v>
      </c>
      <c r="X5" s="1">
        <f>(F5*10+G5*6+H5+I5+J5+8.7+K5+L5*0.02+M5-N5*0.5+O5+P5*0.5-Q5*1.5-R5*6)/E5 + (S5-0/5)*10</f>
        <v>9.6936842105263157</v>
      </c>
      <c r="Y5" s="1">
        <f>X5/(D5/1000)</f>
        <v>2.8510835913312693</v>
      </c>
      <c r="Z5" s="1">
        <f>(H5+I5+J5+8.7+K5+L5*0.02+M5-N5*0.5+O5+P5*0.5-Q5*1.5)/E5 + (S5-0/5)*10</f>
        <v>8.4936842105263164</v>
      </c>
      <c r="AA5" s="1">
        <f>Z5/(D5/1000)</f>
        <v>2.4981424148606814</v>
      </c>
      <c r="AD5">
        <f>(90+90+90+90+90)/5</f>
        <v>90</v>
      </c>
      <c r="AE5">
        <v>0</v>
      </c>
      <c r="AF5" t="s">
        <v>72</v>
      </c>
    </row>
    <row r="6" spans="1:32" x14ac:dyDescent="0.2">
      <c r="A6" t="s">
        <v>41</v>
      </c>
      <c r="B6" t="s">
        <v>48</v>
      </c>
      <c r="C6" t="s">
        <v>67</v>
      </c>
      <c r="D6">
        <v>5200</v>
      </c>
      <c r="E6" s="1">
        <v>4.9888888888888889</v>
      </c>
      <c r="F6">
        <v>1</v>
      </c>
      <c r="G6">
        <v>2</v>
      </c>
      <c r="H6">
        <v>7</v>
      </c>
      <c r="I6">
        <v>2</v>
      </c>
      <c r="J6">
        <v>4</v>
      </c>
      <c r="K6">
        <v>5</v>
      </c>
      <c r="L6">
        <v>142</v>
      </c>
      <c r="M6">
        <v>7</v>
      </c>
      <c r="N6">
        <v>13</v>
      </c>
      <c r="O6">
        <v>7</v>
      </c>
      <c r="P6">
        <v>5</v>
      </c>
      <c r="Q6">
        <v>2</v>
      </c>
      <c r="R6">
        <v>0</v>
      </c>
      <c r="S6" s="1">
        <f>17/(21+17)</f>
        <v>0.44736842105263158</v>
      </c>
      <c r="T6" s="1">
        <f>(F6*10+G6*6+H6+I6+J6+8.7+K6+L6*0.02+M6-N6*0.5+O6+P6*0.5-Q6*1.5-R6*6)/5 + (S6-0/5)*10</f>
        <v>16.181684210526317</v>
      </c>
      <c r="U6" s="1">
        <f>T6/(D6/1000)</f>
        <v>3.1118623481781378</v>
      </c>
      <c r="V6" s="1">
        <f>(H6+I6+J6+8.7+K6+L6*0.02+M6-N6*0.5+O6+P6*0.5-Q6*1.5)/5 + (S6-0/5)*10</f>
        <v>11.781684210526315</v>
      </c>
      <c r="W6" s="1">
        <f>V6/(D6/1000)</f>
        <v>2.2657085020242911</v>
      </c>
      <c r="X6" s="1">
        <f>(F6*10+G6*6+H6+I6+J6+8.7+K6+L6*0.02+M6-N6*0.5+O6+P6*0.5-Q6*1.5-R6*6)/E6 + (S6-0/5)*10</f>
        <v>16.207759934357053</v>
      </c>
      <c r="Y6" s="1">
        <f>X6/(D6/1000)</f>
        <v>3.1168769104532794</v>
      </c>
      <c r="Z6" s="1">
        <f>(H6+I6+J6+8.7+K6+L6*0.02+M6-N6*0.5+O6+P6*0.5-Q6*1.5)/E6 + (S6-0/5)*10</f>
        <v>11.797960379791348</v>
      </c>
      <c r="AA6" s="1">
        <f>Z6/(D6/1000)</f>
        <v>2.2688385345752593</v>
      </c>
      <c r="AD6">
        <f>(90+89+90+90+90)/5</f>
        <v>89.8</v>
      </c>
      <c r="AE6">
        <v>0</v>
      </c>
      <c r="AF6" t="s">
        <v>72</v>
      </c>
    </row>
    <row r="7" spans="1:32" x14ac:dyDescent="0.2">
      <c r="A7" t="s">
        <v>36</v>
      </c>
      <c r="B7" t="s">
        <v>48</v>
      </c>
      <c r="C7" t="s">
        <v>70</v>
      </c>
      <c r="D7">
        <v>11200</v>
      </c>
      <c r="E7" s="1">
        <v>4.9111111111111114</v>
      </c>
      <c r="F7">
        <v>4</v>
      </c>
      <c r="G7">
        <v>1</v>
      </c>
      <c r="H7">
        <v>14</v>
      </c>
      <c r="I7">
        <v>7</v>
      </c>
      <c r="J7">
        <v>0</v>
      </c>
      <c r="K7">
        <v>8</v>
      </c>
      <c r="L7">
        <v>72</v>
      </c>
      <c r="M7">
        <v>6</v>
      </c>
      <c r="N7">
        <v>7</v>
      </c>
      <c r="O7">
        <v>0</v>
      </c>
      <c r="P7">
        <v>0</v>
      </c>
      <c r="Q7">
        <v>0</v>
      </c>
      <c r="R7">
        <v>0</v>
      </c>
      <c r="S7" s="1">
        <f>17/(21+17)</f>
        <v>0.44736842105263158</v>
      </c>
      <c r="T7" s="1">
        <f>(F7*10+G7*6+H7+I7+J7+8.7+K7+L7*0.02+M7-N7*0.5+O7+P7*0.5-Q7*1.5-R7*6)/5 + (S7-0/5)*10</f>
        <v>22.001684210526314</v>
      </c>
      <c r="U7" s="1">
        <f>T7/(D7/1000)</f>
        <v>1.9644360902255638</v>
      </c>
      <c r="V7" s="1">
        <f>(H7+I7+J7+8.7+K7+L7*0.02+M7-N7*0.5+O7+P7*0.5-Q7*1.5)/5 + (S7-0/5)*10</f>
        <v>12.801684210526314</v>
      </c>
      <c r="W7" s="1">
        <f>V7/(D7/1000)</f>
        <v>1.1430075187969924</v>
      </c>
      <c r="X7" s="1">
        <f>(F7*10+G7*6+H7+I7+J7+8.7+K7+L7*0.02+M7-N7*0.5+O7+P7*0.5-Q7*1.5-R7*6)/E7 + (S7-0/5)*10</f>
        <v>22.318933079304596</v>
      </c>
      <c r="Y7" s="1">
        <f>X7/(D7/1000)</f>
        <v>1.9927618820807675</v>
      </c>
      <c r="Z7" s="1">
        <f>(H7+I7+J7+8.7+K7+L7*0.02+M7-N7*0.5+O7+P7*0.5-Q7*1.5)/E7 + (S7-0/5)*10</f>
        <v>12.952417242200525</v>
      </c>
      <c r="AA7" s="1">
        <f>Z7/(D7/1000)</f>
        <v>1.1564658251964754</v>
      </c>
      <c r="AD7">
        <f>(90+88+90+90+90+84)/6</f>
        <v>88.666666666666671</v>
      </c>
      <c r="AF7" t="s">
        <v>72</v>
      </c>
    </row>
    <row r="8" spans="1:32" x14ac:dyDescent="0.2">
      <c r="A8" t="s">
        <v>45</v>
      </c>
      <c r="B8" t="s">
        <v>48</v>
      </c>
      <c r="C8" t="s">
        <v>67</v>
      </c>
      <c r="D8">
        <v>4800</v>
      </c>
      <c r="E8" s="1">
        <v>4.833333333333333</v>
      </c>
      <c r="F8">
        <v>0</v>
      </c>
      <c r="G8">
        <v>1</v>
      </c>
      <c r="H8">
        <v>3</v>
      </c>
      <c r="I8">
        <v>1</v>
      </c>
      <c r="J8">
        <v>6</v>
      </c>
      <c r="K8">
        <v>4</v>
      </c>
      <c r="L8">
        <v>241</v>
      </c>
      <c r="M8">
        <v>3</v>
      </c>
      <c r="N8">
        <v>5</v>
      </c>
      <c r="O8">
        <v>8</v>
      </c>
      <c r="P8">
        <v>13</v>
      </c>
      <c r="Q8">
        <v>2</v>
      </c>
      <c r="R8">
        <v>0</v>
      </c>
      <c r="S8" s="1">
        <f>17/(21+17)</f>
        <v>0.44736842105263158</v>
      </c>
      <c r="T8" s="1">
        <f>(F8*10+G8*6+H8+I8+J8+8.7+K8+L8*0.02+M8-N8*0.5+O8+P8*0.5-Q8*1.5-R8*6)/5 + (S8-0/5)*10</f>
        <v>13.577684210526314</v>
      </c>
      <c r="U8" s="1">
        <f>T8/(D8/1000)</f>
        <v>2.8286842105263155</v>
      </c>
      <c r="V8" s="1">
        <f>(H8+I8+J8+8.7+K8+L8*0.02+M8-N8*0.5+O8+P8*0.5-Q8*1.5)/5 + (S8-0/5)*10</f>
        <v>12.377684210526315</v>
      </c>
      <c r="W8" s="1">
        <f>V8/(D8/1000)</f>
        <v>2.5786842105263159</v>
      </c>
      <c r="X8" s="1">
        <f>(F8*10+G8*6+H8+I8+J8+8.7+K8+L8*0.02+M8-N8*0.5+O8+P8*0.5-Q8*1.5-R8*6)/E8 + (S8-0/5)*10</f>
        <v>13.891615245009074</v>
      </c>
      <c r="Y8" s="1">
        <f>X8/(D8/1000)</f>
        <v>2.8940865093768906</v>
      </c>
      <c r="Z8" s="1">
        <f>(H8+I8+J8+8.7+K8+L8*0.02+M8-N8*0.5+O8+P8*0.5-Q8*1.5)/E8 + (S8-0/5)*10</f>
        <v>12.650235934664245</v>
      </c>
      <c r="AA8" s="1">
        <f>Z8/(D8/1000)</f>
        <v>2.635465819721718</v>
      </c>
      <c r="AD8">
        <f>(90+90+90+81+90+84)/6</f>
        <v>87.5</v>
      </c>
      <c r="AF8" t="s">
        <v>72</v>
      </c>
    </row>
    <row r="9" spans="1:32" x14ac:dyDescent="0.2">
      <c r="A9" t="s">
        <v>47</v>
      </c>
      <c r="B9" t="s">
        <v>48</v>
      </c>
      <c r="C9" t="s">
        <v>69</v>
      </c>
      <c r="D9">
        <v>3600</v>
      </c>
      <c r="E9" s="1">
        <v>4.7666666666666666</v>
      </c>
      <c r="F9">
        <v>0</v>
      </c>
      <c r="G9">
        <v>1</v>
      </c>
      <c r="H9">
        <v>1</v>
      </c>
      <c r="I9">
        <v>1</v>
      </c>
      <c r="J9">
        <v>1</v>
      </c>
      <c r="K9">
        <v>2</v>
      </c>
      <c r="L9">
        <v>232</v>
      </c>
      <c r="M9">
        <v>3</v>
      </c>
      <c r="N9">
        <v>5</v>
      </c>
      <c r="O9">
        <v>3</v>
      </c>
      <c r="P9">
        <v>5</v>
      </c>
      <c r="Q9">
        <v>0</v>
      </c>
      <c r="R9">
        <v>0</v>
      </c>
      <c r="S9" s="1">
        <f>17/(21+17)</f>
        <v>0.44736842105263158</v>
      </c>
      <c r="T9" s="1">
        <f>(F9*10+G9*6+H9+I9+J9+8.7+K9+L9*0.02+M9-N9*0.5+O9+P9*0.5-Q9*1.5-R9*6)/5 + (S9-0/5)*10</f>
        <v>10.541684210526316</v>
      </c>
      <c r="U9" s="1">
        <f>T9/(D9/1000)</f>
        <v>2.9282456140350877</v>
      </c>
      <c r="V9" s="1">
        <f>(H9+I9+J9+8.7+K9+L9*0.02+M9-N9*0.5+O9+P9*0.5-Q9*1.5)/5 + (S9-0/5)*10</f>
        <v>9.3416842105263171</v>
      </c>
      <c r="W9" s="1">
        <f>V9/(D9/1000)</f>
        <v>2.5949122807017546</v>
      </c>
      <c r="X9" s="1">
        <f>(F9*10+G9*6+H9+I9+J9+8.7+K9+L9*0.02+M9-N9*0.5+O9+P9*0.5-Q9*1.5-R9*6)/E9 + (S9-0/5)*10</f>
        <v>10.83871917556128</v>
      </c>
      <c r="Y9" s="1">
        <f>X9/(D9/1000)</f>
        <v>3.0107553265448002</v>
      </c>
      <c r="Z9" s="1">
        <f>(H9+I9+J9+8.7+K9+L9*0.02+M9-N9*0.5+O9+P9*0.5-Q9*1.5)/E9 + (S9-0/5)*10</f>
        <v>9.5799779168200221</v>
      </c>
      <c r="AA9" s="1">
        <f>Z9/(D9/1000)</f>
        <v>2.6611049768944506</v>
      </c>
      <c r="AD9">
        <f>(90+83+90+76+90+90)/6</f>
        <v>86.5</v>
      </c>
      <c r="AF9" t="s">
        <v>72</v>
      </c>
    </row>
    <row r="10" spans="1:32" x14ac:dyDescent="0.2">
      <c r="A10" t="s">
        <v>49</v>
      </c>
      <c r="B10" t="s">
        <v>65</v>
      </c>
      <c r="C10" t="s">
        <v>67</v>
      </c>
      <c r="D10">
        <v>4000</v>
      </c>
      <c r="E10" s="1">
        <v>4.7111111111111112</v>
      </c>
      <c r="F10">
        <v>0</v>
      </c>
      <c r="G10">
        <v>0</v>
      </c>
      <c r="H10">
        <v>5</v>
      </c>
      <c r="I10">
        <v>1</v>
      </c>
      <c r="J10">
        <v>6</v>
      </c>
      <c r="K10">
        <v>8</v>
      </c>
      <c r="L10">
        <v>284</v>
      </c>
      <c r="M10">
        <v>3</v>
      </c>
      <c r="N10">
        <v>10</v>
      </c>
      <c r="O10">
        <v>7</v>
      </c>
      <c r="P10">
        <v>4</v>
      </c>
      <c r="Q10">
        <v>1</v>
      </c>
      <c r="R10">
        <v>0</v>
      </c>
      <c r="S10" s="1">
        <f>2/7</f>
        <v>0.2857142857142857</v>
      </c>
      <c r="T10" s="1">
        <f>(F10*10+G10*6+H10+I10+J10+8.7+K10+L10*0.02+M10-N10*0.5+O10+P10*0.5-Q10*1.5-R10*6)/5 + (S10-0/5)*10</f>
        <v>10.833142857142857</v>
      </c>
      <c r="U10" s="1">
        <f>T10/(D10/1000)</f>
        <v>2.7082857142857142</v>
      </c>
      <c r="V10" s="1">
        <f>(H10+I10+J10+8.7+K10+L10*0.02+M10-N10*0.5+O10+P10*0.5-Q10*1.5)/5 + (S10-0/5)*10</f>
        <v>10.833142857142857</v>
      </c>
      <c r="W10" s="1">
        <f>V10/(D10/1000)</f>
        <v>2.7082857142857142</v>
      </c>
      <c r="X10" s="1">
        <f>(F10*10+G10*6+H10+I10+J10+8.7+K10+L10*0.02+M10-N10*0.5+O10+P10*0.5-Q10*1.5-R10*6)/E10 + (S10-0/5)*10</f>
        <v>11.322237196765496</v>
      </c>
      <c r="Y10" s="1">
        <f>X10/(D10/1000)</f>
        <v>2.8305592991913739</v>
      </c>
      <c r="Z10" s="1">
        <f>(H10+I10+J10+8.7+K10+L10*0.02+M10-N10*0.5+O10+P10*0.5-Q10*1.5)/E10 + (S10-0/5)*10</f>
        <v>11.322237196765496</v>
      </c>
      <c r="AA10" s="1">
        <f>Z10/(D10/1000)</f>
        <v>2.8305592991913739</v>
      </c>
      <c r="AD10">
        <f>(69+74+90+90+84+86)/6</f>
        <v>82.166666666666671</v>
      </c>
      <c r="AF10" t="s">
        <v>72</v>
      </c>
    </row>
    <row r="11" spans="1:32" x14ac:dyDescent="0.2">
      <c r="A11" t="s">
        <v>32</v>
      </c>
      <c r="B11" t="s">
        <v>48</v>
      </c>
      <c r="C11" t="s">
        <v>69</v>
      </c>
      <c r="D11">
        <v>4400</v>
      </c>
      <c r="E11" s="1">
        <v>4.3444444444444441</v>
      </c>
      <c r="F11">
        <v>0</v>
      </c>
      <c r="G11">
        <v>0</v>
      </c>
      <c r="H11">
        <v>1</v>
      </c>
      <c r="I11">
        <v>0</v>
      </c>
      <c r="J11">
        <v>2</v>
      </c>
      <c r="K11">
        <v>1</v>
      </c>
      <c r="L11">
        <v>177</v>
      </c>
      <c r="M11">
        <v>2</v>
      </c>
      <c r="N11">
        <v>6</v>
      </c>
      <c r="O11">
        <v>1</v>
      </c>
      <c r="P11">
        <v>8</v>
      </c>
      <c r="Q11">
        <v>0</v>
      </c>
      <c r="R11">
        <v>0</v>
      </c>
      <c r="S11" s="1">
        <f>17/(21+17)</f>
        <v>0.44736842105263158</v>
      </c>
      <c r="T11" s="1">
        <f>(F11*10+G11*6+H11+I11+J11+8.7+K11+L11*0.02+M11-N11*0.5+O11+P11*0.5-Q11*1.5-R11*6)/5 + (S11-0/5)*10</f>
        <v>8.5216842105263169</v>
      </c>
      <c r="U11" s="1">
        <f>T11/(D11/1000)</f>
        <v>1.9367464114832538</v>
      </c>
      <c r="V11" s="1">
        <f>(H11+I11+J11+8.7+K11+L11*0.02+M11-N11*0.5+O11+P11*0.5-Q11*1.5)/5 + (S11-0/5)*10</f>
        <v>8.5216842105263169</v>
      </c>
      <c r="W11" s="1">
        <f>V11/(D11/1000)</f>
        <v>1.9367464114832538</v>
      </c>
      <c r="X11" s="1">
        <f>(F11*10+G11*6+H11+I11+J11+8.7+K11+L11*0.02+M11-N11*0.5+O11+P11*0.5-Q11*1.5-R11*6)/E11 + (S11-0/5)*10</f>
        <v>9.132507739938081</v>
      </c>
      <c r="Y11" s="1">
        <f>X11/(D11/1000)</f>
        <v>2.0755699408950181</v>
      </c>
      <c r="Z11" s="1">
        <f>(H11+I11+J11+8.7+K11+L11*0.02+M11-N11*0.5+O11+P11*0.5-Q11*1.5)/E11 + (S11-0/5)*10</f>
        <v>9.132507739938081</v>
      </c>
      <c r="AA11" s="1">
        <f>Z11/(D11/1000)</f>
        <v>2.0755699408950181</v>
      </c>
      <c r="AD11">
        <f>(90+90+90+90+90)/5</f>
        <v>90</v>
      </c>
      <c r="AE11">
        <v>31</v>
      </c>
      <c r="AF11" t="s">
        <v>72</v>
      </c>
    </row>
    <row r="12" spans="1:32" x14ac:dyDescent="0.2">
      <c r="A12" t="s">
        <v>43</v>
      </c>
      <c r="B12" t="s">
        <v>48</v>
      </c>
      <c r="C12" t="s">
        <v>67</v>
      </c>
      <c r="D12">
        <v>5600</v>
      </c>
      <c r="E12" s="1">
        <v>4.3</v>
      </c>
      <c r="F12">
        <v>3</v>
      </c>
      <c r="G12">
        <v>0</v>
      </c>
      <c r="H12">
        <v>5</v>
      </c>
      <c r="I12">
        <v>4</v>
      </c>
      <c r="J12">
        <v>7</v>
      </c>
      <c r="K12">
        <v>1</v>
      </c>
      <c r="L12">
        <v>147</v>
      </c>
      <c r="M12">
        <v>3</v>
      </c>
      <c r="N12">
        <v>8</v>
      </c>
      <c r="O12">
        <v>5</v>
      </c>
      <c r="P12">
        <v>5</v>
      </c>
      <c r="Q12">
        <v>1</v>
      </c>
      <c r="R12">
        <v>0</v>
      </c>
      <c r="S12" s="1">
        <f>17/(21+17)</f>
        <v>0.44736842105263158</v>
      </c>
      <c r="T12" s="1">
        <f>(F12*10+G12*6+H12+I12+J12+8.7+K12+L12*0.02+M12-N12*0.5+O12+P12*0.5-Q12*1.5-R12*6)/5 + (S12-0/5)*10</f>
        <v>17.201684210526317</v>
      </c>
      <c r="U12" s="1">
        <f>T12/(D12/1000)</f>
        <v>3.0717293233082712</v>
      </c>
      <c r="V12" s="1">
        <f>(H12+I12+J12+8.7+K12+L12*0.02+M12-N12*0.5+O12+P12*0.5-Q12*1.5)/5 + (S12-0/5)*10</f>
        <v>11.201684210526317</v>
      </c>
      <c r="W12" s="1">
        <f>V12/(D12/1000)</f>
        <v>2.0003007518796996</v>
      </c>
      <c r="X12" s="1">
        <f>(F12*10+G12*6+H12+I12+J12+8.7+K12+L12*0.02+M12-N12*0.5+O12+P12*0.5-Q12*1.5-R12*6)/E12 + (S12-0/5)*10</f>
        <v>19.273684210526316</v>
      </c>
      <c r="Y12" s="1">
        <f>X12/(D12/1000)</f>
        <v>3.4417293233082709</v>
      </c>
      <c r="Z12" s="1">
        <f>(H12+I12+J12+8.7+K12+L12*0.02+M12-N12*0.5+O12+P12*0.5-Q12*1.5)/E12 + (S12-0/5)*10</f>
        <v>12.296940024479806</v>
      </c>
      <c r="AA12" s="1">
        <f>Z12/(D12/1000)</f>
        <v>2.195882147228537</v>
      </c>
      <c r="AD12">
        <f>(80+58+83+76+90)/5</f>
        <v>77.400000000000006</v>
      </c>
      <c r="AE12">
        <v>27</v>
      </c>
      <c r="AF12" t="s">
        <v>72</v>
      </c>
    </row>
    <row r="13" spans="1:32" x14ac:dyDescent="0.2">
      <c r="A13" t="s">
        <v>53</v>
      </c>
      <c r="B13" t="s">
        <v>65</v>
      </c>
      <c r="C13" t="s">
        <v>69</v>
      </c>
      <c r="D13">
        <v>3000</v>
      </c>
      <c r="E13" s="1">
        <v>4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201</v>
      </c>
      <c r="M13">
        <v>1</v>
      </c>
      <c r="N13">
        <v>6</v>
      </c>
      <c r="O13">
        <v>3</v>
      </c>
      <c r="P13">
        <v>6</v>
      </c>
      <c r="Q13">
        <v>3</v>
      </c>
      <c r="R13">
        <v>0</v>
      </c>
      <c r="S13" s="1">
        <f>2/7</f>
        <v>0.2857142857142857</v>
      </c>
      <c r="T13" s="1">
        <f>(F13*10+G13*6+H13+I13+J13+8.7+K13+L13*0.02+M13-N13*0.5+O13+P13*0.5-Q13*1.5-R13*6)/5 + (S13-0/5)*10</f>
        <v>5.7011428571428571</v>
      </c>
      <c r="U13" s="1">
        <f>T13/(D13/1000)</f>
        <v>1.9003809523809523</v>
      </c>
      <c r="V13" s="1">
        <f>(H13+I13+J13+8.7+K13+L13*0.02+M13-N13*0.5+O13+P13*0.5-Q13*1.5)/5 + (S13-0/5)*10</f>
        <v>5.7011428571428571</v>
      </c>
      <c r="W13" s="1">
        <f>V13/(D13/1000)</f>
        <v>1.9003809523809523</v>
      </c>
      <c r="X13" s="1">
        <f>(F13*10+G13*6+H13+I13+J13+8.7+K13+L13*0.02+M13-N13*0.5+O13+P13*0.5-Q13*1.5-R13*6)/E13 + (S13-0/5)*10</f>
        <v>6.4121428571428565</v>
      </c>
      <c r="Y13" s="1">
        <f>X13/(D13/1000)</f>
        <v>2.1373809523809522</v>
      </c>
      <c r="Z13" s="1">
        <f>(H13+I13+J13+8.7+K13+L13*0.02+M13-N13*0.5+O13+P13*0.5-Q13*1.5)/E13 + (S13-0/5)*10</f>
        <v>6.4121428571428565</v>
      </c>
      <c r="AA13" s="1">
        <f>Z13/(D13/1000)</f>
        <v>2.1373809523809522</v>
      </c>
      <c r="AD13">
        <f>(90+90+90+90+90)/5</f>
        <v>90</v>
      </c>
      <c r="AE13">
        <v>0</v>
      </c>
      <c r="AF13" t="s">
        <v>72</v>
      </c>
    </row>
    <row r="14" spans="1:32" x14ac:dyDescent="0.2">
      <c r="A14" t="s">
        <v>63</v>
      </c>
      <c r="B14" t="s">
        <v>65</v>
      </c>
      <c r="C14" t="s">
        <v>68</v>
      </c>
      <c r="D14">
        <v>9600</v>
      </c>
      <c r="E14" s="1">
        <v>3.8666666666666667</v>
      </c>
      <c r="F14">
        <v>1</v>
      </c>
      <c r="G14">
        <v>1</v>
      </c>
      <c r="H14">
        <v>13</v>
      </c>
      <c r="I14">
        <v>6</v>
      </c>
      <c r="J14">
        <v>4</v>
      </c>
      <c r="K14">
        <v>1</v>
      </c>
      <c r="L14">
        <v>94</v>
      </c>
      <c r="M14">
        <v>8</v>
      </c>
      <c r="N14">
        <v>4</v>
      </c>
      <c r="O14">
        <v>3</v>
      </c>
      <c r="P14">
        <v>0</v>
      </c>
      <c r="Q14">
        <v>0</v>
      </c>
      <c r="R14">
        <v>0</v>
      </c>
      <c r="S14" s="1">
        <f>2/7</f>
        <v>0.2857142857142857</v>
      </c>
      <c r="T14" s="1">
        <f>(F14*10+G14*6+H14+I14+J14+8.7+K14+L14*0.02+M14-N14*0.5+O14+P14*0.5-Q14*1.5-R14*6)/5 + (S14-0/5)*10</f>
        <v>14.773142857142858</v>
      </c>
      <c r="U14" s="1">
        <f>T14/(D14/1000)</f>
        <v>1.5388690476190479</v>
      </c>
      <c r="V14" s="1">
        <f>(H14+I14+J14+8.7+K14+L14*0.02+M14-N14*0.5+O14+P14*0.5-Q14*1.5)/5 + (S14-0/5)*10</f>
        <v>11.573142857142859</v>
      </c>
      <c r="W14" s="1">
        <f>V14/(D14/1000)</f>
        <v>1.2055357142857146</v>
      </c>
      <c r="X14" s="1">
        <f>(F14*10+G14*6+H14+I14+J14+8.7+K14+L14*0.02+M14-N14*0.5+O14+P14*0.5-Q14*1.5-R14*6)/E14 + (S14-0/5)*10</f>
        <v>18.265763546798031</v>
      </c>
      <c r="Y14" s="1">
        <f>X14/(D14/1000)</f>
        <v>1.9026837027914616</v>
      </c>
      <c r="Z14" s="1">
        <f>(H14+I14+J14+8.7+K14+L14*0.02+M14-N14*0.5+O14+P14*0.5-Q14*1.5)/E14 + (S14-0/5)*10</f>
        <v>14.127832512315273</v>
      </c>
      <c r="AA14" s="1">
        <f>Z14/(D14/1000)</f>
        <v>1.471649220032841</v>
      </c>
      <c r="AD14">
        <f>(81+84+89+90+55)/5</f>
        <v>79.8</v>
      </c>
      <c r="AE14">
        <v>30</v>
      </c>
      <c r="AF14" t="s">
        <v>72</v>
      </c>
    </row>
    <row r="15" spans="1:32" x14ac:dyDescent="0.2">
      <c r="A15" t="s">
        <v>39</v>
      </c>
      <c r="B15" t="s">
        <v>48</v>
      </c>
      <c r="C15" t="s">
        <v>67</v>
      </c>
      <c r="D15">
        <v>8200</v>
      </c>
      <c r="E15" s="1">
        <v>3.8444444444444446</v>
      </c>
      <c r="F15">
        <v>1</v>
      </c>
      <c r="G15">
        <v>2</v>
      </c>
      <c r="H15">
        <v>3</v>
      </c>
      <c r="I15">
        <v>2</v>
      </c>
      <c r="J15">
        <v>10</v>
      </c>
      <c r="K15">
        <v>4</v>
      </c>
      <c r="L15">
        <v>97</v>
      </c>
      <c r="M15">
        <v>4</v>
      </c>
      <c r="N15">
        <v>3</v>
      </c>
      <c r="O15">
        <v>0</v>
      </c>
      <c r="P15">
        <v>6</v>
      </c>
      <c r="Q15">
        <v>0</v>
      </c>
      <c r="R15">
        <v>0</v>
      </c>
      <c r="S15" s="1">
        <f>17/(21+17)</f>
        <v>0.44736842105263158</v>
      </c>
      <c r="T15" s="1">
        <f>(F15*10+G15*6+H15+I15+J15+8.7+K15+L15*0.02+M15-N15*0.5+O15+P15*0.5-Q15*1.5-R15*6)/5 + (S15-0/5)*10</f>
        <v>15.901684210526316</v>
      </c>
      <c r="U15" s="1">
        <f>T15/(D15/1000)</f>
        <v>1.9392297817715021</v>
      </c>
      <c r="V15" s="1">
        <f>(H15+I15+J15+8.7+K15+L15*0.02+M15-N15*0.5+O15+P15*0.5-Q15*1.5)/5 + (S15-0/5)*10</f>
        <v>11.501684210526317</v>
      </c>
      <c r="W15" s="1">
        <f>V15/(D15/1000)</f>
        <v>1.4026444159178437</v>
      </c>
      <c r="X15" s="1">
        <f>(F15*10+G15*6+H15+I15+J15+8.7+K15+L15*0.02+M15-N15*0.5+O15+P15*0.5-Q15*1.5-R15*6)/E15 + (S15-0/5)*10</f>
        <v>19.336689990873136</v>
      </c>
      <c r="Y15" s="1">
        <f>X15/(D15/1000)</f>
        <v>2.3581329257162364</v>
      </c>
      <c r="Z15" s="1">
        <f>(H15+I15+J15+8.7+K15+L15*0.02+M15-N15*0.5+O15+P15*0.5-Q15*1.5)/E15 + (S15-0/5)*10</f>
        <v>13.614146638271979</v>
      </c>
      <c r="AA15" s="1">
        <f>Z15/(D15/1000)</f>
        <v>1.6602617851551196</v>
      </c>
      <c r="AD15">
        <f>(65+90+90+89)/4</f>
        <v>83.5</v>
      </c>
      <c r="AE15">
        <f>(7+12)/2</f>
        <v>9.5</v>
      </c>
      <c r="AF15" t="s">
        <v>72</v>
      </c>
    </row>
    <row r="16" spans="1:32" x14ac:dyDescent="0.2">
      <c r="A16" t="s">
        <v>57</v>
      </c>
      <c r="B16" t="s">
        <v>65</v>
      </c>
      <c r="C16" t="s">
        <v>70</v>
      </c>
      <c r="D16">
        <v>7400</v>
      </c>
      <c r="E16" s="1">
        <v>3.6777777777777776</v>
      </c>
      <c r="F16">
        <v>1</v>
      </c>
      <c r="G16">
        <v>0</v>
      </c>
      <c r="H16">
        <v>12</v>
      </c>
      <c r="I16">
        <v>3</v>
      </c>
      <c r="J16">
        <v>1</v>
      </c>
      <c r="K16">
        <v>1</v>
      </c>
      <c r="L16">
        <v>33</v>
      </c>
      <c r="M16">
        <v>7</v>
      </c>
      <c r="N16">
        <v>3</v>
      </c>
      <c r="O16">
        <v>2</v>
      </c>
      <c r="P16">
        <v>2</v>
      </c>
      <c r="Q16">
        <v>0</v>
      </c>
      <c r="R16">
        <v>0</v>
      </c>
      <c r="S16" s="1">
        <f>2/7</f>
        <v>0.2857142857142857</v>
      </c>
      <c r="T16" s="1">
        <f>(F16*10+G16*6+H16+I16+J16+8.7+K16+L16*0.02+M16-N16*0.5+O16+P16*0.5-Q16*1.5-R16*6)/5 + (S16-0/5)*10</f>
        <v>11.829142857142855</v>
      </c>
      <c r="U16" s="1">
        <f>T16/(D16/1000)</f>
        <v>1.5985328185328183</v>
      </c>
      <c r="V16" s="1">
        <f>(H16+I16+J16+8.7+K16+L16*0.02+M16-N16*0.5+O16+P16*0.5-Q16*1.5)/5 + (S16-0/5)*10</f>
        <v>9.8291428571428554</v>
      </c>
      <c r="W16" s="1">
        <f>V16/(D16/1000)</f>
        <v>1.3282625482625479</v>
      </c>
      <c r="X16" s="1">
        <f>(F16*10+G16*6+H16+I16+J16+8.7+K16+L16*0.02+M16-N16*0.5+O16+P16*0.5-Q16*1.5-R16*6)/E16 + (S16-0/5)*10</f>
        <v>15.054725938713855</v>
      </c>
      <c r="Y16" s="1">
        <f>X16/(D16/1000)</f>
        <v>2.0344224241505207</v>
      </c>
      <c r="Z16" s="1">
        <f>(H16+I16+J16+8.7+K16+L16*0.02+M16-N16*0.5+O16+P16*0.5-Q16*1.5)/E16 + (S16-0/5)*10</f>
        <v>12.335692706085457</v>
      </c>
      <c r="AA16" s="1">
        <f>Z16/(D16/1000)</f>
        <v>1.6669855008223589</v>
      </c>
      <c r="AD16">
        <f>(83+89+84+55)/4</f>
        <v>77.75</v>
      </c>
      <c r="AE16">
        <f>(28+20)/2</f>
        <v>24</v>
      </c>
      <c r="AF16" t="s">
        <v>72</v>
      </c>
    </row>
    <row r="17" spans="1:32" x14ac:dyDescent="0.2">
      <c r="A17" t="s">
        <v>33</v>
      </c>
      <c r="B17" t="s">
        <v>48</v>
      </c>
      <c r="C17" t="s">
        <v>67</v>
      </c>
      <c r="D17">
        <v>4200</v>
      </c>
      <c r="E17" s="1">
        <v>3.6444444444444444</v>
      </c>
      <c r="F17">
        <v>0</v>
      </c>
      <c r="G17">
        <v>1</v>
      </c>
      <c r="H17">
        <v>3</v>
      </c>
      <c r="I17">
        <v>0</v>
      </c>
      <c r="J17">
        <v>0</v>
      </c>
      <c r="K17">
        <v>2</v>
      </c>
      <c r="L17">
        <v>97</v>
      </c>
      <c r="M17">
        <v>7</v>
      </c>
      <c r="N17">
        <v>11</v>
      </c>
      <c r="O17">
        <v>1</v>
      </c>
      <c r="P17">
        <v>6</v>
      </c>
      <c r="Q17">
        <v>0</v>
      </c>
      <c r="R17">
        <v>0</v>
      </c>
      <c r="S17" s="1">
        <f>17/(21+17)</f>
        <v>0.44736842105263158</v>
      </c>
      <c r="T17" s="1">
        <f>(F17*10+G17*6+H17+I17+J17+8.7+K17+L17*0.02+M17-N17*0.5+O17+P17*0.5-Q17*1.5-R17*6)/5 + (S17-0/5)*10</f>
        <v>9.9016842105263159</v>
      </c>
      <c r="U17" s="1">
        <f>T17/(D17/1000)</f>
        <v>2.3575438596491227</v>
      </c>
      <c r="V17" s="1">
        <f>(H17+I17+J17+8.7+K17+L17*0.02+M17-N17*0.5+O17+P17*0.5-Q17*1.5)/5 + (S17-0/5)*10</f>
        <v>8.7016842105263166</v>
      </c>
      <c r="W17" s="1">
        <f>V17/(D17/1000)</f>
        <v>2.0718295739348371</v>
      </c>
      <c r="X17" s="1">
        <f>(F17*10+G17*6+H17+I17+J17+8.7+K17+L17*0.02+M17-N17*0.5+O17+P17*0.5-Q17*1.5-R17*6)/E17 + (S17-0/5)*10</f>
        <v>11.920635430038512</v>
      </c>
      <c r="Y17" s="1">
        <f>X17/(D17/1000)</f>
        <v>2.8382465309615506</v>
      </c>
      <c r="Z17" s="1">
        <f>(H17+I17+J17+8.7+K17+L17*0.02+M17-N17*0.5+O17+P17*0.5-Q17*1.5)/E17 + (S17-0/5)*10</f>
        <v>10.274293966623876</v>
      </c>
      <c r="AA17" s="1">
        <f>Z17/(D17/1000)</f>
        <v>2.4462604682437799</v>
      </c>
      <c r="AD17">
        <f>(90+90+90+58+90)/5</f>
        <v>83.6</v>
      </c>
      <c r="AE17">
        <v>0</v>
      </c>
      <c r="AF17" t="s">
        <v>72</v>
      </c>
    </row>
    <row r="18" spans="1:32" x14ac:dyDescent="0.2">
      <c r="A18" t="s">
        <v>58</v>
      </c>
      <c r="B18" t="s">
        <v>65</v>
      </c>
      <c r="C18" t="s">
        <v>68</v>
      </c>
      <c r="D18">
        <v>7800</v>
      </c>
      <c r="E18" s="1">
        <v>3.5666666666666669</v>
      </c>
      <c r="F18">
        <v>1</v>
      </c>
      <c r="G18">
        <v>0</v>
      </c>
      <c r="H18">
        <v>7</v>
      </c>
      <c r="I18">
        <v>2</v>
      </c>
      <c r="J18">
        <v>8</v>
      </c>
      <c r="K18">
        <v>4</v>
      </c>
      <c r="L18">
        <v>152</v>
      </c>
      <c r="M18">
        <v>6</v>
      </c>
      <c r="N18">
        <v>1</v>
      </c>
      <c r="O18">
        <v>1</v>
      </c>
      <c r="P18">
        <v>2</v>
      </c>
      <c r="Q18">
        <v>0</v>
      </c>
      <c r="R18">
        <v>0</v>
      </c>
      <c r="S18" s="1">
        <f>2/7</f>
        <v>0.2857142857142857</v>
      </c>
      <c r="T18" s="1">
        <f>(F18*10+G18*6+H18+I18+J18+8.7+K18+L18*0.02+M18-N18*0.5+O18+P18*0.5-Q18*1.5-R18*6)/5 + (S18-0/5)*10</f>
        <v>12.905142857142856</v>
      </c>
      <c r="U18" s="1">
        <f>T18/(D18/1000)</f>
        <v>1.6545054945054944</v>
      </c>
      <c r="V18" s="1">
        <f>(H18+I18+J18+8.7+K18+L18*0.02+M18-N18*0.5+O18+P18*0.5-Q18*1.5)/5 + (S18-0/5)*10</f>
        <v>10.905142857142856</v>
      </c>
      <c r="W18" s="1">
        <f>V18/(D18/1000)</f>
        <v>1.3980952380952381</v>
      </c>
      <c r="X18" s="1">
        <f>(F18*10+G18*6+H18+I18+J18+8.7+K18+L18*0.02+M18-N18*0.5+O18+P18*0.5-Q18*1.5-R18*6)/E18 + (S18-0/5)*10</f>
        <v>16.943124165554071</v>
      </c>
      <c r="Y18" s="1">
        <f>X18/(D18/1000)</f>
        <v>2.1721954058402657</v>
      </c>
      <c r="Z18" s="1">
        <f>(H18+I18+J18+8.7+K18+L18*0.02+M18-N18*0.5+O18+P18*0.5-Q18*1.5)/E18 + (S18-0/5)*10</f>
        <v>14.139385847797062</v>
      </c>
      <c r="AA18" s="1">
        <f>Z18/(D18/1000)</f>
        <v>1.8127417753585977</v>
      </c>
      <c r="AD18">
        <f>(73+66+88+74)/4</f>
        <v>75.25</v>
      </c>
      <c r="AE18">
        <f>(21+20)/2</f>
        <v>20.5</v>
      </c>
      <c r="AF18" t="s">
        <v>72</v>
      </c>
    </row>
    <row r="19" spans="1:32" x14ac:dyDescent="0.2">
      <c r="A19" t="s">
        <v>37</v>
      </c>
      <c r="B19" t="s">
        <v>48</v>
      </c>
      <c r="C19" t="s">
        <v>70</v>
      </c>
      <c r="D19">
        <v>8800</v>
      </c>
      <c r="E19" s="1">
        <v>3.4777777777777779</v>
      </c>
      <c r="F19">
        <v>3</v>
      </c>
      <c r="G19">
        <v>1</v>
      </c>
      <c r="H19">
        <v>12</v>
      </c>
      <c r="I19">
        <v>7</v>
      </c>
      <c r="J19">
        <v>1</v>
      </c>
      <c r="K19">
        <v>4</v>
      </c>
      <c r="L19">
        <v>48</v>
      </c>
      <c r="M19">
        <v>5</v>
      </c>
      <c r="N19">
        <v>3</v>
      </c>
      <c r="O19">
        <v>2</v>
      </c>
      <c r="P19">
        <v>2</v>
      </c>
      <c r="Q19">
        <v>0</v>
      </c>
      <c r="R19">
        <v>0</v>
      </c>
      <c r="S19" s="1">
        <f>17/(21+17)</f>
        <v>0.44736842105263158</v>
      </c>
      <c r="T19" s="1">
        <f>(F19*10+G19*6+H19+I19+J19+8.7+K19+L19*0.02+M19-N19*0.5+O19+P19*0.5-Q19*1.5-R19*6)/5 + (S19-0/5)*10</f>
        <v>19.705684210526314</v>
      </c>
      <c r="U19" s="1">
        <f>T19/(D19/1000)</f>
        <v>2.2392822966507175</v>
      </c>
      <c r="V19" s="1">
        <f>(H19+I19+J19+8.7+K19+L19*0.02+M19-N19*0.5+O19+P19*0.5-Q19*1.5)/5 + (S19-0/5)*10</f>
        <v>12.505684210526315</v>
      </c>
      <c r="W19" s="1">
        <f>V19/(D19/1000)</f>
        <v>1.4211004784688994</v>
      </c>
      <c r="X19" s="1">
        <f>(F19*10+G19*6+H19+I19+J19+8.7+K19+L19*0.02+M19-N19*0.5+O19+P19*0.5-Q19*1.5-R19*6)/E19 + (S19-0/5)*10</f>
        <v>26.372725744072639</v>
      </c>
      <c r="Y19" s="1">
        <f>X19/(D19/1000)</f>
        <v>2.9969006527355271</v>
      </c>
      <c r="Z19" s="1">
        <f>(H19+I19+J19+8.7+K19+L19*0.02+M19-N19*0.5+O19+P19*0.5-Q19*1.5)/E19 + (S19-0/5)*10</f>
        <v>16.021288044392133</v>
      </c>
      <c r="AA19" s="1">
        <f>Z19/(D19/1000)</f>
        <v>1.8206009141354695</v>
      </c>
      <c r="AD19">
        <f>(80+63+69+70+63)/5</f>
        <v>69</v>
      </c>
      <c r="AE19">
        <v>31</v>
      </c>
      <c r="AF19" t="s">
        <v>72</v>
      </c>
    </row>
    <row r="20" spans="1:32" x14ac:dyDescent="0.2">
      <c r="A20" t="s">
        <v>62</v>
      </c>
      <c r="B20" t="s">
        <v>65</v>
      </c>
      <c r="C20" t="s">
        <v>67</v>
      </c>
      <c r="D20">
        <v>10000</v>
      </c>
      <c r="E20" s="1">
        <v>3.3333333333333335</v>
      </c>
      <c r="F20">
        <v>0</v>
      </c>
      <c r="G20">
        <v>1</v>
      </c>
      <c r="H20">
        <v>4</v>
      </c>
      <c r="I20">
        <v>1</v>
      </c>
      <c r="J20">
        <v>16</v>
      </c>
      <c r="K20">
        <v>10</v>
      </c>
      <c r="L20">
        <v>280</v>
      </c>
      <c r="M20">
        <v>10</v>
      </c>
      <c r="N20">
        <v>5</v>
      </c>
      <c r="O20">
        <v>5</v>
      </c>
      <c r="P20">
        <v>1</v>
      </c>
      <c r="Q20">
        <v>1</v>
      </c>
      <c r="R20">
        <v>0</v>
      </c>
      <c r="S20" s="1">
        <f>2/7</f>
        <v>0.2857142857142857</v>
      </c>
      <c r="T20" s="1">
        <f>(F20*10+G20*6+H20+I20+J20+8.7+K20+L20*0.02+M20-N20*0.5+O20+P20*0.5-Q20*1.5-R20*6)/5 + (S20-0/5)*10</f>
        <v>15.41714285714286</v>
      </c>
      <c r="U20" s="1">
        <f>T20/(D20/1000)</f>
        <v>1.541714285714286</v>
      </c>
      <c r="V20" s="1">
        <f>(H20+I20+J20+8.7+K20+L20*0.02+M20-N20*0.5+O20+P20*0.5-Q20*1.5)/5 + (S20-0/5)*10</f>
        <v>14.217142857142857</v>
      </c>
      <c r="W20" s="1">
        <f>V20/(D20/1000)</f>
        <v>1.4217142857142857</v>
      </c>
      <c r="X20" s="1">
        <f>(F20*10+G20*6+H20+I20+J20+8.7+K20+L20*0.02+M20-N20*0.5+O20+P20*0.5-Q20*1.5-R20*6)/E20 + (S20-0/5)*10</f>
        <v>21.697142857142861</v>
      </c>
      <c r="Y20" s="1">
        <f>X20/(D20/1000)</f>
        <v>2.1697142857142859</v>
      </c>
      <c r="Z20" s="1">
        <f>(H20+I20+J20+8.7+K20+L20*0.02+M20-N20*0.5+O20+P20*0.5-Q20*1.5)/E20 + (S20-0/5)*10</f>
        <v>19.897142857142857</v>
      </c>
      <c r="AA20" s="1">
        <f>Z20/(D20/1000)</f>
        <v>1.9897142857142858</v>
      </c>
      <c r="AD20">
        <f>(81+90+90+90)/4</f>
        <v>87.75</v>
      </c>
      <c r="AE20">
        <f>30/2</f>
        <v>15</v>
      </c>
      <c r="AF20" t="s">
        <v>72</v>
      </c>
    </row>
    <row r="21" spans="1:32" x14ac:dyDescent="0.2">
      <c r="A21" t="s">
        <v>16</v>
      </c>
      <c r="B21" t="s">
        <v>65</v>
      </c>
      <c r="C21" t="s">
        <v>67</v>
      </c>
      <c r="D21">
        <v>3200</v>
      </c>
      <c r="E21" s="1">
        <v>3.1888888888888891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137</v>
      </c>
      <c r="M21">
        <v>2</v>
      </c>
      <c r="N21">
        <v>2</v>
      </c>
      <c r="O21">
        <v>9</v>
      </c>
      <c r="P21">
        <v>3</v>
      </c>
      <c r="Q21">
        <v>0</v>
      </c>
      <c r="R21">
        <v>0</v>
      </c>
      <c r="S21" s="1">
        <f>2/7</f>
        <v>0.2857142857142857</v>
      </c>
      <c r="T21" s="1">
        <f>(F21*10+G21*6+H21+I21+J21+8.7+K21+L21*0.02+M21-N21*0.5+O21+P21*0.5-Q21*1.5-R21*6)/5 + (S21-0/5)*10</f>
        <v>7.6451428571428561</v>
      </c>
      <c r="U21" s="1">
        <f>T21/(D21/1000)</f>
        <v>2.3891071428571422</v>
      </c>
      <c r="V21" s="1">
        <f>(H21+I21+J21+8.7+K21+L21*0.02+M21-N21*0.5+O21+P21*0.5-Q21*1.5)/5 + (S21-0/5)*10</f>
        <v>7.6451428571428561</v>
      </c>
      <c r="W21" s="1">
        <f>V21/(D21/1000)</f>
        <v>2.3891071428571422</v>
      </c>
      <c r="X21" s="1">
        <f>(F21*10+G21*6+H21+I21+J21+8.7+K21+L21*0.02+M21-N21*0.5+O21+P21*0.5-Q21*1.5-R21*6)/E21 + (S21-0/5)*10</f>
        <v>10.364459930313586</v>
      </c>
      <c r="Y21" s="1">
        <f>X21/(D21/1000)</f>
        <v>3.2388937282229957</v>
      </c>
      <c r="Z21" s="1">
        <f>(H21+I21+J21+8.7+K21+L21*0.02+M21-N21*0.5+O21+P21*0.5-Q21*1.5)/E21 + (S21-0/5)*10</f>
        <v>10.364459930313586</v>
      </c>
      <c r="AA21" s="1">
        <f>Z21/(D21/1000)</f>
        <v>3.2388937282229957</v>
      </c>
      <c r="AD21">
        <f>(90+90+90+90)/4</f>
        <v>90</v>
      </c>
      <c r="AE21">
        <f>17/2</f>
        <v>8.5</v>
      </c>
      <c r="AF21" t="s">
        <v>72</v>
      </c>
    </row>
    <row r="22" spans="1:32" x14ac:dyDescent="0.2">
      <c r="A22" t="s">
        <v>31</v>
      </c>
      <c r="B22" t="s">
        <v>48</v>
      </c>
      <c r="C22" t="s">
        <v>71</v>
      </c>
      <c r="D22">
        <v>6600</v>
      </c>
      <c r="E22" s="1">
        <v>5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175</v>
      </c>
      <c r="M22">
        <v>2</v>
      </c>
      <c r="N22">
        <v>0</v>
      </c>
      <c r="O22">
        <v>0</v>
      </c>
      <c r="P22">
        <v>0</v>
      </c>
      <c r="Q22">
        <v>1</v>
      </c>
      <c r="R22">
        <v>0</v>
      </c>
      <c r="S22" s="1">
        <f>17/(21+17)</f>
        <v>0.44736842105263158</v>
      </c>
      <c r="T22" s="1">
        <f>(F22*10+G22*6+H22+I22+J22+8.7+K22+L22*0.02+M22-N22*0.5+O22+P22*0.5-Q22*1.5-R22*6)/5 + (S22-0/5)*10</f>
        <v>7.2136842105263153</v>
      </c>
      <c r="U22" s="1">
        <f>T22/(D22/1000)</f>
        <v>1.0929824561403509</v>
      </c>
      <c r="V22" s="1">
        <f>(H22+I22+J22+8.7+K22+L22*0.02+M22-N22*0.5+O22+P22*0.5-Q22*1.5)/5 + (S22-0/5)*10</f>
        <v>7.2136842105263153</v>
      </c>
      <c r="W22" s="1">
        <f>V22/(D22/1000)</f>
        <v>1.0929824561403509</v>
      </c>
      <c r="X22" s="1">
        <f>(F22*10+G22*6+H22+I22+J22+8.7+K22+L22*0.02+M22-N22*0.5+O22+P22*0.5-Q22*1.5-R22*6)/E22 + (S22-0/5)*10</f>
        <v>7.2136842105263153</v>
      </c>
      <c r="Y22" s="1">
        <f>X22/(D22/1000)</f>
        <v>1.0929824561403509</v>
      </c>
      <c r="Z22" s="1">
        <f>(H22+I22+J22+8.7+K22+L22*0.02+M22-N22*0.5+O22+P22*0.5-Q22*1.5)/E22 + (S22-0/5)*10</f>
        <v>7.2136842105263153</v>
      </c>
      <c r="AA22" s="1">
        <f>Z22/(D22/1000)</f>
        <v>1.0929824561403509</v>
      </c>
    </row>
    <row r="23" spans="1:32" x14ac:dyDescent="0.2">
      <c r="A23" t="s">
        <v>59</v>
      </c>
      <c r="B23" t="s">
        <v>65</v>
      </c>
      <c r="C23" t="s">
        <v>71</v>
      </c>
      <c r="D23">
        <v>5800</v>
      </c>
      <c r="E23" s="1">
        <v>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114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  <c r="S23" s="1">
        <f>2/7</f>
        <v>0.2857142857142857</v>
      </c>
      <c r="T23" s="1">
        <f>(F23*10+G23*6+H23+I23+J23+8.7+K23+L23*0.02+M23-N23*0.5+O23+P23*0.5-Q23*1.5-R23*6)/5 + (S23-0/5)*10</f>
        <v>5.3531428571428563</v>
      </c>
      <c r="U23" s="1">
        <f>T23/(D23/1000)</f>
        <v>0.92295566502463045</v>
      </c>
      <c r="V23" s="1">
        <f>(H23+I23+J23+8.7+K23+L23*0.02+M23-N23*0.5+O23+P23*0.5-Q23*1.5)/5 + (S23-0/5)*10</f>
        <v>5.3531428571428563</v>
      </c>
      <c r="W23" s="1">
        <f>V23/(D23/1000)</f>
        <v>0.92295566502463045</v>
      </c>
      <c r="X23" s="1">
        <f>(F23*10+G23*6+H23+I23+J23+8.7+K23+L23*0.02+M23-N23*0.5+O23+P23*0.5-Q23*1.5-R23*6)/E23 + (S23-0/5)*10</f>
        <v>5.3531428571428563</v>
      </c>
      <c r="Y23" s="1">
        <f>X23/(D23/1000)</f>
        <v>0.92295566502463045</v>
      </c>
      <c r="Z23" s="1">
        <f>(H23+I23+J23+8.7+K23+L23*0.02+M23-N23*0.5+O23+P23*0.5-Q23*1.5)/E23 + (S23-0/5)*10</f>
        <v>5.3531428571428563</v>
      </c>
      <c r="AA23" s="1">
        <f>Z23/(D23/1000)</f>
        <v>0.92295566502463045</v>
      </c>
    </row>
    <row r="24" spans="1:32" x14ac:dyDescent="0.2">
      <c r="A24" t="s">
        <v>55</v>
      </c>
      <c r="B24" t="s">
        <v>65</v>
      </c>
      <c r="C24" t="s">
        <v>67</v>
      </c>
      <c r="D24">
        <v>3600</v>
      </c>
      <c r="E24" s="1">
        <v>2.0444444444444443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120</v>
      </c>
      <c r="M24">
        <v>4</v>
      </c>
      <c r="N24">
        <v>3</v>
      </c>
      <c r="O24">
        <v>2</v>
      </c>
      <c r="P24">
        <v>5</v>
      </c>
      <c r="Q24">
        <v>0</v>
      </c>
      <c r="R24">
        <v>0</v>
      </c>
      <c r="S24" s="1">
        <f>2/7</f>
        <v>0.2857142857142857</v>
      </c>
      <c r="T24" s="1">
        <f>(F24*10+G24*6+H24+I24+J24+8.7+K24+L24*0.02+M24-N24*0.5+O24+P24*0.5-Q24*1.5-R24*6)/5 + (S24-0/5)*10</f>
        <v>6.8771428571428572</v>
      </c>
      <c r="U24" s="1">
        <f>T24/(D24/1000)</f>
        <v>1.9103174603174602</v>
      </c>
      <c r="V24" s="1">
        <f>(H24+I24+J24+8.7+K24+L24*0.02+M24-N24*0.5+O24+P24*0.5-Q24*1.5)/5 + (S24-0/5)*10</f>
        <v>6.8771428571428572</v>
      </c>
      <c r="W24" s="1">
        <f>V24/(D24/1000)</f>
        <v>1.9103174603174602</v>
      </c>
      <c r="X24" s="1">
        <f>(F24*10+G24*6+H24+I24+J24+8.7+K24+L24*0.02+M24-N24*0.5+O24+P24*0.5-Q24*1.5-R24*6)/E24 + (S24-0/5)*10</f>
        <v>12.688664596273291</v>
      </c>
      <c r="Y24" s="1">
        <f>X24/(D24/1000)</f>
        <v>3.5246290545203585</v>
      </c>
      <c r="Z24" s="1">
        <f>(H24+I24+J24+8.7+K24+L24*0.02+M24-N24*0.5+O24+P24*0.5-Q24*1.5)/E24 + (S24-0/5)*10</f>
        <v>12.688664596273291</v>
      </c>
      <c r="AA24" s="1">
        <f>Z24/(D24/1000)</f>
        <v>3.5246290545203585</v>
      </c>
      <c r="AD24">
        <f>(90+90)/2</f>
        <v>90</v>
      </c>
      <c r="AE24">
        <f>(21+4)/4</f>
        <v>6.25</v>
      </c>
    </row>
    <row r="25" spans="1:32" x14ac:dyDescent="0.2">
      <c r="A25" t="s">
        <v>61</v>
      </c>
      <c r="B25" t="s">
        <v>65</v>
      </c>
      <c r="C25" t="s">
        <v>70</v>
      </c>
      <c r="D25">
        <v>9200</v>
      </c>
      <c r="E25" s="1">
        <v>1.6333333333333333</v>
      </c>
      <c r="F25">
        <v>0</v>
      </c>
      <c r="G25">
        <v>0</v>
      </c>
      <c r="H25">
        <v>5</v>
      </c>
      <c r="I25">
        <v>1</v>
      </c>
      <c r="J25">
        <v>6</v>
      </c>
      <c r="K25">
        <v>1</v>
      </c>
      <c r="L25">
        <v>66</v>
      </c>
      <c r="M25">
        <v>7</v>
      </c>
      <c r="N25">
        <v>3</v>
      </c>
      <c r="O25">
        <v>3</v>
      </c>
      <c r="P25">
        <v>0</v>
      </c>
      <c r="Q25">
        <v>1</v>
      </c>
      <c r="R25">
        <v>0</v>
      </c>
      <c r="S25" s="1">
        <f>2/7</f>
        <v>0.2857142857142857</v>
      </c>
      <c r="T25" s="1">
        <f>(F25*10+G25*6+H25+I25+J25+8.7+K25+L25*0.02+M25-N25*0.5+O25+P25*0.5-Q25*1.5-R25*6)/5 + (S25-0/5)*10</f>
        <v>8.8611428571428554</v>
      </c>
      <c r="U25" s="1">
        <f>T25/(D25/1000)</f>
        <v>0.96316770186335388</v>
      </c>
      <c r="V25" s="1">
        <f>(H25+I25+J25+8.7+K25+L25*0.02+M25-N25*0.5+O25+P25*0.5-Q25*1.5)/5 + (S25-0/5)*10</f>
        <v>8.8611428571428554</v>
      </c>
      <c r="W25" s="1">
        <f>V25/(D25/1000)</f>
        <v>0.96316770186335388</v>
      </c>
      <c r="X25" s="1">
        <f>(F25*10+G25*6+H25+I25+J25+8.7+K25+L25*0.02+M25-N25*0.5+O25+P25*0.5-Q25*1.5-R25*6)/E25 + (S25-0/5)*10</f>
        <v>21.236734693877551</v>
      </c>
      <c r="Y25" s="1">
        <f>X25/(D25/1000)</f>
        <v>2.308340727595386</v>
      </c>
      <c r="Z25" s="1">
        <f>(H25+I25+J25+8.7+K25+L25*0.02+M25-N25*0.5+O25+P25*0.5-Q25*1.5)/E25 + (S25-0/5)*10</f>
        <v>21.236734693877551</v>
      </c>
      <c r="AA25" s="1">
        <f>Z25/(D25/1000)</f>
        <v>2.308340727595386</v>
      </c>
      <c r="AD25">
        <f>(69+70)/2</f>
        <v>69.5</v>
      </c>
      <c r="AE25">
        <f>(16+24+2+35)/4</f>
        <v>19.25</v>
      </c>
    </row>
    <row r="26" spans="1:32" x14ac:dyDescent="0.2">
      <c r="A26" t="s">
        <v>52</v>
      </c>
      <c r="B26" t="s">
        <v>65</v>
      </c>
      <c r="C26" t="s">
        <v>67</v>
      </c>
      <c r="D26">
        <v>4400</v>
      </c>
      <c r="E26" s="1">
        <v>1.5333333333333334</v>
      </c>
      <c r="F26">
        <v>0</v>
      </c>
      <c r="G26">
        <v>0</v>
      </c>
      <c r="H26">
        <v>1</v>
      </c>
      <c r="I26">
        <v>1</v>
      </c>
      <c r="J26">
        <v>4</v>
      </c>
      <c r="K26">
        <v>2</v>
      </c>
      <c r="L26">
        <v>106</v>
      </c>
      <c r="M26">
        <v>3</v>
      </c>
      <c r="N26">
        <v>0</v>
      </c>
      <c r="O26">
        <v>3</v>
      </c>
      <c r="P26">
        <v>2</v>
      </c>
      <c r="Q26">
        <v>0</v>
      </c>
      <c r="R26">
        <v>0</v>
      </c>
      <c r="S26" s="1">
        <f>2/7</f>
        <v>0.2857142857142857</v>
      </c>
      <c r="T26" s="1">
        <f>(F26*10+G26*6+H26+I26+J26+8.7+K26+L26*0.02+M26-N26*0.5+O26+P26*0.5-Q26*1.5-R26*6)/5 + (S26-0/5)*10</f>
        <v>8.0211428571428556</v>
      </c>
      <c r="U26" s="1">
        <f>T26/(D26/1000)</f>
        <v>1.8229870129870125</v>
      </c>
      <c r="V26" s="1">
        <f>(H26+I26+J26+8.7+K26+L26*0.02+M26-N26*0.5+O26+P26*0.5-Q26*1.5)/5 + (S26-0/5)*10</f>
        <v>8.0211428571428556</v>
      </c>
      <c r="W26" s="1">
        <f>V26/(D26/1000)</f>
        <v>1.8229870129870125</v>
      </c>
      <c r="X26" s="1">
        <f>(F26*10+G26*6+H26+I26+J26+8.7+K26+L26*0.02+M26-N26*0.5+O26+P26*0.5-Q26*1.5-R26*6)/E26 + (S26-0/5)*10</f>
        <v>19.696273291925465</v>
      </c>
      <c r="Y26" s="1">
        <f>X26/(D26/1000)</f>
        <v>4.4764257481648784</v>
      </c>
      <c r="Z26" s="1">
        <f>(H26+I26+J26+8.7+K26+L26*0.02+M26-N26*0.5+O26+P26*0.5-Q26*1.5)/E26 + (S26-0/5)*10</f>
        <v>19.696273291925465</v>
      </c>
      <c r="AA26" s="1">
        <f>Z26/(D26/1000)</f>
        <v>4.4764257481648784</v>
      </c>
      <c r="AD26">
        <f>(62+60+78)/3</f>
        <v>66.666666666666671</v>
      </c>
      <c r="AE26">
        <v>0</v>
      </c>
    </row>
    <row r="27" spans="1:32" x14ac:dyDescent="0.2">
      <c r="A27" t="s">
        <v>35</v>
      </c>
      <c r="B27" t="s">
        <v>48</v>
      </c>
      <c r="C27" t="s">
        <v>68</v>
      </c>
      <c r="D27">
        <v>8000</v>
      </c>
      <c r="E27" s="1">
        <v>1.4111111111111112</v>
      </c>
      <c r="F27">
        <v>0</v>
      </c>
      <c r="G27">
        <v>0</v>
      </c>
      <c r="H27">
        <v>3</v>
      </c>
      <c r="I27">
        <v>1</v>
      </c>
      <c r="J27">
        <v>2</v>
      </c>
      <c r="K27">
        <v>2</v>
      </c>
      <c r="L27">
        <v>36</v>
      </c>
      <c r="M27">
        <v>2</v>
      </c>
      <c r="N27">
        <v>4</v>
      </c>
      <c r="O27">
        <v>2</v>
      </c>
      <c r="P27">
        <v>2</v>
      </c>
      <c r="Q27">
        <v>1</v>
      </c>
      <c r="R27">
        <v>0</v>
      </c>
      <c r="S27" s="1">
        <f>17/(21+17)</f>
        <v>0.44736842105263158</v>
      </c>
      <c r="T27" s="1">
        <f>(F27*10+G27*6+H27+I27+J27+8.7+K27+L27*0.02+M27-N27*0.5+O27+P27*0.5-Q27*1.5-R27*6)/5 + (S27-0/5)*10</f>
        <v>8.2576842105263157</v>
      </c>
      <c r="U27" s="1">
        <f>T27/(D27/1000)</f>
        <v>1.0322105263157895</v>
      </c>
      <c r="V27" s="1">
        <f>(H27+I27+J27+8.7+K27+L27*0.02+M27-N27*0.5+O27+P27*0.5-Q27*1.5)/5 + (S27-0/5)*10</f>
        <v>8.2576842105263157</v>
      </c>
      <c r="W27" s="1">
        <f>V27/(D27/1000)</f>
        <v>1.0322105263157895</v>
      </c>
      <c r="X27" s="1">
        <f>(F27*10+G27*6+H27+I27+J27+8.7+K27+L27*0.02+M27-N27*0.5+O27+P27*0.5-Q27*1.5-R27*6)/E27 + (S27-0/5)*10</f>
        <v>17.881558226274347</v>
      </c>
      <c r="Y27" s="1">
        <f>X27/(D27/1000)</f>
        <v>2.2351947782842934</v>
      </c>
      <c r="Z27" s="1">
        <f>(H27+I27+J27+8.7+K27+L27*0.02+M27-N27*0.5+O27+P27*0.5-Q27*1.5)/E27 + (S27-0/5)*10</f>
        <v>17.881558226274347</v>
      </c>
      <c r="AA27" s="1">
        <f>Z27/(D27/1000)</f>
        <v>2.2351947782842934</v>
      </c>
      <c r="AD27">
        <f>59</f>
        <v>59</v>
      </c>
      <c r="AE27">
        <f>(27+20+21+27)/5</f>
        <v>19</v>
      </c>
    </row>
    <row r="28" spans="1:32" x14ac:dyDescent="0.2">
      <c r="A28" t="s">
        <v>44</v>
      </c>
      <c r="B28" t="s">
        <v>48</v>
      </c>
      <c r="C28" t="s">
        <v>67</v>
      </c>
      <c r="D28">
        <v>8600</v>
      </c>
      <c r="E28" s="1">
        <v>1.3777777777777778</v>
      </c>
      <c r="F28">
        <v>0</v>
      </c>
      <c r="G28">
        <v>1</v>
      </c>
      <c r="H28">
        <v>1</v>
      </c>
      <c r="I28">
        <v>0</v>
      </c>
      <c r="J28">
        <v>2</v>
      </c>
      <c r="K28">
        <v>1</v>
      </c>
      <c r="L28">
        <v>38</v>
      </c>
      <c r="M28">
        <v>1</v>
      </c>
      <c r="N28">
        <v>3</v>
      </c>
      <c r="O28">
        <v>0</v>
      </c>
      <c r="P28">
        <v>2</v>
      </c>
      <c r="Q28">
        <v>1</v>
      </c>
      <c r="R28">
        <v>0</v>
      </c>
      <c r="S28" s="1">
        <f>17/(21+17)</f>
        <v>0.44736842105263158</v>
      </c>
      <c r="T28" s="1">
        <f>(F28*10+G28*6+H28+I28+J28+8.7+K28+L28*0.02+M28-N28*0.5+O28+P28*0.5-Q28*1.5-R28*6)/5 + (S28-0/5)*10</f>
        <v>8.1656842105263152</v>
      </c>
      <c r="U28" s="1">
        <f>T28/(D28/1000)</f>
        <v>0.9494981640146879</v>
      </c>
      <c r="V28" s="1">
        <f>(H28+I28+J28+8.7+K28+L28*0.02+M28-N28*0.5+O28+P28*0.5-Q28*1.5)/5 + (S28-0/5)*10</f>
        <v>6.9656842105263159</v>
      </c>
      <c r="W28" s="1">
        <f>V28/(D28/1000)</f>
        <v>0.80996328029375775</v>
      </c>
      <c r="X28" s="1">
        <f>(F28*10+G28*6+H28+I28+J28+8.7+K28+L28*0.02+M28-N28*0.5+O28+P28*0.5-Q28*1.5-R28*6)/E28 + (S28-0/5)*10</f>
        <v>17.872071307300509</v>
      </c>
      <c r="Y28" s="1">
        <f>X28/(D28/1000)</f>
        <v>2.0781478264302917</v>
      </c>
      <c r="Z28" s="1">
        <f>(H28+I28+J28+8.7+K28+L28*0.02+M28-N28*0.5+O28+P28*0.5-Q28*1.5)/E28 + (S28-0/5)*10</f>
        <v>13.517232597623089</v>
      </c>
      <c r="AA28" s="1">
        <f>Z28/(D28/1000)</f>
        <v>1.5717712322817545</v>
      </c>
      <c r="AD28">
        <f>(83+78)/2</f>
        <v>80.5</v>
      </c>
      <c r="AE28">
        <f>(14+7+25)/4</f>
        <v>11.5</v>
      </c>
    </row>
    <row r="29" spans="1:32" x14ac:dyDescent="0.2">
      <c r="A29" t="s">
        <v>54</v>
      </c>
      <c r="B29" t="s">
        <v>65</v>
      </c>
      <c r="C29" t="s">
        <v>70</v>
      </c>
      <c r="D29">
        <v>6800</v>
      </c>
      <c r="E29" s="1">
        <v>1.3222222222222222</v>
      </c>
      <c r="F29">
        <v>1</v>
      </c>
      <c r="G29">
        <v>0</v>
      </c>
      <c r="H29">
        <v>4</v>
      </c>
      <c r="I29">
        <v>3</v>
      </c>
      <c r="J29">
        <v>0</v>
      </c>
      <c r="K29">
        <v>3</v>
      </c>
      <c r="L29">
        <v>24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 s="1">
        <f>2/7</f>
        <v>0.2857142857142857</v>
      </c>
      <c r="T29" s="1">
        <f>(F29*10+G29*6+H29+I29+J29+8.7+K29+L29*0.02+M29-N29*0.5+O29+P29*0.5-Q29*1.5-R29*6)/5 + (S29-0/5)*10</f>
        <v>9.0931428571428565</v>
      </c>
      <c r="U29" s="1">
        <f>T29/(D29/1000)</f>
        <v>1.3372268907563025</v>
      </c>
      <c r="V29" s="1">
        <f>(H29+I29+J29+8.7+K29+L29*0.02+M29-N29*0.5+O29+P29*0.5-Q29*1.5)/5 + (S29-0/5)*10</f>
        <v>7.0931428571428565</v>
      </c>
      <c r="W29" s="1">
        <f>V29/(D29/1000)</f>
        <v>1.0431092436974789</v>
      </c>
      <c r="X29" s="1">
        <f>(F29*10+G29*6+H29+I29+J29+8.7+K29+L29*0.02+M29-N29*0.5+O29+P29*0.5-Q29*1.5-R29*6)/E29 + (S29-0/5)*10</f>
        <v>26.438655462184876</v>
      </c>
      <c r="Y29" s="1">
        <f>X29/(D29/1000)</f>
        <v>3.8880375679683641</v>
      </c>
      <c r="Z29" s="1">
        <f>(H29+I29+J29+8.7+K29+L29*0.02+M29-N29*0.5+O29+P29*0.5-Q29*1.5)/E29 + (S29-0/5)*10</f>
        <v>18.875630252100841</v>
      </c>
      <c r="AA29" s="1">
        <f>Z29/(D29/1000)</f>
        <v>2.7758279782501236</v>
      </c>
      <c r="AD29">
        <f>70</f>
        <v>70</v>
      </c>
      <c r="AE29">
        <f>(9+7+1+6+35)/5</f>
        <v>11.6</v>
      </c>
    </row>
    <row r="30" spans="1:32" x14ac:dyDescent="0.2">
      <c r="A30" t="s">
        <v>64</v>
      </c>
      <c r="B30" t="s">
        <v>65</v>
      </c>
      <c r="C30" t="s">
        <v>69</v>
      </c>
      <c r="D30">
        <v>3800</v>
      </c>
      <c r="E30" s="1">
        <v>1.0666666666666667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57</v>
      </c>
      <c r="M30">
        <v>0</v>
      </c>
      <c r="N30">
        <v>1</v>
      </c>
      <c r="O30">
        <v>1</v>
      </c>
      <c r="P30">
        <v>2</v>
      </c>
      <c r="Q30">
        <v>0</v>
      </c>
      <c r="R30">
        <v>0</v>
      </c>
      <c r="S30" s="1">
        <f>2/7</f>
        <v>0.2857142857142857</v>
      </c>
      <c r="T30" s="1">
        <f>(F30*10+G30*6+H30+I30+J30+8.7+K30+L30*0.02+M30-N30*0.5+O30+P30*0.5-Q30*1.5-R30*6)/5 + (S30-0/5)*10</f>
        <v>5.1251428571428566</v>
      </c>
      <c r="U30" s="1">
        <f>T30/(D30/1000)</f>
        <v>1.3487218045112781</v>
      </c>
      <c r="V30" s="1">
        <f>(H30+I30+J30+8.7+K30+L30*0.02+M30-N30*0.5+O30+P30*0.5-Q30*1.5)/5 + (S30-0/5)*10</f>
        <v>5.1251428571428566</v>
      </c>
      <c r="W30" s="1">
        <f>V30/(D30/1000)</f>
        <v>1.3487218045112781</v>
      </c>
      <c r="X30" s="1">
        <f>(F30*10+G30*6+H30+I30+J30+8.7+K30+L30*0.02+M30-N30*0.5+O30+P30*0.5-Q30*1.5-R30*6)/E30 + (S30-0/5)*10</f>
        <v>13.488392857142856</v>
      </c>
      <c r="Y30" s="1">
        <f>X30/(D30/1000)</f>
        <v>3.5495770676691727</v>
      </c>
      <c r="Z30" s="1">
        <f>(H30+I30+J30+8.7+K30+L30*0.02+M30-N30*0.5+O30+P30*0.5-Q30*1.5)/E30 + (S30-0/5)*10</f>
        <v>13.488392857142856</v>
      </c>
      <c r="AA30" s="1">
        <f>Z30/(D30/1000)</f>
        <v>3.5495770676691727</v>
      </c>
      <c r="AD30">
        <f>90</f>
        <v>90</v>
      </c>
      <c r="AE30">
        <f>6/5</f>
        <v>1.2</v>
      </c>
    </row>
    <row r="31" spans="1:32" x14ac:dyDescent="0.2">
      <c r="A31" t="s">
        <v>51</v>
      </c>
      <c r="B31" t="s">
        <v>65</v>
      </c>
      <c r="C31" t="s">
        <v>68</v>
      </c>
      <c r="D31">
        <v>4600</v>
      </c>
      <c r="E31" s="1">
        <v>1.0555555555555556</v>
      </c>
      <c r="F31">
        <v>0</v>
      </c>
      <c r="G31">
        <v>0</v>
      </c>
      <c r="H31">
        <v>1</v>
      </c>
      <c r="I31">
        <v>0</v>
      </c>
      <c r="J31">
        <v>1</v>
      </c>
      <c r="K31">
        <v>1</v>
      </c>
      <c r="L31">
        <v>57</v>
      </c>
      <c r="M31">
        <v>1</v>
      </c>
      <c r="N31">
        <v>5</v>
      </c>
      <c r="O31">
        <v>1</v>
      </c>
      <c r="P31">
        <v>0</v>
      </c>
      <c r="Q31">
        <v>0</v>
      </c>
      <c r="R31">
        <v>0</v>
      </c>
      <c r="S31" s="1">
        <f>2/7</f>
        <v>0.2857142857142857</v>
      </c>
      <c r="T31" s="1">
        <f>(F31*10+G31*6+H31+I31+J31+8.7+K31+L31*0.02+M31-N31*0.5+O31+P31*0.5-Q31*1.5-R31*6)/5 + (S31-0/5)*10</f>
        <v>5.3251428571428567</v>
      </c>
      <c r="U31" s="1">
        <f>T31/(D31/1000)</f>
        <v>1.157639751552795</v>
      </c>
      <c r="V31" s="1">
        <f>(H31+I31+J31+8.7+K31+L31*0.02+M31-N31*0.5+O31+P31*0.5-Q31*1.5)/5 + (S31-0/5)*10</f>
        <v>5.3251428571428567</v>
      </c>
      <c r="W31" s="1">
        <f>V31/(D31/1000)</f>
        <v>1.157639751552795</v>
      </c>
      <c r="X31" s="1">
        <f>(F31*10+G31*6+H31+I31+J31+8.7+K31+L31*0.02+M31-N31*0.5+O31+P31*0.5-Q31*1.5-R31*6)/E31 + (S31-0/5)*10</f>
        <v>14.547669172932331</v>
      </c>
      <c r="Y31" s="1">
        <f>X31/(D31/1000)</f>
        <v>3.1625367767244201</v>
      </c>
      <c r="Z31" s="1">
        <f>(H31+I31+J31+8.7+K31+L31*0.02+M31-N31*0.5+O31+P31*0.5-Q31*1.5)/E31 + (S31-0/5)*10</f>
        <v>14.547669172932331</v>
      </c>
      <c r="AA31" s="1">
        <f>Z31/(D31/1000)</f>
        <v>3.1625367767244201</v>
      </c>
      <c r="AD31">
        <f>60</f>
        <v>60</v>
      </c>
      <c r="AE31">
        <f>(9+12+1+6+16)/5</f>
        <v>8.8000000000000007</v>
      </c>
    </row>
    <row r="32" spans="1:32" x14ac:dyDescent="0.2">
      <c r="A32" t="s">
        <v>40</v>
      </c>
      <c r="B32" t="s">
        <v>48</v>
      </c>
      <c r="C32" t="s">
        <v>67</v>
      </c>
      <c r="D32">
        <v>3600</v>
      </c>
      <c r="E32" s="1">
        <v>0.97777777777777775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30</v>
      </c>
      <c r="M32">
        <v>2</v>
      </c>
      <c r="N32">
        <v>3</v>
      </c>
      <c r="O32">
        <v>1</v>
      </c>
      <c r="P32">
        <v>2</v>
      </c>
      <c r="Q32">
        <v>0</v>
      </c>
      <c r="R32">
        <v>0</v>
      </c>
      <c r="S32" s="1">
        <f>17/(21+17)</f>
        <v>0.44736842105263158</v>
      </c>
      <c r="T32" s="1">
        <f>(F32*10+G32*6+H32+I32+J32+8.7+K32+L32*0.02+M32-N32*0.5+O32+P32*0.5-Q32*1.5-R32*6)/5 + (S32-0/5)*10</f>
        <v>7.2336842105263157</v>
      </c>
      <c r="U32" s="1">
        <f>T32/(D32/1000)</f>
        <v>2.0093567251461986</v>
      </c>
      <c r="V32" s="1">
        <f>(H32+I32+J32+8.7+K32+L32*0.02+M32-N32*0.5+O32+P32*0.5-Q32*1.5)/5 + (S32-0/5)*10</f>
        <v>7.2336842105263157</v>
      </c>
      <c r="W32" s="1">
        <f>V32/(D32/1000)</f>
        <v>2.0093567251461986</v>
      </c>
      <c r="X32" s="1">
        <f>(F32*10+G32*6+H32+I32+J32+8.7+K32+L32*0.02+M32-N32*0.5+O32+P32*0.5-Q32*1.5-R32*6)/E32 + (S32-0/5)*10</f>
        <v>18.587320574162678</v>
      </c>
      <c r="Y32" s="1">
        <f>X32/(D32/1000)</f>
        <v>5.1631446039340769</v>
      </c>
      <c r="Z32" s="1">
        <f>(H32+I32+J32+8.7+K32+L32*0.02+M32-N32*0.5+O32+P32*0.5-Q32*1.5)/E32 + (S32-0/5)*10</f>
        <v>18.587320574162678</v>
      </c>
      <c r="AA32" s="1">
        <f>Z32/(D32/1000)</f>
        <v>5.1631446039340769</v>
      </c>
      <c r="AD32">
        <f>88</f>
        <v>88</v>
      </c>
      <c r="AE32">
        <f>27/5</f>
        <v>5.4</v>
      </c>
    </row>
    <row r="33" spans="1:31" x14ac:dyDescent="0.2">
      <c r="A33" t="s">
        <v>46</v>
      </c>
      <c r="B33" t="s">
        <v>48</v>
      </c>
      <c r="C33" t="s">
        <v>68</v>
      </c>
      <c r="D33">
        <v>8000</v>
      </c>
      <c r="E33" s="1">
        <v>0.65555555555555556</v>
      </c>
      <c r="F33">
        <v>0</v>
      </c>
      <c r="G33">
        <v>0</v>
      </c>
      <c r="H33">
        <v>0</v>
      </c>
      <c r="I33">
        <v>0</v>
      </c>
      <c r="J33">
        <v>3</v>
      </c>
      <c r="K33">
        <v>1</v>
      </c>
      <c r="L33">
        <v>32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 s="1">
        <f>17/(21+17)</f>
        <v>0.44736842105263158</v>
      </c>
      <c r="T33" s="1">
        <f>(F33*10+G33*6+H33+I33+J33+8.7+K33+L33*0.02+M33-N33*0.5+O33+P33*0.5-Q33*1.5-R33*6)/5 + (S33-0/5)*10</f>
        <v>7.3416842105263154</v>
      </c>
      <c r="U33" s="1">
        <f>T33/(D33/1000)</f>
        <v>0.91771052631578942</v>
      </c>
      <c r="V33" s="1">
        <f>(H33+I33+J33+8.7+K33+L33*0.02+M33-N33*0.5+O33+P33*0.5-Q33*1.5)/5 + (S33-0/5)*10</f>
        <v>7.3416842105263154</v>
      </c>
      <c r="W33" s="1">
        <f>V33/(D33/1000)</f>
        <v>0.91771052631578942</v>
      </c>
      <c r="X33" s="1">
        <f>(F33*10+G33*6+H33+I33+J33+8.7+K33+L33*0.02+M33-N33*0.5+O33+P33*0.5-Q33*1.5-R33*6)/E33 + (S33-0/5)*10</f>
        <v>26.348260481712757</v>
      </c>
      <c r="Y33" s="1">
        <f>X33/(D33/1000)</f>
        <v>3.2935325602140946</v>
      </c>
      <c r="Z33" s="1">
        <f>(H33+I33+J33+8.7+K33+L33*0.02+M33-N33*0.5+O33+P33*0.5-Q33*1.5)/E33 + (S33-0/5)*10</f>
        <v>26.348260481712757</v>
      </c>
      <c r="AA33" s="1">
        <f>Z33/(D33/1000)</f>
        <v>3.2935325602140946</v>
      </c>
      <c r="AD33">
        <v>59</v>
      </c>
      <c r="AE33">
        <f>7/5</f>
        <v>1.4</v>
      </c>
    </row>
    <row r="34" spans="1:31" x14ac:dyDescent="0.2">
      <c r="A34" t="s">
        <v>42</v>
      </c>
      <c r="B34" t="s">
        <v>48</v>
      </c>
      <c r="C34" t="s">
        <v>67</v>
      </c>
      <c r="D34">
        <v>9400</v>
      </c>
      <c r="E34" s="1">
        <v>0.6</v>
      </c>
      <c r="F34">
        <v>1</v>
      </c>
      <c r="G34">
        <v>0</v>
      </c>
      <c r="H34">
        <v>4</v>
      </c>
      <c r="I34">
        <v>4</v>
      </c>
      <c r="J34">
        <v>3</v>
      </c>
      <c r="K34">
        <v>3</v>
      </c>
      <c r="L34">
        <v>24</v>
      </c>
      <c r="M34">
        <v>0</v>
      </c>
      <c r="N34">
        <v>2</v>
      </c>
      <c r="O34">
        <v>1</v>
      </c>
      <c r="P34">
        <v>0</v>
      </c>
      <c r="Q34">
        <v>1</v>
      </c>
      <c r="R34">
        <v>0</v>
      </c>
      <c r="S34" s="1">
        <f>17/(21+17)</f>
        <v>0.44736842105263158</v>
      </c>
      <c r="T34" s="1">
        <f>(F34*10+G34*6+H34+I34+J34+8.7+K34+L34*0.02+M34-N34*0.5+O34+P34*0.5-Q34*1.5-R34*6)/5 + (S34-0/5)*10</f>
        <v>10.809684210526317</v>
      </c>
      <c r="U34" s="1">
        <f>T34/(D34/1000)</f>
        <v>1.1499664053751402</v>
      </c>
      <c r="V34" s="1">
        <f>(H34+I34+J34+8.7+K34+L34*0.02+M34-N34*0.5+O34+P34*0.5-Q34*1.5)/5 + (S34-0/5)*10</f>
        <v>8.8096842105263171</v>
      </c>
      <c r="W34" s="1">
        <f>V34/(D34/1000)</f>
        <v>0.93720044792833157</v>
      </c>
      <c r="X34" s="1">
        <f>(F34*10+G34*6+H34+I34+J34+8.7+K34+L34*0.02+M34-N34*0.5+O34+P34*0.5-Q34*1.5-R34*6)/E34 + (S34-0/5)*10</f>
        <v>57.273684210526319</v>
      </c>
      <c r="Y34" s="1">
        <f>X34/(D34/1000)</f>
        <v>6.0929451287793954</v>
      </c>
      <c r="Z34" s="1">
        <f>(H34+I34+J34+8.7+K34+L34*0.02+M34-N34*0.5+O34+P34*0.5-Q34*1.5)/E34 + (S34-0/5)*10</f>
        <v>40.607017543859648</v>
      </c>
      <c r="AA34" s="1">
        <f>Z34/(D34/1000)</f>
        <v>4.3198954833893239</v>
      </c>
      <c r="AD34">
        <v>63</v>
      </c>
      <c r="AE34">
        <f>(2+1+9+32+10)/5</f>
        <v>10.8</v>
      </c>
    </row>
    <row r="35" spans="1:31" x14ac:dyDescent="0.2">
      <c r="A35" t="s">
        <v>38</v>
      </c>
      <c r="B35" t="s">
        <v>48</v>
      </c>
      <c r="C35" t="s">
        <v>67</v>
      </c>
      <c r="D35">
        <v>6200</v>
      </c>
      <c r="E35" s="1">
        <v>0.5</v>
      </c>
      <c r="F35">
        <v>0</v>
      </c>
      <c r="G35">
        <v>0</v>
      </c>
      <c r="H35">
        <v>1</v>
      </c>
      <c r="I35">
        <v>1</v>
      </c>
      <c r="J35">
        <v>1</v>
      </c>
      <c r="K35">
        <v>0</v>
      </c>
      <c r="L35">
        <v>14</v>
      </c>
      <c r="M35">
        <v>1</v>
      </c>
      <c r="N35">
        <v>0</v>
      </c>
      <c r="O35">
        <v>3</v>
      </c>
      <c r="P35">
        <v>0</v>
      </c>
      <c r="Q35">
        <v>0</v>
      </c>
      <c r="R35">
        <v>0</v>
      </c>
      <c r="S35" s="1">
        <f>17/(21+17)</f>
        <v>0.44736842105263158</v>
      </c>
      <c r="T35" s="1">
        <f>(F35*10+G35*6+H35+I35+J35+8.7+K35+L35*0.02+M35-N35*0.5+O35+P35*0.5-Q35*1.5-R35*6)/5 + (S35-0/5)*10</f>
        <v>7.6696842105263157</v>
      </c>
      <c r="U35" s="1">
        <f>T35/(D35/1000)</f>
        <v>1.2370458404074702</v>
      </c>
      <c r="V35" s="1">
        <f>(H35+I35+J35+8.7+K35+L35*0.02+M35-N35*0.5+O35+P35*0.5-Q35*1.5)/5 + (S35-0/5)*10</f>
        <v>7.6696842105263157</v>
      </c>
      <c r="W35" s="1">
        <f>V35/(D35/1000)</f>
        <v>1.2370458404074702</v>
      </c>
      <c r="X35" s="1">
        <f>(F35*10+G35*6+H35+I35+J35+8.7+K35+L35*0.02+M35-N35*0.5+O35+P35*0.5-Q35*1.5-R35*6)/E35 + (S35-0/5)*10</f>
        <v>36.433684210526316</v>
      </c>
      <c r="Y35" s="1">
        <f>X35/(D35/1000)</f>
        <v>5.8764006791171477</v>
      </c>
      <c r="Z35" s="1">
        <f>(H35+I35+J35+8.7+K35+L35*0.02+M35-N35*0.5+O35+P35*0.5-Q35*1.5)/E35 + (S35-0/5)*10</f>
        <v>36.433684210526316</v>
      </c>
      <c r="AA35" s="1">
        <f>Z35/(D35/1000)</f>
        <v>5.8764006791171477</v>
      </c>
      <c r="AD35">
        <f>83</f>
        <v>83</v>
      </c>
      <c r="AE35">
        <f>(2+1+32+10)/5</f>
        <v>9</v>
      </c>
    </row>
  </sheetData>
  <sortState xmlns:xlrd2="http://schemas.microsoft.com/office/spreadsheetml/2017/richdata2" ref="A2:AF35">
    <sortCondition ref="AF2:AF35"/>
    <sortCondition descending="1" ref="E2:E35"/>
  </sortState>
  <conditionalFormatting sqref="X2:X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2020-08-19T05:05:57Z</dcterms:created>
  <dcterms:modified xsi:type="dcterms:W3CDTF">2020-08-20T05:33:41Z</dcterms:modified>
</cp:coreProperties>
</file>