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DD3D2C38-766C-F94F-BE2B-0967A9C6C055}" xr6:coauthVersionLast="45" xr6:coauthVersionMax="45" xr10:uidLastSave="{00000000-0000-0000-0000-000000000000}"/>
  <bookViews>
    <workbookView xWindow="-38400" yWindow="0" windowWidth="38400" windowHeight="21600" xr2:uid="{92D2313E-1461-6343-B4D1-164EF7E2B2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7" i="1" l="1"/>
  <c r="AP7" i="1"/>
  <c r="AQ17" i="1"/>
  <c r="AP13" i="1"/>
  <c r="AQ3" i="1"/>
  <c r="AP3" i="1" l="1"/>
  <c r="AQ14" i="1"/>
  <c r="AP2" i="1"/>
  <c r="AQ18" i="1"/>
  <c r="AQ15" i="1"/>
  <c r="AQ12" i="1"/>
  <c r="AP4" i="1"/>
  <c r="AP5" i="1"/>
  <c r="AQ19" i="1"/>
  <c r="AQ9" i="1"/>
  <c r="AP9" i="1"/>
  <c r="AP10" i="1"/>
  <c r="AK10" i="1"/>
  <c r="AL10" i="1" s="1"/>
  <c r="AK20" i="1"/>
  <c r="AL20" i="1" s="1"/>
  <c r="AK11" i="1"/>
  <c r="AL11" i="1" s="1"/>
  <c r="AK9" i="1"/>
  <c r="AL9" i="1" s="1"/>
  <c r="AK19" i="1"/>
  <c r="AL19" i="1" s="1"/>
  <c r="AK5" i="1"/>
  <c r="AL5" i="1"/>
  <c r="AK4" i="1"/>
  <c r="AL4" i="1" s="1"/>
  <c r="AK6" i="1"/>
  <c r="AL6" i="1" s="1"/>
  <c r="AK12" i="1"/>
  <c r="AL12" i="1" s="1"/>
  <c r="AK15" i="1"/>
  <c r="AL15" i="1" s="1"/>
  <c r="AK18" i="1"/>
  <c r="AL18" i="1" s="1"/>
  <c r="AK2" i="1"/>
  <c r="AL2" i="1" s="1"/>
  <c r="AK14" i="1"/>
  <c r="AL14" i="1" s="1"/>
  <c r="AK3" i="1"/>
  <c r="AL3" i="1" s="1"/>
  <c r="AK13" i="1"/>
  <c r="AL13" i="1" s="1"/>
  <c r="AK16" i="1"/>
  <c r="AL16" i="1" s="1"/>
  <c r="AK17" i="1"/>
  <c r="AL17" i="1" s="1"/>
  <c r="AK7" i="1"/>
  <c r="AL7" i="1" s="1"/>
  <c r="AF10" i="1"/>
  <c r="AG10" i="1" s="1"/>
  <c r="AH10" i="1"/>
  <c r="AF20" i="1"/>
  <c r="AG20" i="1" s="1"/>
  <c r="AH20" i="1"/>
  <c r="AF11" i="1"/>
  <c r="AG11" i="1" s="1"/>
  <c r="AH11" i="1"/>
  <c r="AF9" i="1"/>
  <c r="AG9" i="1" s="1"/>
  <c r="AI9" i="1" s="1"/>
  <c r="AH9" i="1"/>
  <c r="AF19" i="1"/>
  <c r="AG19" i="1" s="1"/>
  <c r="AH19" i="1"/>
  <c r="AF5" i="1"/>
  <c r="AG5" i="1" s="1"/>
  <c r="AI5" i="1" s="1"/>
  <c r="AH5" i="1"/>
  <c r="AF4" i="1"/>
  <c r="AG4" i="1" s="1"/>
  <c r="AH4" i="1"/>
  <c r="AF6" i="1"/>
  <c r="AG6" i="1" s="1"/>
  <c r="AI6" i="1" s="1"/>
  <c r="AH6" i="1"/>
  <c r="AF12" i="1"/>
  <c r="AG12" i="1" s="1"/>
  <c r="AH12" i="1"/>
  <c r="AF15" i="1"/>
  <c r="AG15" i="1" s="1"/>
  <c r="AI15" i="1" s="1"/>
  <c r="AH15" i="1"/>
  <c r="AF18" i="1"/>
  <c r="AG18" i="1" s="1"/>
  <c r="AH18" i="1"/>
  <c r="AF2" i="1"/>
  <c r="AG2" i="1" s="1"/>
  <c r="AI2" i="1" s="1"/>
  <c r="AH2" i="1"/>
  <c r="AF14" i="1"/>
  <c r="AG14" i="1" s="1"/>
  <c r="AH14" i="1"/>
  <c r="AF3" i="1"/>
  <c r="AG3" i="1" s="1"/>
  <c r="AI3" i="1" s="1"/>
  <c r="AH3" i="1"/>
  <c r="AF13" i="1"/>
  <c r="AG13" i="1" s="1"/>
  <c r="AH13" i="1"/>
  <c r="AF16" i="1"/>
  <c r="AG16" i="1" s="1"/>
  <c r="AI16" i="1" s="1"/>
  <c r="AH16" i="1"/>
  <c r="AF17" i="1"/>
  <c r="AG17" i="1" s="1"/>
  <c r="AH17" i="1"/>
  <c r="AF7" i="1"/>
  <c r="AG7" i="1" s="1"/>
  <c r="AI7" i="1" s="1"/>
  <c r="AH7" i="1"/>
  <c r="AA10" i="1"/>
  <c r="AB10" i="1" s="1"/>
  <c r="AA20" i="1"/>
  <c r="AB20" i="1" s="1"/>
  <c r="AA11" i="1"/>
  <c r="AB11" i="1" s="1"/>
  <c r="AA9" i="1"/>
  <c r="AB9" i="1" s="1"/>
  <c r="AA19" i="1"/>
  <c r="AB19" i="1" s="1"/>
  <c r="AA5" i="1"/>
  <c r="AB5" i="1" s="1"/>
  <c r="AA4" i="1"/>
  <c r="AB4" i="1" s="1"/>
  <c r="AA6" i="1"/>
  <c r="AB6" i="1" s="1"/>
  <c r="AA12" i="1"/>
  <c r="AB12" i="1" s="1"/>
  <c r="AA15" i="1"/>
  <c r="AB15" i="1" s="1"/>
  <c r="AA18" i="1"/>
  <c r="AB18" i="1" s="1"/>
  <c r="AA2" i="1"/>
  <c r="AB2" i="1" s="1"/>
  <c r="AA14" i="1"/>
  <c r="AB14" i="1" s="1"/>
  <c r="AA3" i="1"/>
  <c r="AB3" i="1" s="1"/>
  <c r="AA13" i="1"/>
  <c r="AB13" i="1" s="1"/>
  <c r="AA16" i="1"/>
  <c r="AB16" i="1" s="1"/>
  <c r="AA17" i="1"/>
  <c r="AB17" i="1" s="1"/>
  <c r="AA7" i="1"/>
  <c r="AB7" i="1" s="1"/>
  <c r="W10" i="1"/>
  <c r="X10" i="1" s="1"/>
  <c r="W20" i="1"/>
  <c r="X20" i="1" s="1"/>
  <c r="W11" i="1"/>
  <c r="X11" i="1" s="1"/>
  <c r="W9" i="1"/>
  <c r="X9" i="1" s="1"/>
  <c r="W19" i="1"/>
  <c r="X19" i="1" s="1"/>
  <c r="W5" i="1"/>
  <c r="X5" i="1" s="1"/>
  <c r="W4" i="1"/>
  <c r="X4" i="1" s="1"/>
  <c r="W6" i="1"/>
  <c r="X6" i="1" s="1"/>
  <c r="W12" i="1"/>
  <c r="X12" i="1" s="1"/>
  <c r="W15" i="1"/>
  <c r="X15" i="1" s="1"/>
  <c r="W18" i="1"/>
  <c r="X18" i="1" s="1"/>
  <c r="W2" i="1"/>
  <c r="X2" i="1" s="1"/>
  <c r="W14" i="1"/>
  <c r="X14" i="1" s="1"/>
  <c r="W3" i="1"/>
  <c r="X3" i="1" s="1"/>
  <c r="W13" i="1"/>
  <c r="X13" i="1" s="1"/>
  <c r="W16" i="1"/>
  <c r="X16" i="1" s="1"/>
  <c r="W17" i="1"/>
  <c r="X17" i="1" s="1"/>
  <c r="W7" i="1"/>
  <c r="X7" i="1" s="1"/>
  <c r="AK8" i="1"/>
  <c r="AL8" i="1" s="1"/>
  <c r="AH8" i="1"/>
  <c r="AG8" i="1"/>
  <c r="AI8" i="1" s="1"/>
  <c r="AF8" i="1"/>
  <c r="AA8" i="1"/>
  <c r="AB8" i="1" s="1"/>
  <c r="W8" i="1"/>
  <c r="X8" i="1" s="1"/>
  <c r="AM10" i="1"/>
  <c r="AN10" i="1"/>
  <c r="AM20" i="1"/>
  <c r="AN20" i="1"/>
  <c r="AM11" i="1"/>
  <c r="AN11" i="1"/>
  <c r="AM9" i="1"/>
  <c r="AN9" i="1"/>
  <c r="AM19" i="1"/>
  <c r="AN19" i="1"/>
  <c r="AM5" i="1"/>
  <c r="AN5" i="1"/>
  <c r="AM4" i="1"/>
  <c r="AN4" i="1"/>
  <c r="AM6" i="1"/>
  <c r="AN6" i="1"/>
  <c r="AM12" i="1"/>
  <c r="AN12" i="1"/>
  <c r="AM15" i="1"/>
  <c r="AN15" i="1"/>
  <c r="AM18" i="1"/>
  <c r="AN18" i="1"/>
  <c r="AM2" i="1"/>
  <c r="AN2" i="1"/>
  <c r="AM14" i="1"/>
  <c r="AN14" i="1"/>
  <c r="AM3" i="1"/>
  <c r="AN3" i="1"/>
  <c r="AM13" i="1"/>
  <c r="AN13" i="1"/>
  <c r="AM16" i="1"/>
  <c r="AN16" i="1"/>
  <c r="AM17" i="1"/>
  <c r="AN17" i="1"/>
  <c r="AM7" i="1"/>
  <c r="AN7" i="1"/>
  <c r="AN8" i="1"/>
  <c r="AM8" i="1"/>
  <c r="S10" i="1"/>
  <c r="T10" i="1"/>
  <c r="S20" i="1"/>
  <c r="T20" i="1"/>
  <c r="S11" i="1"/>
  <c r="T11" i="1"/>
  <c r="S9" i="1"/>
  <c r="T9" i="1"/>
  <c r="S19" i="1"/>
  <c r="T19" i="1"/>
  <c r="S5" i="1"/>
  <c r="T5" i="1"/>
  <c r="S4" i="1"/>
  <c r="T4" i="1"/>
  <c r="S6" i="1"/>
  <c r="T6" i="1"/>
  <c r="S12" i="1"/>
  <c r="T12" i="1"/>
  <c r="S15" i="1"/>
  <c r="T15" i="1"/>
  <c r="S18" i="1"/>
  <c r="T18" i="1"/>
  <c r="S2" i="1"/>
  <c r="T2" i="1"/>
  <c r="S14" i="1"/>
  <c r="T14" i="1"/>
  <c r="S3" i="1"/>
  <c r="T3" i="1"/>
  <c r="S13" i="1"/>
  <c r="T13" i="1"/>
  <c r="S16" i="1"/>
  <c r="T16" i="1"/>
  <c r="S17" i="1"/>
  <c r="T17" i="1"/>
  <c r="S7" i="1"/>
  <c r="T7" i="1"/>
  <c r="T8" i="1"/>
  <c r="S8" i="1"/>
  <c r="AO16" i="1" l="1"/>
  <c r="AO2" i="1"/>
  <c r="AO6" i="1"/>
  <c r="AO9" i="1"/>
  <c r="AI4" i="1"/>
  <c r="AO4" i="1" s="1"/>
  <c r="AI17" i="1"/>
  <c r="AO17" i="1" s="1"/>
  <c r="AI13" i="1"/>
  <c r="AO13" i="1" s="1"/>
  <c r="AI14" i="1"/>
  <c r="AO14" i="1" s="1"/>
  <c r="AI18" i="1"/>
  <c r="AO18" i="1" s="1"/>
  <c r="AI12" i="1"/>
  <c r="AO12" i="1" s="1"/>
  <c r="AO7" i="1"/>
  <c r="AO3" i="1"/>
  <c r="AO15" i="1"/>
  <c r="AO5" i="1"/>
  <c r="AI20" i="1"/>
  <c r="AO20" i="1" s="1"/>
  <c r="AO8" i="1"/>
  <c r="AI19" i="1"/>
  <c r="AO19" i="1" s="1"/>
  <c r="AI11" i="1"/>
  <c r="AO11" i="1" s="1"/>
  <c r="AI10" i="1"/>
  <c r="AO10" i="1" s="1"/>
</calcChain>
</file>

<file path=xl/sharedStrings.xml><?xml version="1.0" encoding="utf-8"?>
<sst xmlns="http://schemas.openxmlformats.org/spreadsheetml/2006/main" count="112" uniqueCount="70">
  <si>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</si>
  <si>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</si>
  <si>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</si>
  <si>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</si>
  <si>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</si>
  <si>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</si>
  <si>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</si>
  <si>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</si>
  <si>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</si>
  <si>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</si>
  <si>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</si>
  <si>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</si>
  <si>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</si>
  <si>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</si>
  <si>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</si>
  <si>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</si>
  <si>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</si>
  <si>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</si>
  <si>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</si>
  <si>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</si>
  <si>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xG</t>
  </si>
  <si>
    <t>Team_xG</t>
  </si>
  <si>
    <t>xG_Share</t>
  </si>
  <si>
    <t>Proj_Gls</t>
  </si>
  <si>
    <t>xA</t>
  </si>
  <si>
    <t>Team_xA</t>
  </si>
  <si>
    <t>xA_Share</t>
  </si>
  <si>
    <t>Proj_Ast</t>
  </si>
  <si>
    <t>Team_Shot_Proj</t>
  </si>
  <si>
    <t>TeamSoT_Proj</t>
  </si>
  <si>
    <t>Team_Shots</t>
  </si>
  <si>
    <t>Shot_Share</t>
  </si>
  <si>
    <t>Proj_Shots</t>
  </si>
  <si>
    <t>SoT%</t>
  </si>
  <si>
    <t>Proj_SoT</t>
  </si>
  <si>
    <t>Team_KP</t>
  </si>
  <si>
    <t>KP_Share</t>
  </si>
  <si>
    <t>Proj_KP</t>
  </si>
  <si>
    <t>Team_Odds</t>
  </si>
  <si>
    <t>Team_Goal_Odds</t>
  </si>
  <si>
    <t>Pts_w_StartMins</t>
  </si>
  <si>
    <t>Start_Mins</t>
  </si>
  <si>
    <t>Sub_Mins</t>
  </si>
  <si>
    <t>Starting</t>
  </si>
  <si>
    <t>Keegan Rosenberry</t>
  </si>
  <si>
    <t>Danny Wilson</t>
  </si>
  <si>
    <t>Auston Trusty</t>
  </si>
  <si>
    <t>Lalas Abubakar</t>
  </si>
  <si>
    <t>Jonathan Lewis</t>
  </si>
  <si>
    <t>Nicolas Benezet</t>
  </si>
  <si>
    <t>Kellyn Acosta</t>
  </si>
  <si>
    <t>Diego Rubio</t>
  </si>
  <si>
    <t>Sam Vines</t>
  </si>
  <si>
    <t>Jack Price</t>
  </si>
  <si>
    <t>Nicolas Mezquida</t>
  </si>
  <si>
    <t>Jeremy Kelly</t>
  </si>
  <si>
    <t>Younes Namli</t>
  </si>
  <si>
    <t>Kei Kamara</t>
  </si>
  <si>
    <t>Cole Bassett</t>
  </si>
  <si>
    <t>Collen Warner</t>
  </si>
  <si>
    <t>William Yarbrough</t>
  </si>
  <si>
    <t>Brian Galvan</t>
  </si>
  <si>
    <t>Andre Shinyashiki</t>
  </si>
  <si>
    <t>COL</t>
  </si>
  <si>
    <t>y</t>
  </si>
  <si>
    <t>F</t>
  </si>
  <si>
    <t>D</t>
  </si>
  <si>
    <t>M</t>
  </si>
  <si>
    <t>M/F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</si>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</sst>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0AB1-0273-2845-82C8-65261B0B5008}">
  <dimension ref="A1:AR20"/>
  <sheetViews>
    <sheetView tabSelected="1" workbookViewId="0">
      <selection activeCell="L25" sqref="L25"/>
    </sheetView>
  </sheetViews>
  <sheetFormatPr baseColWidth="10" defaultRowHeight="16" x14ac:dyDescent="0.2"/>
  <cols>
    <col min="1" max="1" width="17" bestFit="1" customWidth="1"/>
    <col min="2" max="44" width="6.832031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56</v>
      </c>
      <c r="B2" t="s">
        <v>63</v>
      </c>
      <c r="C2" t="s">
        <v>67</v>
      </c>
      <c r="D2">
        <v>7800</v>
      </c>
      <c r="E2" s="1">
        <v>3.8</v>
      </c>
      <c r="F2">
        <v>0</v>
      </c>
      <c r="G2">
        <v>1</v>
      </c>
      <c r="H2">
        <v>9</v>
      </c>
      <c r="I2">
        <v>4</v>
      </c>
      <c r="J2">
        <v>15</v>
      </c>
      <c r="K2">
        <v>7</v>
      </c>
      <c r="L2">
        <v>128</v>
      </c>
      <c r="M2">
        <v>7</v>
      </c>
      <c r="N2">
        <v>4</v>
      </c>
      <c r="O2">
        <v>2</v>
      </c>
      <c r="P2">
        <v>2</v>
      </c>
      <c r="Q2">
        <v>0</v>
      </c>
      <c r="R2">
        <v>0</v>
      </c>
      <c r="S2" s="1">
        <f>(H2+I2+J2*0.7+K2+L2*0.02+M2-N2*0.5+O2+P2*0.5)/E2</f>
        <v>10.805263157894737</v>
      </c>
      <c r="T2" s="1">
        <f>(F2*10+G2*6+H2+I2+J2*0.7+K2+L2*0.02+M2-N2*0.5+O2+P2*0.5-Q2*1.5-R2*6)/E2</f>
        <v>12.38421052631579</v>
      </c>
      <c r="U2">
        <v>0.2</v>
      </c>
      <c r="V2">
        <v>6.2</v>
      </c>
      <c r="W2" s="1">
        <f>U2/V2</f>
        <v>3.2258064516129031E-2</v>
      </c>
      <c r="X2" s="1">
        <f>W2*AN2</f>
        <v>4.112903225806451E-2</v>
      </c>
      <c r="Y2">
        <v>1.1000000000000001</v>
      </c>
      <c r="Z2">
        <v>4.7</v>
      </c>
      <c r="AA2" s="1">
        <f>Y2/Z2</f>
        <v>0.23404255319148937</v>
      </c>
      <c r="AB2" s="1">
        <f>AA2*AN2</f>
        <v>0.29840425531914894</v>
      </c>
      <c r="AC2" s="2">
        <v>14.317773213453</v>
      </c>
      <c r="AD2" s="2">
        <v>3.0642225772433802</v>
      </c>
      <c r="AE2">
        <v>61</v>
      </c>
      <c r="AF2" s="1">
        <f>H2/AE2</f>
        <v>0.14754098360655737</v>
      </c>
      <c r="AG2" s="1">
        <f>AC2*AF2</f>
        <v>2.1124583429684756</v>
      </c>
      <c r="AH2" s="1">
        <f>IF(H2&gt;0, I2/H2, 0)</f>
        <v>0.44444444444444442</v>
      </c>
      <c r="AI2" s="1">
        <f>AG2*AH2</f>
        <v>0.93887037465265577</v>
      </c>
      <c r="AJ2">
        <v>47</v>
      </c>
      <c r="AK2" s="1">
        <f>K2/AJ2</f>
        <v>0.14893617021276595</v>
      </c>
      <c r="AL2" s="1">
        <f>AK2*(AC2*(AJ2/AE2))</f>
        <v>1.6430231556421475</v>
      </c>
      <c r="AM2" s="1">
        <f>4/15</f>
        <v>0.26666666666666666</v>
      </c>
      <c r="AN2" s="1">
        <f>(4/10)+(1/4)*2+(1/8)*3</f>
        <v>1.2749999999999999</v>
      </c>
      <c r="AO2" s="1">
        <f>IF(AR2="y",     (X2*10+AB2*6+AG2+AI2+AL2+(J2*0.7+L2*0.02+M2-N2*0.5+O2+P2*0.5-Q2*1.5)/E2)*(AP2/90)+(AM2-AVERAGE($AM$2:$AM37))*10,      (X2*10+AB2*6+AG2+AI2+AL2+(J2*0.7+L2*0.02+M2-N2*0.5+O2+P2*0.5-Q2*1.5)/E2)*(AQ2/90)+(AM2-AVERAGE($AM$2:$AM$37))*10)</f>
        <v>11.816264341370877</v>
      </c>
      <c r="AP2" s="2">
        <f>(90+88+74+90)/4</f>
        <v>85.5</v>
      </c>
      <c r="AQ2" s="2"/>
      <c r="AR2" t="s">
        <v>64</v>
      </c>
    </row>
    <row r="3" spans="1:44" x14ac:dyDescent="0.2">
      <c r="A3" t="s">
        <v>58</v>
      </c>
      <c r="B3" t="s">
        <v>63</v>
      </c>
      <c r="C3" t="s">
        <v>67</v>
      </c>
      <c r="D3">
        <v>5200</v>
      </c>
      <c r="E3" s="1">
        <v>1.9</v>
      </c>
      <c r="F3">
        <v>1</v>
      </c>
      <c r="G3">
        <v>1</v>
      </c>
      <c r="H3">
        <v>4</v>
      </c>
      <c r="I3">
        <v>2</v>
      </c>
      <c r="J3">
        <v>14</v>
      </c>
      <c r="K3">
        <v>2</v>
      </c>
      <c r="L3">
        <v>48</v>
      </c>
      <c r="M3">
        <v>3</v>
      </c>
      <c r="N3">
        <v>3</v>
      </c>
      <c r="O3">
        <v>2</v>
      </c>
      <c r="P3">
        <v>0</v>
      </c>
      <c r="Q3">
        <v>1</v>
      </c>
      <c r="R3">
        <v>0</v>
      </c>
      <c r="S3" s="1">
        <f>(H3+I3+J3*0.7+K3+L3*0.02+M3-N3*0.5+O3+P3*0.5)/E3</f>
        <v>11.715789473684209</v>
      </c>
      <c r="T3" s="1">
        <f>(F3*10+G3*6+H3+I3+J3*0.7+K3+L3*0.02+M3-N3*0.5+O3+P3*0.5-Q3*1.5-R3*6)/E3</f>
        <v>19.347368421052632</v>
      </c>
      <c r="U3">
        <v>0.79999999999999993</v>
      </c>
      <c r="V3">
        <v>6.2</v>
      </c>
      <c r="W3" s="1">
        <f>U3/V3</f>
        <v>0.12903225806451613</v>
      </c>
      <c r="X3" s="1">
        <f>W3*AN3</f>
        <v>0.16451612903225804</v>
      </c>
      <c r="Y3">
        <v>0.3</v>
      </c>
      <c r="Z3">
        <v>4.7</v>
      </c>
      <c r="AA3" s="1">
        <f>Y3/Z3</f>
        <v>6.3829787234042548E-2</v>
      </c>
      <c r="AB3" s="1">
        <f>AA3*AN3</f>
        <v>8.1382978723404248E-2</v>
      </c>
      <c r="AC3" s="2">
        <v>14.317773213453</v>
      </c>
      <c r="AD3" s="2">
        <v>3.0642225772433802</v>
      </c>
      <c r="AE3">
        <v>61</v>
      </c>
      <c r="AF3" s="1">
        <f>H3/AE3</f>
        <v>6.5573770491803282E-2</v>
      </c>
      <c r="AG3" s="1">
        <f>AC3*AF3</f>
        <v>0.93887037465265577</v>
      </c>
      <c r="AH3" s="1">
        <f>IF(H3&gt;0, I3/H3, 0)</f>
        <v>0.5</v>
      </c>
      <c r="AI3" s="1">
        <f>AG3*AH3</f>
        <v>0.46943518732632789</v>
      </c>
      <c r="AJ3">
        <v>47</v>
      </c>
      <c r="AK3" s="1">
        <f>K3/AJ3</f>
        <v>4.2553191489361701E-2</v>
      </c>
      <c r="AL3" s="1">
        <f>AK3*(AC3*(AJ3/AE3))</f>
        <v>0.46943518732632789</v>
      </c>
      <c r="AM3" s="1">
        <f>4/15</f>
        <v>0.26666666666666666</v>
      </c>
      <c r="AN3" s="1">
        <f>(4/10)+(1/4)*2+(1/8)*3</f>
        <v>1.2749999999999999</v>
      </c>
      <c r="AO3" s="1">
        <f>IF(AR3="y",     (X3*10+AB3*6+AG3+AI3+AL3+(J3*0.7+L3*0.02+M3-N3*0.5+O3+P3*0.5-Q3*1.5)/E3)*(AP3/90)+(AM3-AVERAGE($AM$2:$AM38))*10,      (X3*10+AB3*6+AG3+AI3+AL3+(J3*0.7+L3*0.02+M3-N3*0.5+O3+P3*0.5-Q3*1.5)/E3)*(AQ3/90)+(AM3-AVERAGE($AM$2:$AM$37))*10)</f>
        <v>9.2371297487563435</v>
      </c>
      <c r="AP3" s="2">
        <f>(67+88)/2</f>
        <v>77.5</v>
      </c>
      <c r="AQ3" s="2">
        <f>16/2</f>
        <v>8</v>
      </c>
      <c r="AR3" t="s">
        <v>64</v>
      </c>
    </row>
    <row r="4" spans="1:44" x14ac:dyDescent="0.2">
      <c r="A4" t="s">
        <v>51</v>
      </c>
      <c r="B4" t="s">
        <v>63</v>
      </c>
      <c r="C4" t="s">
        <v>65</v>
      </c>
      <c r="D4">
        <v>8200</v>
      </c>
      <c r="E4" s="1">
        <v>3.5222222222222221</v>
      </c>
      <c r="F4">
        <v>0</v>
      </c>
      <c r="G4">
        <v>0</v>
      </c>
      <c r="H4">
        <v>10</v>
      </c>
      <c r="I4">
        <v>1</v>
      </c>
      <c r="J4">
        <v>0</v>
      </c>
      <c r="K4">
        <v>7</v>
      </c>
      <c r="L4">
        <v>115</v>
      </c>
      <c r="M4">
        <v>8</v>
      </c>
      <c r="N4">
        <v>6</v>
      </c>
      <c r="O4">
        <v>3</v>
      </c>
      <c r="P4">
        <v>0</v>
      </c>
      <c r="Q4">
        <v>2</v>
      </c>
      <c r="R4">
        <v>0</v>
      </c>
      <c r="S4" s="1">
        <f>(H4+I4+J4*0.7+K4+L4*0.02+M4-N4*0.5+O4+P4*0.5)/E4</f>
        <v>8.0347003154574139</v>
      </c>
      <c r="T4" s="1">
        <f>(F4*10+G4*6+H4+I4+J4*0.7+K4+L4*0.02+M4-N4*0.5+O4+P4*0.5-Q4*1.5-R4*6)/E4</f>
        <v>7.1829652996845432</v>
      </c>
      <c r="U4">
        <v>0.9</v>
      </c>
      <c r="V4">
        <v>6.2</v>
      </c>
      <c r="W4" s="1">
        <f>U4/V4</f>
        <v>0.14516129032258066</v>
      </c>
      <c r="X4" s="1">
        <f>W4*AN4</f>
        <v>0.18508064516129033</v>
      </c>
      <c r="Y4">
        <v>1.2</v>
      </c>
      <c r="Z4">
        <v>4.7</v>
      </c>
      <c r="AA4" s="1">
        <f>Y4/Z4</f>
        <v>0.25531914893617019</v>
      </c>
      <c r="AB4" s="1">
        <f>AA4*AN4</f>
        <v>0.32553191489361699</v>
      </c>
      <c r="AC4" s="2">
        <v>14.317773213453</v>
      </c>
      <c r="AD4" s="2">
        <v>3.0642225772433802</v>
      </c>
      <c r="AE4">
        <v>61</v>
      </c>
      <c r="AF4" s="1">
        <f>H4/AE4</f>
        <v>0.16393442622950818</v>
      </c>
      <c r="AG4" s="1">
        <f>AC4*AF4</f>
        <v>2.3471759366316394</v>
      </c>
      <c r="AH4" s="1">
        <f>IF(H4&gt;0, I4/H4, 0)</f>
        <v>0.1</v>
      </c>
      <c r="AI4" s="1">
        <f>AG4*AH4</f>
        <v>0.23471759366316394</v>
      </c>
      <c r="AJ4">
        <v>47</v>
      </c>
      <c r="AK4" s="1">
        <f>K4/AJ4</f>
        <v>0.14893617021276595</v>
      </c>
      <c r="AL4" s="1">
        <f>AK4*(AC4*(AJ4/AE4))</f>
        <v>1.6430231556421475</v>
      </c>
      <c r="AM4" s="1">
        <f>4/15</f>
        <v>0.26666666666666666</v>
      </c>
      <c r="AN4" s="1">
        <f>(4/10)+(1/4)*2+(1/8)*3</f>
        <v>1.2749999999999999</v>
      </c>
      <c r="AO4" s="1">
        <f>IF(AR4="y",     (X4*10+AB4*6+AG4+AI4+AL4+(J4*0.7+L4*0.02+M4-N4*0.5+O4+P4*0.5-Q4*1.5)/E4)*(AP4/90)+(AM4-AVERAGE($AM$2:$AM39))*10,      (X4*10+AB4*6+AG4+AI4+AL4+(J4*0.7+L4*0.02+M4-N4*0.5+O4+P4*0.5-Q4*1.5)/E4)*(AQ4/90)+(AM4-AVERAGE($AM$2:$AM$37))*10)</f>
        <v>8.8949053798082307</v>
      </c>
      <c r="AP4" s="2">
        <f>(90+90+63+74)/4</f>
        <v>79.25</v>
      </c>
      <c r="AQ4" s="2"/>
      <c r="AR4" t="s">
        <v>64</v>
      </c>
    </row>
    <row r="5" spans="1:44" x14ac:dyDescent="0.2">
      <c r="A5" t="s">
        <v>50</v>
      </c>
      <c r="B5" t="s">
        <v>63</v>
      </c>
      <c r="C5" t="s">
        <v>67</v>
      </c>
      <c r="D5">
        <v>4000</v>
      </c>
      <c r="E5" s="1">
        <v>3.5666666666666669</v>
      </c>
      <c r="F5">
        <v>0</v>
      </c>
      <c r="G5">
        <v>0</v>
      </c>
      <c r="H5">
        <v>8</v>
      </c>
      <c r="I5">
        <v>1</v>
      </c>
      <c r="J5">
        <v>2</v>
      </c>
      <c r="K5">
        <v>6</v>
      </c>
      <c r="L5">
        <v>109</v>
      </c>
      <c r="M5">
        <v>0</v>
      </c>
      <c r="N5">
        <v>5</v>
      </c>
      <c r="O5">
        <v>6</v>
      </c>
      <c r="P5">
        <v>3</v>
      </c>
      <c r="Q5">
        <v>2</v>
      </c>
      <c r="R5">
        <v>0</v>
      </c>
      <c r="S5" s="1">
        <f>(H5+I5+J5*0.7+K5+L5*0.02+M5-N5*0.5+O5+P5*0.5)/E5</f>
        <v>6.6112149532710269</v>
      </c>
      <c r="T5" s="1">
        <f>(F5*10+G5*6+H5+I5+J5*0.7+K5+L5*0.02+M5-N5*0.5+O5+P5*0.5-Q5*1.5-R5*6)/E5</f>
        <v>5.7700934579439247</v>
      </c>
      <c r="U5">
        <v>1</v>
      </c>
      <c r="V5">
        <v>6.2</v>
      </c>
      <c r="W5" s="1">
        <f>U5/V5</f>
        <v>0.16129032258064516</v>
      </c>
      <c r="X5" s="1">
        <f>W5*AN5</f>
        <v>0.20564516129032256</v>
      </c>
      <c r="Y5">
        <v>0.5</v>
      </c>
      <c r="Z5">
        <v>4.7</v>
      </c>
      <c r="AA5" s="1">
        <f>Y5/Z5</f>
        <v>0.10638297872340426</v>
      </c>
      <c r="AB5" s="1">
        <f>AA5*AN5</f>
        <v>0.13563829787234041</v>
      </c>
      <c r="AC5" s="2">
        <v>14.317773213453</v>
      </c>
      <c r="AD5" s="2">
        <v>3.0642225772433802</v>
      </c>
      <c r="AE5">
        <v>61</v>
      </c>
      <c r="AF5" s="1">
        <f>H5/AE5</f>
        <v>0.13114754098360656</v>
      </c>
      <c r="AG5" s="1">
        <f>AC5*AF5</f>
        <v>1.8777407493053115</v>
      </c>
      <c r="AH5" s="1">
        <f>IF(H5&gt;0, I5/H5, 0)</f>
        <v>0.125</v>
      </c>
      <c r="AI5" s="1">
        <f>AG5*AH5</f>
        <v>0.23471759366316394</v>
      </c>
      <c r="AJ5">
        <v>47</v>
      </c>
      <c r="AK5" s="1">
        <f>K5/AJ5</f>
        <v>0.1276595744680851</v>
      </c>
      <c r="AL5" s="1">
        <f>AK5*(AC5*(AJ5/AE5))</f>
        <v>1.4083055619789835</v>
      </c>
      <c r="AM5" s="1">
        <f>4/15</f>
        <v>0.26666666666666666</v>
      </c>
      <c r="AN5" s="1">
        <f>(4/10)+(1/4)*2+(1/8)*3</f>
        <v>1.2749999999999999</v>
      </c>
      <c r="AO5" s="1">
        <f>IF(AR5="y",     (X5*10+AB5*6+AG5+AI5+AL5+(J5*0.7+L5*0.02+M5-N5*0.5+O5+P5*0.5-Q5*1.5)/E5)*(AP5/90)+(AM5-AVERAGE($AM$2:$AM40))*10,      (X5*10+AB5*6+AG5+AI5+AL5+(J5*0.7+L5*0.02+M5-N5*0.5+O5+P5*0.5-Q5*1.5)/E5)*(AQ5/90)+(AM5-AVERAGE($AM$2:$AM$37))*10)</f>
        <v>7.0936820637005491</v>
      </c>
      <c r="AP5" s="2">
        <f>(90+58+90+83)/4</f>
        <v>80.25</v>
      </c>
      <c r="AQ5" s="2"/>
      <c r="AR5" t="s">
        <v>64</v>
      </c>
    </row>
    <row r="6" spans="1:44" x14ac:dyDescent="0.2">
      <c r="A6" t="s">
        <v>52</v>
      </c>
      <c r="B6" t="s">
        <v>63</v>
      </c>
      <c r="C6" t="s">
        <v>66</v>
      </c>
      <c r="D6">
        <v>4400</v>
      </c>
      <c r="E6" s="1">
        <v>4</v>
      </c>
      <c r="F6">
        <v>0</v>
      </c>
      <c r="G6">
        <v>1</v>
      </c>
      <c r="H6">
        <v>0</v>
      </c>
      <c r="I6">
        <v>0</v>
      </c>
      <c r="J6">
        <v>7</v>
      </c>
      <c r="K6">
        <v>4</v>
      </c>
      <c r="L6">
        <v>153</v>
      </c>
      <c r="M6">
        <v>1</v>
      </c>
      <c r="N6">
        <v>2</v>
      </c>
      <c r="O6">
        <v>4</v>
      </c>
      <c r="P6">
        <v>6</v>
      </c>
      <c r="Q6">
        <v>0</v>
      </c>
      <c r="R6">
        <v>0</v>
      </c>
      <c r="S6" s="1">
        <f>(H6+I6+J6*0.7+K6+L6*0.02+M6-N6*0.5+O6+P6*0.5)/E6</f>
        <v>4.74</v>
      </c>
      <c r="T6" s="1">
        <f>(F6*10+G6*6+H6+I6+J6*0.7+K6+L6*0.02+M6-N6*0.5+O6+P6*0.5-Q6*1.5-R6*6)/E6</f>
        <v>6.2399999999999993</v>
      </c>
      <c r="U6">
        <v>0</v>
      </c>
      <c r="V6">
        <v>6.2</v>
      </c>
      <c r="W6" s="1">
        <f>U6/V6</f>
        <v>0</v>
      </c>
      <c r="X6" s="1">
        <f>W6*AN6</f>
        <v>0</v>
      </c>
      <c r="Y6">
        <v>0.7</v>
      </c>
      <c r="Z6">
        <v>4.7</v>
      </c>
      <c r="AA6" s="1">
        <f>Y6/Z6</f>
        <v>0.14893617021276595</v>
      </c>
      <c r="AB6" s="1">
        <f>AA6*AN6</f>
        <v>0.18989361702127658</v>
      </c>
      <c r="AC6" s="2">
        <v>14.317773213453</v>
      </c>
      <c r="AD6" s="2">
        <v>3.0642225772433802</v>
      </c>
      <c r="AE6">
        <v>61</v>
      </c>
      <c r="AF6" s="1">
        <f>H6/AE6</f>
        <v>0</v>
      </c>
      <c r="AG6" s="1">
        <f>AC6*AF6</f>
        <v>0</v>
      </c>
      <c r="AH6" s="1">
        <f>IF(H6&gt;0, I6/H6, 0)</f>
        <v>0</v>
      </c>
      <c r="AI6" s="1">
        <f>AG6*AH6</f>
        <v>0</v>
      </c>
      <c r="AJ6">
        <v>47</v>
      </c>
      <c r="AK6" s="1">
        <f>K6/AJ6</f>
        <v>8.5106382978723402E-2</v>
      </c>
      <c r="AL6" s="1">
        <f>AK6*(AC6*(AJ6/AE6))</f>
        <v>0.93887037465265577</v>
      </c>
      <c r="AM6" s="1">
        <f>4/15</f>
        <v>0.26666666666666666</v>
      </c>
      <c r="AN6" s="1">
        <f>(4/10)+(1/4)*2+(1/8)*3</f>
        <v>1.2749999999999999</v>
      </c>
      <c r="AO6" s="1">
        <f>IF(AR6="y",     (X6*10+AB6*6+AG6+AI6+AL6+(J6*0.7+L6*0.02+M6-N6*0.5+O6+P6*0.5-Q6*1.5)/E6)*(AP6/90)+(AM6-AVERAGE($AM$2:$AM41))*10,      (X6*10+AB6*6+AG6+AI6+AL6+(J6*0.7+L6*0.02+M6-N6*0.5+O6+P6*0.5-Q6*1.5)/E6)*(AQ6/90)+(AM6-AVERAGE($AM$2:$AM$37))*10)</f>
        <v>5.8182320767803155</v>
      </c>
      <c r="AP6" s="2">
        <v>90</v>
      </c>
      <c r="AQ6" s="2"/>
      <c r="AR6" t="s">
        <v>64</v>
      </c>
    </row>
    <row r="7" spans="1:44" x14ac:dyDescent="0.2">
      <c r="A7" t="s">
        <v>62</v>
      </c>
      <c r="B7" t="s">
        <v>63</v>
      </c>
      <c r="C7" t="s">
        <v>65</v>
      </c>
      <c r="D7">
        <v>6800</v>
      </c>
      <c r="E7" s="1">
        <v>1.5666666666666667</v>
      </c>
      <c r="F7">
        <v>0</v>
      </c>
      <c r="G7">
        <v>0</v>
      </c>
      <c r="H7">
        <v>6</v>
      </c>
      <c r="I7">
        <v>3</v>
      </c>
      <c r="J7">
        <v>1</v>
      </c>
      <c r="K7">
        <v>0</v>
      </c>
      <c r="L7">
        <v>33</v>
      </c>
      <c r="M7">
        <v>6</v>
      </c>
      <c r="N7">
        <v>1</v>
      </c>
      <c r="O7">
        <v>0</v>
      </c>
      <c r="P7">
        <v>1</v>
      </c>
      <c r="Q7">
        <v>0</v>
      </c>
      <c r="R7">
        <v>0</v>
      </c>
      <c r="S7" s="1">
        <f>(H7+I7+J7*0.7+K7+L7*0.02+M7-N7*0.5+O7+P7*0.5)/E7</f>
        <v>10.442553191489361</v>
      </c>
      <c r="T7" s="1">
        <f>(F7*10+G7*6+H7+I7+J7*0.7+K7+L7*0.02+M7-N7*0.5+O7+P7*0.5-Q7*1.5-R7*6)/E7</f>
        <v>10.442553191489361</v>
      </c>
      <c r="U7">
        <v>0.30000000000000004</v>
      </c>
      <c r="V7">
        <v>6.2</v>
      </c>
      <c r="W7" s="1">
        <f>U7/V7</f>
        <v>4.8387096774193554E-2</v>
      </c>
      <c r="X7" s="1">
        <f>W7*AN7</f>
        <v>6.1693548387096779E-2</v>
      </c>
      <c r="Y7">
        <v>0</v>
      </c>
      <c r="Z7">
        <v>4.7</v>
      </c>
      <c r="AA7" s="1">
        <f>Y7/Z7</f>
        <v>0</v>
      </c>
      <c r="AB7" s="1">
        <f>AA7*AN7</f>
        <v>0</v>
      </c>
      <c r="AC7" s="2">
        <v>14.317773213453</v>
      </c>
      <c r="AD7" s="2">
        <v>3.0642225772433802</v>
      </c>
      <c r="AE7">
        <v>61</v>
      </c>
      <c r="AF7" s="1">
        <f>H7/AE7</f>
        <v>9.8360655737704916E-2</v>
      </c>
      <c r="AG7" s="1">
        <f>AC7*AF7</f>
        <v>1.4083055619789835</v>
      </c>
      <c r="AH7" s="1">
        <f>IF(H7&gt;0, I7/H7, 0)</f>
        <v>0.5</v>
      </c>
      <c r="AI7" s="1">
        <f>AG7*AH7</f>
        <v>0.70415278098949174</v>
      </c>
      <c r="AJ7">
        <v>47</v>
      </c>
      <c r="AK7" s="1">
        <f>K7/AJ7</f>
        <v>0</v>
      </c>
      <c r="AL7" s="1">
        <f>AK7*(AC7*(AJ7/AE7))</f>
        <v>0</v>
      </c>
      <c r="AM7" s="1">
        <f>4/15</f>
        <v>0.26666666666666666</v>
      </c>
      <c r="AN7" s="1">
        <f>(4/10)+(1/4)*2+(1/8)*3</f>
        <v>1.2749999999999999</v>
      </c>
      <c r="AO7" s="1">
        <f>IF(AR7="y",     (X7*10+AB7*6+AG7+AI7+AL7+(J7*0.7+L7*0.02+M7-N7*0.5+O7+P7*0.5-Q7*1.5)/E7)*(AP7/90)+(AM7-AVERAGE($AM$2:$AM42))*10,      (X7*10+AB7*6+AG7+AI7+AL7+(J7*0.7+L7*0.02+M7-N7*0.5+O7+P7*0.5-Q7*1.5)/E7)*(AQ7/90)+(AM7-AVERAGE($AM$2:$AM$37))*10)</f>
        <v>4.992773367994789</v>
      </c>
      <c r="AP7" s="2">
        <f>(58+63)/2</f>
        <v>60.5</v>
      </c>
      <c r="AQ7" s="2">
        <f>20/2</f>
        <v>10</v>
      </c>
      <c r="AR7" t="s">
        <v>64</v>
      </c>
    </row>
    <row r="8" spans="1:44" x14ac:dyDescent="0.2">
      <c r="A8" t="s">
        <v>44</v>
      </c>
      <c r="B8" t="s">
        <v>63</v>
      </c>
      <c r="C8" t="s">
        <v>66</v>
      </c>
      <c r="D8">
        <v>5800</v>
      </c>
      <c r="E8" s="1">
        <v>4</v>
      </c>
      <c r="F8">
        <v>0</v>
      </c>
      <c r="G8">
        <v>0</v>
      </c>
      <c r="H8">
        <v>1</v>
      </c>
      <c r="I8">
        <v>1</v>
      </c>
      <c r="J8">
        <v>6</v>
      </c>
      <c r="K8">
        <v>2</v>
      </c>
      <c r="L8">
        <v>202</v>
      </c>
      <c r="M8">
        <v>1</v>
      </c>
      <c r="N8">
        <v>4</v>
      </c>
      <c r="O8">
        <v>1</v>
      </c>
      <c r="P8">
        <v>8</v>
      </c>
      <c r="Q8">
        <v>0</v>
      </c>
      <c r="R8">
        <v>0</v>
      </c>
      <c r="S8" s="1">
        <f>(H8+I8+J8*0.7+K8+L8*0.02+M8-N8*0.5+O8+P8*0.5)/E8</f>
        <v>4.0599999999999996</v>
      </c>
      <c r="T8" s="1">
        <f>(F8*10+G8*6+H8+I8+J8*0.7+K8+L8*0.02+M8-N8*0.5+O8+P8*0.5-Q8*1.5-R8*6)/E8</f>
        <v>4.0599999999999996</v>
      </c>
      <c r="U8">
        <v>0.1</v>
      </c>
      <c r="V8">
        <v>6.2</v>
      </c>
      <c r="W8" s="1">
        <f>U8/V8</f>
        <v>1.6129032258064516E-2</v>
      </c>
      <c r="X8" s="1">
        <f>W8*AN8</f>
        <v>2.0564516129032255E-2</v>
      </c>
      <c r="Y8">
        <v>0</v>
      </c>
      <c r="Z8">
        <v>4.7</v>
      </c>
      <c r="AA8" s="1">
        <f>Y8/Z8</f>
        <v>0</v>
      </c>
      <c r="AB8" s="1">
        <f>AA8*AN8</f>
        <v>0</v>
      </c>
      <c r="AC8" s="2">
        <v>14.317773213453</v>
      </c>
      <c r="AD8" s="2">
        <v>3.0642225772433802</v>
      </c>
      <c r="AE8">
        <v>61</v>
      </c>
      <c r="AF8" s="1">
        <f>H8/AE8</f>
        <v>1.6393442622950821E-2</v>
      </c>
      <c r="AG8" s="1">
        <f>AC8*AF8</f>
        <v>0.23471759366316394</v>
      </c>
      <c r="AH8" s="1">
        <f>IF(H8&gt;0, I8/H8, 0)</f>
        <v>1</v>
      </c>
      <c r="AI8" s="1">
        <f>AG8*AH8</f>
        <v>0.23471759366316394</v>
      </c>
      <c r="AJ8">
        <v>47</v>
      </c>
      <c r="AK8" s="1">
        <f>K8/AJ8</f>
        <v>4.2553191489361701E-2</v>
      </c>
      <c r="AL8" s="1">
        <f>AK8*(AC8*(AJ8/AE8))</f>
        <v>0.46943518732632789</v>
      </c>
      <c r="AM8" s="1">
        <f>4/15</f>
        <v>0.26666666666666666</v>
      </c>
      <c r="AN8" s="1">
        <f>(4/10)+(1/4)*2+(1/8)*3</f>
        <v>1.2749999999999999</v>
      </c>
      <c r="AO8" s="1">
        <f>IF(AR8="y",     (X8*10+AB8*6+AG8+AI8+AL8+(J8*0.7+L8*0.02+M8-N8*0.5+O8+P8*0.5-Q8*1.5)/E8)*(AP8/90)+(AM8-AVERAGE($AM$2:$AM43))*10,      (X8*10+AB8*6+AG8+AI8+AL8+(J8*0.7+L8*0.02+M8-N8*0.5+O8+P8*0.5-Q8*1.5)/E8)*(AQ8/90)+(AM8-AVERAGE($AM$2:$AM$37))*10)</f>
        <v>4.2045155359429778</v>
      </c>
      <c r="AP8" s="2">
        <v>90</v>
      </c>
      <c r="AQ8" s="2"/>
      <c r="AR8" t="s">
        <v>64</v>
      </c>
    </row>
    <row r="9" spans="1:44" x14ac:dyDescent="0.2">
      <c r="A9" t="s">
        <v>48</v>
      </c>
      <c r="B9" t="s">
        <v>63</v>
      </c>
      <c r="C9" t="s">
        <v>65</v>
      </c>
      <c r="D9">
        <v>8000</v>
      </c>
      <c r="E9" s="1">
        <v>2.4777777777777779</v>
      </c>
      <c r="F9">
        <v>0</v>
      </c>
      <c r="G9">
        <v>0</v>
      </c>
      <c r="H9">
        <v>7</v>
      </c>
      <c r="I9">
        <v>3</v>
      </c>
      <c r="J9">
        <v>14</v>
      </c>
      <c r="K9">
        <v>2</v>
      </c>
      <c r="L9">
        <v>50</v>
      </c>
      <c r="M9">
        <v>2</v>
      </c>
      <c r="N9">
        <v>2</v>
      </c>
      <c r="O9">
        <v>3</v>
      </c>
      <c r="P9">
        <v>2</v>
      </c>
      <c r="Q9">
        <v>1</v>
      </c>
      <c r="R9">
        <v>0</v>
      </c>
      <c r="S9" s="1">
        <f>(H9+I9+J9*0.7+K9+L9*0.02+M9-N9*0.5+O9+P9*0.5)/E9</f>
        <v>11.219730941704034</v>
      </c>
      <c r="T9" s="1">
        <f>(F9*10+G9*6+H9+I9+J9*0.7+K9+L9*0.02+M9-N9*0.5+O9+P9*0.5-Q9*1.5-R9*6)/E9</f>
        <v>10.614349775784753</v>
      </c>
      <c r="U9">
        <v>0.9</v>
      </c>
      <c r="V9">
        <v>6.2</v>
      </c>
      <c r="W9" s="1">
        <f>U9/V9</f>
        <v>0.14516129032258066</v>
      </c>
      <c r="X9" s="1">
        <f>W9*AN9</f>
        <v>0.18508064516129033</v>
      </c>
      <c r="Y9">
        <v>0.2</v>
      </c>
      <c r="Z9">
        <v>4.7</v>
      </c>
      <c r="AA9" s="1">
        <f>Y9/Z9</f>
        <v>4.2553191489361701E-2</v>
      </c>
      <c r="AB9" s="1">
        <f>AA9*AN9</f>
        <v>5.4255319148936165E-2</v>
      </c>
      <c r="AC9" s="2">
        <v>14.317773213453</v>
      </c>
      <c r="AD9" s="2">
        <v>3.0642225772433802</v>
      </c>
      <c r="AE9">
        <v>61</v>
      </c>
      <c r="AF9" s="1">
        <f>H9/AE9</f>
        <v>0.11475409836065574</v>
      </c>
      <c r="AG9" s="1">
        <f>AC9*AF9</f>
        <v>1.6430231556421475</v>
      </c>
      <c r="AH9" s="1">
        <f>IF(H9&gt;0, I9/H9, 0)</f>
        <v>0.42857142857142855</v>
      </c>
      <c r="AI9" s="1">
        <f>AG9*AH9</f>
        <v>0.70415278098949174</v>
      </c>
      <c r="AJ9">
        <v>47</v>
      </c>
      <c r="AK9" s="1">
        <f>K9/AJ9</f>
        <v>4.2553191489361701E-2</v>
      </c>
      <c r="AL9" s="1">
        <f>AK9*(AC9*(AJ9/AE9))</f>
        <v>0.46943518732632789</v>
      </c>
      <c r="AM9" s="1">
        <f>4/15</f>
        <v>0.26666666666666666</v>
      </c>
      <c r="AN9" s="1">
        <f>(4/10)+(1/4)*2+(1/8)*3</f>
        <v>1.2749999999999999</v>
      </c>
      <c r="AO9" s="1">
        <f>IF(AR9="y",     (X9*10+AB9*6+AG9+AI9+AL9+(J9*0.7+L9*0.02+M9-N9*0.5+O9+P9*0.5-Q9*1.5)/E9)*(AP9/90)+(AM9-AVERAGE($AM$2:$AM44))*10,      (X9*10+AB9*6+AG9+AI9+AL9+(J9*0.7+L9*0.02+M9-N9*0.5+O9+P9*0.5-Q9*1.5)/E9)*(AQ9/90)+(AM9-AVERAGE($AM$2:$AM$37))*10)</f>
        <v>3.5282819244155772</v>
      </c>
      <c r="AP9" s="2">
        <f>(90+74)/2</f>
        <v>82</v>
      </c>
      <c r="AQ9" s="2">
        <f>(32+27)/2</f>
        <v>29.5</v>
      </c>
    </row>
    <row r="10" spans="1:44" x14ac:dyDescent="0.2">
      <c r="A10" t="s">
        <v>45</v>
      </c>
      <c r="B10" t="s">
        <v>63</v>
      </c>
      <c r="C10" t="s">
        <v>66</v>
      </c>
      <c r="D10">
        <v>3000</v>
      </c>
      <c r="E10" s="1">
        <v>2.9222222222222221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157</v>
      </c>
      <c r="M10">
        <v>0</v>
      </c>
      <c r="N10">
        <v>3</v>
      </c>
      <c r="O10">
        <v>4</v>
      </c>
      <c r="P10">
        <v>3</v>
      </c>
      <c r="Q10">
        <v>0</v>
      </c>
      <c r="R10">
        <v>0</v>
      </c>
      <c r="S10" s="1">
        <f>(H10+I10+J10*0.7+K10+L10*0.02+M10-N10*0.5+O10+P10*0.5)/E10</f>
        <v>3.3673003802281372</v>
      </c>
      <c r="T10" s="1">
        <f>(F10*10+G10*6+H10+I10+J10*0.7+K10+L10*0.02+M10-N10*0.5+O10+P10*0.5-Q10*1.5-R10*6)/E10</f>
        <v>3.3673003802281372</v>
      </c>
      <c r="U10">
        <v>0.1</v>
      </c>
      <c r="V10">
        <v>6.2</v>
      </c>
      <c r="W10" s="1">
        <f>U10/V10</f>
        <v>1.6129032258064516E-2</v>
      </c>
      <c r="X10" s="1">
        <f>W10*AN10</f>
        <v>2.0564516129032255E-2</v>
      </c>
      <c r="Y10">
        <v>0</v>
      </c>
      <c r="Z10">
        <v>4.7</v>
      </c>
      <c r="AA10" s="1">
        <f>Y10/Z10</f>
        <v>0</v>
      </c>
      <c r="AB10" s="1">
        <f>AA10*AN10</f>
        <v>0</v>
      </c>
      <c r="AC10" s="2">
        <v>14.317773213453</v>
      </c>
      <c r="AD10" s="2">
        <v>3.0642225772433802</v>
      </c>
      <c r="AE10">
        <v>61</v>
      </c>
      <c r="AF10" s="1">
        <f>H10/AE10</f>
        <v>1.6393442622950821E-2</v>
      </c>
      <c r="AG10" s="1">
        <f>AC10*AF10</f>
        <v>0.23471759366316394</v>
      </c>
      <c r="AH10" s="1">
        <f>IF(H10&gt;0, I10/H10, 0)</f>
        <v>0</v>
      </c>
      <c r="AI10" s="1">
        <f>AG10*AH10</f>
        <v>0</v>
      </c>
      <c r="AJ10">
        <v>47</v>
      </c>
      <c r="AK10" s="1">
        <f>K10/AJ10</f>
        <v>2.1276595744680851E-2</v>
      </c>
      <c r="AL10" s="1">
        <f>AK10*(AC10*(AJ10/AE10))</f>
        <v>0.23471759366316394</v>
      </c>
      <c r="AM10" s="1">
        <f>4/15</f>
        <v>0.26666666666666666</v>
      </c>
      <c r="AN10" s="1">
        <f>(4/10)+(1/4)*2+(1/8)*3</f>
        <v>1.2749999999999999</v>
      </c>
      <c r="AO10" s="1">
        <f>IF(AR10="y",     (X10*10+AB10*6+AG10+AI10+AL10+(J10*0.7+L10*0.02+M10-N10*0.5+O10+P10*0.5-Q10*1.5)/E10)*(AP10/90)+(AM10-AVERAGE($AM$2:$AM45))*10,      (X10*10+AB10*6+AG10+AI10+AL10+(J10*0.7+L10*0.02+M10-N10*0.5+O10+P10*0.5-Q10*1.5)/E10)*(AQ10/90)+(AM10-AVERAGE($AM$2:$AM$37))*10)</f>
        <v>3.2709115988377007</v>
      </c>
      <c r="AP10" s="2">
        <f>(83+90+90)/3</f>
        <v>87.666666666666671</v>
      </c>
      <c r="AQ10" s="2">
        <v>0</v>
      </c>
      <c r="AR10" t="s">
        <v>64</v>
      </c>
    </row>
    <row r="11" spans="1:44" x14ac:dyDescent="0.2">
      <c r="A11" t="s">
        <v>47</v>
      </c>
      <c r="B11" t="s">
        <v>63</v>
      </c>
      <c r="C11" t="s">
        <v>66</v>
      </c>
      <c r="D11">
        <v>3600</v>
      </c>
      <c r="E11" s="1">
        <v>4</v>
      </c>
      <c r="F11">
        <v>1</v>
      </c>
      <c r="G11">
        <v>0</v>
      </c>
      <c r="H11">
        <v>1</v>
      </c>
      <c r="I11">
        <v>1</v>
      </c>
      <c r="J11">
        <v>0</v>
      </c>
      <c r="K11">
        <v>2</v>
      </c>
      <c r="L11">
        <v>222</v>
      </c>
      <c r="M11">
        <v>2</v>
      </c>
      <c r="N11">
        <v>5</v>
      </c>
      <c r="O11">
        <v>1</v>
      </c>
      <c r="P11">
        <v>6</v>
      </c>
      <c r="Q11">
        <v>2</v>
      </c>
      <c r="R11">
        <v>0</v>
      </c>
      <c r="S11" s="1">
        <f>(H11+I11+J11*0.7+K11+L11*0.02+M11-N11*0.5+O11+P11*0.5)/E11</f>
        <v>2.9850000000000003</v>
      </c>
      <c r="T11" s="1">
        <f>(F11*10+G11*6+H11+I11+J11*0.7+K11+L11*0.02+M11-N11*0.5+O11+P11*0.5-Q11*1.5-R11*6)/E11</f>
        <v>4.7350000000000003</v>
      </c>
      <c r="U11">
        <v>0.3</v>
      </c>
      <c r="V11">
        <v>6.2</v>
      </c>
      <c r="W11" s="1">
        <f>U11/V11</f>
        <v>4.8387096774193547E-2</v>
      </c>
      <c r="X11" s="1">
        <f>W11*AN11</f>
        <v>6.1693548387096765E-2</v>
      </c>
      <c r="Y11">
        <v>0</v>
      </c>
      <c r="Z11">
        <v>4.7</v>
      </c>
      <c r="AA11" s="1">
        <f>Y11/Z11</f>
        <v>0</v>
      </c>
      <c r="AB11" s="1">
        <f>AA11*AN11</f>
        <v>0</v>
      </c>
      <c r="AC11" s="2">
        <v>14.317773213453</v>
      </c>
      <c r="AD11" s="2">
        <v>3.0642225772433802</v>
      </c>
      <c r="AE11">
        <v>61</v>
      </c>
      <c r="AF11" s="1">
        <f>H11/AE11</f>
        <v>1.6393442622950821E-2</v>
      </c>
      <c r="AG11" s="1">
        <f>AC11*AF11</f>
        <v>0.23471759366316394</v>
      </c>
      <c r="AH11" s="1">
        <f>IF(H11&gt;0, I11/H11, 0)</f>
        <v>1</v>
      </c>
      <c r="AI11" s="1">
        <f>AG11*AH11</f>
        <v>0.23471759366316394</v>
      </c>
      <c r="AJ11">
        <v>47</v>
      </c>
      <c r="AK11" s="1">
        <f>K11/AJ11</f>
        <v>4.2553191489361701E-2</v>
      </c>
      <c r="AL11" s="1">
        <f>AK11*(AC11*(AJ11/AE11))</f>
        <v>0.46943518732632789</v>
      </c>
      <c r="AM11" s="1">
        <f>4/15</f>
        <v>0.26666666666666666</v>
      </c>
      <c r="AN11" s="1">
        <f>(4/10)+(1/4)*2+(1/8)*3</f>
        <v>1.2749999999999999</v>
      </c>
      <c r="AO11" s="1">
        <f>IF(AR11="y",     (X11*10+AB11*6+AG11+AI11+AL11+(J11*0.7+L11*0.02+M11-N11*0.5+O11+P11*0.5-Q11*1.5)/E11)*(AP11/90)+(AM11-AVERAGE($AM$2:$AM46))*10,      (X11*10+AB11*6+AG11+AI11+AL11+(J11*0.7+L11*0.02+M11-N11*0.5+O11+P11*0.5-Q11*1.5)/E11)*(AQ11/90)+(AM11-AVERAGE($AM$2:$AM$37))*10)</f>
        <v>2.7908058585236235</v>
      </c>
      <c r="AP11" s="2">
        <v>90</v>
      </c>
      <c r="AQ11" s="2"/>
      <c r="AR11" t="s">
        <v>64</v>
      </c>
    </row>
    <row r="12" spans="1:44" x14ac:dyDescent="0.2">
      <c r="A12" t="s">
        <v>53</v>
      </c>
      <c r="B12" t="s">
        <v>63</v>
      </c>
      <c r="C12" t="s">
        <v>67</v>
      </c>
      <c r="D12">
        <v>7000</v>
      </c>
      <c r="E12" s="1">
        <v>2.5111111111111111</v>
      </c>
      <c r="F12">
        <v>0</v>
      </c>
      <c r="G12">
        <v>0</v>
      </c>
      <c r="H12">
        <v>1</v>
      </c>
      <c r="I12">
        <v>0</v>
      </c>
      <c r="J12">
        <v>14</v>
      </c>
      <c r="K12">
        <v>4</v>
      </c>
      <c r="L12">
        <v>146</v>
      </c>
      <c r="M12">
        <v>1</v>
      </c>
      <c r="N12">
        <v>2</v>
      </c>
      <c r="O12">
        <v>0</v>
      </c>
      <c r="P12">
        <v>2</v>
      </c>
      <c r="Q12">
        <v>1</v>
      </c>
      <c r="R12">
        <v>0</v>
      </c>
      <c r="S12" s="1">
        <f>(H12+I12+J12*0.7+K12+L12*0.02+M12-N12*0.5+O12+P12*0.5)/E12</f>
        <v>7.4548672566371676</v>
      </c>
      <c r="T12" s="1">
        <f>(F12*10+G12*6+H12+I12+J12*0.7+K12+L12*0.02+M12-N12*0.5+O12+P12*0.5-Q12*1.5-R12*6)/E12</f>
        <v>6.8575221238938049</v>
      </c>
      <c r="U12">
        <v>0</v>
      </c>
      <c r="V12">
        <v>6.2</v>
      </c>
      <c r="W12" s="1">
        <f>U12/V12</f>
        <v>0</v>
      </c>
      <c r="X12" s="1">
        <f>W12*AN12</f>
        <v>0</v>
      </c>
      <c r="Y12">
        <v>0.2</v>
      </c>
      <c r="Z12">
        <v>4.7</v>
      </c>
      <c r="AA12" s="1">
        <f>Y12/Z12</f>
        <v>4.2553191489361701E-2</v>
      </c>
      <c r="AB12" s="1">
        <f>AA12*AN12</f>
        <v>5.4255319148936165E-2</v>
      </c>
      <c r="AC12" s="2">
        <v>14.317773213453</v>
      </c>
      <c r="AD12" s="2">
        <v>3.0642225772433802</v>
      </c>
      <c r="AE12">
        <v>61</v>
      </c>
      <c r="AF12" s="1">
        <f>H12/AE12</f>
        <v>1.6393442622950821E-2</v>
      </c>
      <c r="AG12" s="1">
        <f>AC12*AF12</f>
        <v>0.23471759366316394</v>
      </c>
      <c r="AH12" s="1">
        <f>IF(H12&gt;0, I12/H12, 0)</f>
        <v>0</v>
      </c>
      <c r="AI12" s="1">
        <f>AG12*AH12</f>
        <v>0</v>
      </c>
      <c r="AJ12">
        <v>47</v>
      </c>
      <c r="AK12" s="1">
        <f>K12/AJ12</f>
        <v>8.5106382978723402E-2</v>
      </c>
      <c r="AL12" s="1">
        <f>AK12*(AC12*(AJ12/AE12))</f>
        <v>0.93887037465265577</v>
      </c>
      <c r="AM12" s="1">
        <f>4/15</f>
        <v>0.26666666666666666</v>
      </c>
      <c r="AN12" s="1">
        <f>(4/10)+(1/4)*2+(1/8)*3</f>
        <v>1.2749999999999999</v>
      </c>
      <c r="AO12" s="1">
        <f>IF(AR12="y",     (X12*10+AB12*6+AG12+AI12+AL12+(J12*0.7+L12*0.02+M12-N12*0.5+O12+P12*0.5-Q12*1.5)/E12)*(AP12/90)+(AM12-AVERAGE($AM$2:$AM47))*10,      (X12*10+AB12*6+AG12+AI12+AL12+(J12*0.7+L12*0.02+M12-N12*0.5+O12+P12*0.5-Q12*1.5)/E12)*(AQ12/90)+(AM12-AVERAGE($AM$2:$AM$37))*10)</f>
        <v>1.6267367331820377</v>
      </c>
      <c r="AP12" s="2">
        <v>90</v>
      </c>
      <c r="AQ12" s="2">
        <f>46/2</f>
        <v>23</v>
      </c>
    </row>
    <row r="13" spans="1:44" x14ac:dyDescent="0.2">
      <c r="A13" t="s">
        <v>59</v>
      </c>
      <c r="B13" t="s">
        <v>63</v>
      </c>
      <c r="C13" t="s">
        <v>67</v>
      </c>
      <c r="D13">
        <v>3000</v>
      </c>
      <c r="E13" s="1">
        <v>1.4888888888888889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55</v>
      </c>
      <c r="M13">
        <v>1</v>
      </c>
      <c r="N13">
        <v>6</v>
      </c>
      <c r="O13">
        <v>3</v>
      </c>
      <c r="P13">
        <v>0</v>
      </c>
      <c r="Q13">
        <v>0</v>
      </c>
      <c r="R13">
        <v>0</v>
      </c>
      <c r="S13" s="1">
        <f>(H13+I13+J13*0.7+K13+L13*0.02+M13-N13*0.5+O13+P13*0.5)/E13</f>
        <v>2.7537313432835817</v>
      </c>
      <c r="T13" s="1">
        <f>(F13*10+G13*6+H13+I13+J13*0.7+K13+L13*0.02+M13-N13*0.5+O13+P13*0.5-Q13*1.5-R13*6)/E13</f>
        <v>2.7537313432835817</v>
      </c>
      <c r="U13">
        <v>0</v>
      </c>
      <c r="V13">
        <v>6.2</v>
      </c>
      <c r="W13" s="1">
        <f>U13/V13</f>
        <v>0</v>
      </c>
      <c r="X13" s="1">
        <f>W13*AN13</f>
        <v>0</v>
      </c>
      <c r="Y13">
        <v>0</v>
      </c>
      <c r="Z13">
        <v>4.7</v>
      </c>
      <c r="AA13" s="1">
        <f>Y13/Z13</f>
        <v>0</v>
      </c>
      <c r="AB13" s="1">
        <f>AA13*AN13</f>
        <v>0</v>
      </c>
      <c r="AC13" s="2">
        <v>14.317773213453</v>
      </c>
      <c r="AD13" s="2">
        <v>3.0642225772433802</v>
      </c>
      <c r="AE13">
        <v>61</v>
      </c>
      <c r="AF13" s="1">
        <f>H13/AE13</f>
        <v>0</v>
      </c>
      <c r="AG13" s="1">
        <f>AC13*AF13</f>
        <v>0</v>
      </c>
      <c r="AH13" s="1">
        <f>IF(H13&gt;0, I13/H13, 0)</f>
        <v>0</v>
      </c>
      <c r="AI13" s="1">
        <f>AG13*AH13</f>
        <v>0</v>
      </c>
      <c r="AJ13">
        <v>47</v>
      </c>
      <c r="AK13" s="1">
        <f>K13/AJ13</f>
        <v>4.2553191489361701E-2</v>
      </c>
      <c r="AL13" s="1">
        <f>AK13*(AC13*(AJ13/AE13))</f>
        <v>0.46943518732632789</v>
      </c>
      <c r="AM13" s="1">
        <f>4/15</f>
        <v>0.26666666666666666</v>
      </c>
      <c r="AN13" s="1">
        <f>(4/10)+(1/4)*2+(1/8)*3</f>
        <v>1.2749999999999999</v>
      </c>
      <c r="AO13" s="1">
        <f>IF(AR13="y",     (X13*10+AB13*6+AG13+AI13+AL13+(J13*0.7+L13*0.02+M13-N13*0.5+O13+P13*0.5-Q13*1.5)/E13)*(AP13/90)+(AM13-AVERAGE($AM$2:$AM48))*10,      (X13*10+AB13*6+AG13+AI13+AL13+(J13*0.7+L13*0.02+M13-N13*0.5+O13+P13*0.5-Q13*1.5)/E13)*(AQ13/90)+(AM13-AVERAGE($AM$2:$AM$37))*10)</f>
        <v>1.3994684172318219</v>
      </c>
      <c r="AP13" s="2">
        <f>(90+44)/2</f>
        <v>67</v>
      </c>
      <c r="AQ13" s="2">
        <v>0</v>
      </c>
      <c r="AR13" t="s">
        <v>64</v>
      </c>
    </row>
    <row r="14" spans="1:44" x14ac:dyDescent="0.2">
      <c r="A14" t="s">
        <v>57</v>
      </c>
      <c r="B14" t="s">
        <v>63</v>
      </c>
      <c r="C14" t="s">
        <v>65</v>
      </c>
      <c r="D14">
        <v>8800</v>
      </c>
      <c r="E14" s="1">
        <v>1.6333333333333333</v>
      </c>
      <c r="F14">
        <v>1</v>
      </c>
      <c r="G14">
        <v>0</v>
      </c>
      <c r="H14">
        <v>6</v>
      </c>
      <c r="I14">
        <v>2</v>
      </c>
      <c r="J14">
        <v>1</v>
      </c>
      <c r="K14">
        <v>3</v>
      </c>
      <c r="L14">
        <v>46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 s="1">
        <f>(H14+I14+J14*0.7+K14+L14*0.02+M14-N14*0.5+O14+P14*0.5)/E14</f>
        <v>7.4204081632653054</v>
      </c>
      <c r="T14" s="1">
        <f>(F14*10+G14*6+H14+I14+J14*0.7+K14+L14*0.02+M14-N14*0.5+O14+P14*0.5-Q14*1.5-R14*6)/E14</f>
        <v>13.542857142857144</v>
      </c>
      <c r="U14">
        <v>0.8</v>
      </c>
      <c r="V14">
        <v>6.2</v>
      </c>
      <c r="W14" s="1">
        <f>U14/V14</f>
        <v>0.12903225806451613</v>
      </c>
      <c r="X14" s="1">
        <f>W14*AN14</f>
        <v>0.16451612903225804</v>
      </c>
      <c r="Y14">
        <v>0.2</v>
      </c>
      <c r="Z14">
        <v>4.7</v>
      </c>
      <c r="AA14" s="1">
        <f>Y14/Z14</f>
        <v>4.2553191489361701E-2</v>
      </c>
      <c r="AB14" s="1">
        <f>AA14*AN14</f>
        <v>5.4255319148936165E-2</v>
      </c>
      <c r="AC14" s="2">
        <v>14.317773213453</v>
      </c>
      <c r="AD14" s="2">
        <v>3.0642225772433802</v>
      </c>
      <c r="AE14">
        <v>61</v>
      </c>
      <c r="AF14" s="1">
        <f>H14/AE14</f>
        <v>9.8360655737704916E-2</v>
      </c>
      <c r="AG14" s="1">
        <f>AC14*AF14</f>
        <v>1.4083055619789835</v>
      </c>
      <c r="AH14" s="1">
        <f>IF(H14&gt;0, I14/H14, 0)</f>
        <v>0.33333333333333331</v>
      </c>
      <c r="AI14" s="1">
        <f>AG14*AH14</f>
        <v>0.46943518732632783</v>
      </c>
      <c r="AJ14">
        <v>47</v>
      </c>
      <c r="AK14" s="1">
        <f>K14/AJ14</f>
        <v>6.3829787234042548E-2</v>
      </c>
      <c r="AL14" s="1">
        <f>AK14*(AC14*(AJ14/AE14))</f>
        <v>0.70415278098949174</v>
      </c>
      <c r="AM14" s="1">
        <f>4/15</f>
        <v>0.26666666666666666</v>
      </c>
      <c r="AN14" s="1">
        <f>(4/10)+(1/4)*2+(1/8)*3</f>
        <v>1.2749999999999999</v>
      </c>
      <c r="AO14" s="1">
        <f>IF(AR14="y",     (X14*10+AB14*6+AG14+AI14+AL14+(J14*0.7+L14*0.02+M14-N14*0.5+O14+P14*0.5-Q14*1.5)/E14)*(AP14/90)+(AM14-AVERAGE($AM$2:$AM49))*10,      (X14*10+AB14*6+AG14+AI14+AL14+(J14*0.7+L14*0.02+M14-N14*0.5+O14+P14*0.5-Q14*1.5)/E14)*(AQ14/90)+(AM14-AVERAGE($AM$2:$AM$37))*10)</f>
        <v>1.1058635489253381</v>
      </c>
      <c r="AP14" s="2">
        <v>90</v>
      </c>
      <c r="AQ14" s="2">
        <f>(7+23+27)/3</f>
        <v>19</v>
      </c>
    </row>
    <row r="15" spans="1:44" x14ac:dyDescent="0.2">
      <c r="A15" t="s">
        <v>54</v>
      </c>
      <c r="B15" t="s">
        <v>63</v>
      </c>
      <c r="C15" t="s">
        <v>68</v>
      </c>
      <c r="D15">
        <v>9800</v>
      </c>
      <c r="E15" s="1">
        <v>1.211111111111111</v>
      </c>
      <c r="F15">
        <v>0</v>
      </c>
      <c r="G15">
        <v>0</v>
      </c>
      <c r="H15">
        <v>4</v>
      </c>
      <c r="I15">
        <v>0</v>
      </c>
      <c r="J15">
        <v>4</v>
      </c>
      <c r="K15">
        <v>2</v>
      </c>
      <c r="L15">
        <v>37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 s="1">
        <f>(H15+I15+J15*0.7+K15+L15*0.02+M15-N15*0.5+O15+P15*0.5)/E15</f>
        <v>9.5284403669724789</v>
      </c>
      <c r="T15" s="1">
        <f>(F15*10+G15*6+H15+I15+J15*0.7+K15+L15*0.02+M15-N15*0.5+O15+P15*0.5-Q15*1.5-R15*6)/E15</f>
        <v>9.5284403669724789</v>
      </c>
      <c r="U15">
        <v>0.3</v>
      </c>
      <c r="V15">
        <v>6.2</v>
      </c>
      <c r="W15" s="1">
        <f>U15/V15</f>
        <v>4.8387096774193547E-2</v>
      </c>
      <c r="X15" s="1">
        <f>W15*AN15</f>
        <v>6.1693548387096765E-2</v>
      </c>
      <c r="Y15">
        <v>0.2</v>
      </c>
      <c r="Z15">
        <v>4.7</v>
      </c>
      <c r="AA15" s="1">
        <f>Y15/Z15</f>
        <v>4.2553191489361701E-2</v>
      </c>
      <c r="AB15" s="1">
        <f>AA15*AN15</f>
        <v>5.4255319148936165E-2</v>
      </c>
      <c r="AC15" s="2">
        <v>14.317773213453</v>
      </c>
      <c r="AD15" s="2">
        <v>3.0642225772433802</v>
      </c>
      <c r="AE15">
        <v>61</v>
      </c>
      <c r="AF15" s="1">
        <f>H15/AE15</f>
        <v>6.5573770491803282E-2</v>
      </c>
      <c r="AG15" s="1">
        <f>AC15*AF15</f>
        <v>0.93887037465265577</v>
      </c>
      <c r="AH15" s="1">
        <f>IF(H15&gt;0, I15/H15, 0)</f>
        <v>0</v>
      </c>
      <c r="AI15" s="1">
        <f>AG15*AH15</f>
        <v>0</v>
      </c>
      <c r="AJ15">
        <v>47</v>
      </c>
      <c r="AK15" s="1">
        <f>K15/AJ15</f>
        <v>4.2553191489361701E-2</v>
      </c>
      <c r="AL15" s="1">
        <f>AK15*(AC15*(AJ15/AE15))</f>
        <v>0.46943518732632789</v>
      </c>
      <c r="AM15" s="1">
        <f>4/15</f>
        <v>0.26666666666666666</v>
      </c>
      <c r="AN15" s="1">
        <f>(4/10)+(1/4)*2+(1/8)*3</f>
        <v>1.2749999999999999</v>
      </c>
      <c r="AO15" s="1">
        <f>IF(AR15="y",     (X15*10+AB15*6+AG15+AI15+AL15+(J15*0.7+L15*0.02+M15-N15*0.5+O15+P15*0.5-Q15*1.5)/E15)*(AP15/90)+(AM15-AVERAGE($AM$2:$AM50))*10,      (X15*10+AB15*6+AG15+AI15+AL15+(J15*0.7+L15*0.02+M15-N15*0.5+O15+P15*0.5-Q15*1.5)/E15)*(AQ15/90)+(AM15-AVERAGE($AM$2:$AM$37))*10)</f>
        <v>1.000290039283755</v>
      </c>
      <c r="AP15" s="2">
        <v>70</v>
      </c>
      <c r="AQ15" s="2">
        <f>(32+7)/3</f>
        <v>13</v>
      </c>
    </row>
    <row r="16" spans="1:44" x14ac:dyDescent="0.2">
      <c r="A16" t="s">
        <v>60</v>
      </c>
      <c r="B16" t="s">
        <v>63</v>
      </c>
      <c r="C16" t="s">
        <v>69</v>
      </c>
      <c r="D16">
        <v>5200</v>
      </c>
      <c r="E16" s="1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f>(H16+I16+J16*0.7+K16+L16*0.02+M16-N16*0.5+O16+P16*0.5)/E16</f>
        <v>0.51500000000000001</v>
      </c>
      <c r="T16" s="1">
        <f>(F16*10+G16*6+H16+I16+J16*0.7+K16+L16*0.02+M16-N16*0.5+O16+P16*0.5-Q16*1.5-R16*6)/E16</f>
        <v>0.51500000000000001</v>
      </c>
      <c r="U16">
        <v>0</v>
      </c>
      <c r="V16">
        <v>6.2</v>
      </c>
      <c r="W16" s="1">
        <f>U16/V16</f>
        <v>0</v>
      </c>
      <c r="X16" s="1">
        <f>W16*AN16</f>
        <v>0</v>
      </c>
      <c r="Y16">
        <v>0</v>
      </c>
      <c r="Z16">
        <v>4.7</v>
      </c>
      <c r="AA16" s="1">
        <f>Y16/Z16</f>
        <v>0</v>
      </c>
      <c r="AB16" s="1">
        <f>AA16*AN16</f>
        <v>0</v>
      </c>
      <c r="AC16" s="2">
        <v>14.317773213453</v>
      </c>
      <c r="AD16" s="2">
        <v>3.0642225772433802</v>
      </c>
      <c r="AE16">
        <v>61</v>
      </c>
      <c r="AF16" s="1">
        <f>H16/AE16</f>
        <v>0</v>
      </c>
      <c r="AG16" s="1">
        <f>AC16*AF16</f>
        <v>0</v>
      </c>
      <c r="AH16" s="1">
        <f>IF(H16&gt;0, I16/H16, 0)</f>
        <v>0</v>
      </c>
      <c r="AI16" s="1">
        <f>AG16*AH16</f>
        <v>0</v>
      </c>
      <c r="AJ16">
        <v>47</v>
      </c>
      <c r="AK16" s="1">
        <f>K16/AJ16</f>
        <v>0</v>
      </c>
      <c r="AL16" s="1">
        <f>AK16*(AC16*(AJ16/AE16))</f>
        <v>0</v>
      </c>
      <c r="AM16" s="1">
        <f>4/15</f>
        <v>0.26666666666666666</v>
      </c>
      <c r="AN16" s="1">
        <f>(4/10)+(1/4)*2+(1/8)*3</f>
        <v>1.2749999999999999</v>
      </c>
      <c r="AO16" s="1">
        <f>IF(AR16="y",     (X16*10+AB16*6+AG16+AI16+AL16+(J16*0.7+L16*0.02+M16-N16*0.5+O16+P16*0.5-Q16*1.5)/E16)*(AP16/90)+(AM16-AVERAGE($AM$2:$AM51))*10,      (X16*10+AB16*6+AG16+AI16+AL16+(J16*0.7+L16*0.02+M16-N16*0.5+O16+P16*0.5-Q16*1.5)/E16)*(AQ16/90)+(AM16-AVERAGE($AM$2:$AM$37))*10)</f>
        <v>0.51500000000000001</v>
      </c>
      <c r="AP16" s="2">
        <v>90</v>
      </c>
      <c r="AQ16" s="2"/>
      <c r="AR16" t="s">
        <v>64</v>
      </c>
    </row>
    <row r="17" spans="1:43" x14ac:dyDescent="0.2">
      <c r="A17" t="s">
        <v>61</v>
      </c>
      <c r="B17" t="s">
        <v>63</v>
      </c>
      <c r="C17" t="s">
        <v>67</v>
      </c>
      <c r="D17">
        <v>3200</v>
      </c>
      <c r="E17" s="1">
        <v>0.2</v>
      </c>
      <c r="F17">
        <v>0</v>
      </c>
      <c r="G17">
        <v>0</v>
      </c>
      <c r="H17">
        <v>1</v>
      </c>
      <c r="I17">
        <v>0</v>
      </c>
      <c r="J17">
        <v>2</v>
      </c>
      <c r="K17">
        <v>2</v>
      </c>
      <c r="L17">
        <v>7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 s="1">
        <f>(H17+I17+J17*0.7+K17+L17*0.02+M17-N17*0.5+O17+P17*0.5)/E17</f>
        <v>20.2</v>
      </c>
      <c r="T17" s="1">
        <f>(F17*10+G17*6+H17+I17+J17*0.7+K17+L17*0.02+M17-N17*0.5+O17+P17*0.5-Q17*1.5-R17*6)/E17</f>
        <v>20.2</v>
      </c>
      <c r="U17">
        <v>0</v>
      </c>
      <c r="V17">
        <v>6.2</v>
      </c>
      <c r="W17" s="1">
        <f>U17/V17</f>
        <v>0</v>
      </c>
      <c r="X17" s="1">
        <f>W17*AN17</f>
        <v>0</v>
      </c>
      <c r="Y17">
        <v>0.1</v>
      </c>
      <c r="Z17">
        <v>4.7</v>
      </c>
      <c r="AA17" s="1">
        <f>Y17/Z17</f>
        <v>2.1276595744680851E-2</v>
      </c>
      <c r="AB17" s="1">
        <f>AA17*AN17</f>
        <v>2.7127659574468083E-2</v>
      </c>
      <c r="AC17" s="2">
        <v>14.317773213453</v>
      </c>
      <c r="AD17" s="2">
        <v>3.0642225772433802</v>
      </c>
      <c r="AE17">
        <v>61</v>
      </c>
      <c r="AF17" s="1">
        <f>H17/AE17</f>
        <v>1.6393442622950821E-2</v>
      </c>
      <c r="AG17" s="1">
        <f>AC17*AF17</f>
        <v>0.23471759366316394</v>
      </c>
      <c r="AH17" s="1">
        <f>IF(H17&gt;0, I17/H17, 0)</f>
        <v>0</v>
      </c>
      <c r="AI17" s="1">
        <f>AG17*AH17</f>
        <v>0</v>
      </c>
      <c r="AJ17">
        <v>47</v>
      </c>
      <c r="AK17" s="1">
        <f>K17/AJ17</f>
        <v>4.2553191489361701E-2</v>
      </c>
      <c r="AL17" s="1">
        <f>AK17*(AC17*(AJ17/AE17))</f>
        <v>0.46943518732632789</v>
      </c>
      <c r="AM17" s="1">
        <f>4/15</f>
        <v>0.26666666666666666</v>
      </c>
      <c r="AN17" s="1">
        <f>(4/10)+(1/4)*2+(1/8)*3</f>
        <v>1.2749999999999999</v>
      </c>
      <c r="AO17" s="1">
        <f>IF(AR17="y",     (X17*10+AB17*6+AG17+AI17+AL17+(J17*0.7+L17*0.02+M17-N17*0.5+O17+P17*0.5-Q17*1.5)/E17)*(AP17/90)+(AM17-AVERAGE($AM$2:$AM52))*10,      (X17*10+AB17*6+AG17+AI17+AL17+(J17*0.7+L17*0.02+M17-N17*0.5+O17+P17*0.5-Q17*1.5)/E17)*(AQ17/90)+(AM17-AVERAGE($AM$2:$AM$37))*10)</f>
        <v>0.30334593692181505</v>
      </c>
      <c r="AP17" s="2"/>
      <c r="AQ17" s="2">
        <f>18/4</f>
        <v>4.5</v>
      </c>
    </row>
    <row r="18" spans="1:43" x14ac:dyDescent="0.2">
      <c r="A18" t="s">
        <v>55</v>
      </c>
      <c r="B18" t="s">
        <v>63</v>
      </c>
      <c r="C18" t="s">
        <v>66</v>
      </c>
      <c r="D18">
        <v>3400</v>
      </c>
      <c r="E18" s="1">
        <v>2.2222222222222223E-2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 s="1">
        <f>(H18+I18+J18*0.7+K18+L18*0.02+M18-N18*0.5+O18+P18*0.5)/E18</f>
        <v>45</v>
      </c>
      <c r="T18" s="1">
        <f>(F18*10+G18*6+H18+I18+J18*0.7+K18+L18*0.02+M18-N18*0.5+O18+P18*0.5-Q18*1.5-R18*6)/E18</f>
        <v>45</v>
      </c>
      <c r="U18">
        <v>0</v>
      </c>
      <c r="V18">
        <v>6.2</v>
      </c>
      <c r="W18" s="1">
        <f>U18/V18</f>
        <v>0</v>
      </c>
      <c r="X18" s="1">
        <f>W18*AN18</f>
        <v>0</v>
      </c>
      <c r="Y18">
        <v>0</v>
      </c>
      <c r="Z18">
        <v>4.7</v>
      </c>
      <c r="AA18" s="1">
        <f>Y18/Z18</f>
        <v>0</v>
      </c>
      <c r="AB18" s="1">
        <f>AA18*AN18</f>
        <v>0</v>
      </c>
      <c r="AC18" s="2">
        <v>14.317773213453</v>
      </c>
      <c r="AD18" s="2">
        <v>3.0642225772433802</v>
      </c>
      <c r="AE18">
        <v>61</v>
      </c>
      <c r="AF18" s="1">
        <f>H18/AE18</f>
        <v>0</v>
      </c>
      <c r="AG18" s="1">
        <f>AC18*AF18</f>
        <v>0</v>
      </c>
      <c r="AH18" s="1">
        <f>IF(H18&gt;0, I18/H18, 0)</f>
        <v>0</v>
      </c>
      <c r="AI18" s="1">
        <f>AG18*AH18</f>
        <v>0</v>
      </c>
      <c r="AJ18">
        <v>47</v>
      </c>
      <c r="AK18" s="1">
        <f>K18/AJ18</f>
        <v>0</v>
      </c>
      <c r="AL18" s="1">
        <f>AK18*(AC18*(AJ18/AE18))</f>
        <v>0</v>
      </c>
      <c r="AM18" s="1">
        <f>4/15</f>
        <v>0.26666666666666666</v>
      </c>
      <c r="AN18" s="1">
        <f>(4/10)+(1/4)*2+(1/8)*3</f>
        <v>1.2749999999999999</v>
      </c>
      <c r="AO18" s="1">
        <f>IF(AR18="y",     (X18*10+AB18*6+AG18+AI18+AL18+(J18*0.7+L18*0.02+M18-N18*0.5+O18+P18*0.5-Q18*1.5)/E18)*(AP18/90)+(AM18-AVERAGE($AM$2:$AM53))*10,      (X18*10+AB18*6+AG18+AI18+AL18+(J18*0.7+L18*0.02+M18-N18*0.5+O18+P18*0.5-Q18*1.5)/E18)*(AQ18/90)+(AM18-AVERAGE($AM$2:$AM$37))*10)</f>
        <v>0.25</v>
      </c>
      <c r="AP18" s="2"/>
      <c r="AQ18" s="2">
        <f>2/4</f>
        <v>0.5</v>
      </c>
    </row>
    <row r="19" spans="1:43" x14ac:dyDescent="0.2">
      <c r="A19" t="s">
        <v>49</v>
      </c>
      <c r="B19" t="s">
        <v>63</v>
      </c>
      <c r="C19" t="s">
        <v>67</v>
      </c>
      <c r="D19">
        <v>7600</v>
      </c>
      <c r="E19" s="1">
        <v>0.17777777777777778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f>(H19+I19+J19*0.7+K19+L19*0.02+M19-N19*0.5+O19+P19*0.5)/E19</f>
        <v>7.4249999999999998</v>
      </c>
      <c r="T19" s="1">
        <f>(F19*10+G19*6+H19+I19+J19*0.7+K19+L19*0.02+M19-N19*0.5+O19+P19*0.5-Q19*1.5-R19*6)/E19</f>
        <v>7.4249999999999998</v>
      </c>
      <c r="U19">
        <v>0</v>
      </c>
      <c r="V19">
        <v>6.2</v>
      </c>
      <c r="W19" s="1">
        <f>U19/V19</f>
        <v>0</v>
      </c>
      <c r="X19" s="1">
        <f>W19*AN19</f>
        <v>0</v>
      </c>
      <c r="Y19">
        <v>0</v>
      </c>
      <c r="Z19">
        <v>4.7</v>
      </c>
      <c r="AA19" s="1">
        <f>Y19/Z19</f>
        <v>0</v>
      </c>
      <c r="AB19" s="1">
        <f>AA19*AN19</f>
        <v>0</v>
      </c>
      <c r="AC19" s="2">
        <v>14.317773213453</v>
      </c>
      <c r="AD19" s="2">
        <v>3.0642225772433802</v>
      </c>
      <c r="AE19">
        <v>61</v>
      </c>
      <c r="AF19" s="1">
        <f>H19/AE19</f>
        <v>0</v>
      </c>
      <c r="AG19" s="1">
        <f>AC19*AF19</f>
        <v>0</v>
      </c>
      <c r="AH19" s="1">
        <f>IF(H19&gt;0, I19/H19, 0)</f>
        <v>0</v>
      </c>
      <c r="AI19" s="1">
        <f>AG19*AH19</f>
        <v>0</v>
      </c>
      <c r="AJ19">
        <v>47</v>
      </c>
      <c r="AK19" s="1">
        <f>K19/AJ19</f>
        <v>2.1276595744680851E-2</v>
      </c>
      <c r="AL19" s="1">
        <f>AK19*(AC19*(AJ19/AE19))</f>
        <v>0.23471759366316394</v>
      </c>
      <c r="AM19" s="1">
        <f>4/15</f>
        <v>0.26666666666666666</v>
      </c>
      <c r="AN19" s="1">
        <f>(4/10)+(1/4)*2+(1/8)*3</f>
        <v>1.2749999999999999</v>
      </c>
      <c r="AO19" s="1">
        <f>IF(AR19="y",     (X19*10+AB19*6+AG19+AI19+AL19+(J19*0.7+L19*0.02+M19-N19*0.5+O19+P19*0.5-Q19*1.5)/E19)*(AP19/90)+(AM19-AVERAGE($AM$2:$AM54))*10,      (X19*10+AB19*6+AG19+AI19+AL19+(J19*0.7+L19*0.02+M19-N19*0.5+O19+P19*0.5-Q19*1.5)/E19)*(AQ19/90)+(AM19-AVERAGE($AM$2:$AM$37))*10)</f>
        <v>9.0431893051696188E-2</v>
      </c>
      <c r="AP19" s="2"/>
      <c r="AQ19" s="2">
        <f>16/4</f>
        <v>4</v>
      </c>
    </row>
    <row r="20" spans="1:43" x14ac:dyDescent="0.2">
      <c r="A20" t="s">
        <v>46</v>
      </c>
      <c r="B20" t="s">
        <v>63</v>
      </c>
      <c r="C20" t="s">
        <v>66</v>
      </c>
      <c r="D20">
        <v>3200</v>
      </c>
      <c r="E20" s="1">
        <v>1</v>
      </c>
      <c r="F20">
        <v>0</v>
      </c>
      <c r="G20">
        <v>0</v>
      </c>
      <c r="H20">
        <v>2</v>
      </c>
      <c r="I20">
        <v>1</v>
      </c>
      <c r="J20">
        <v>0</v>
      </c>
      <c r="K20">
        <v>0</v>
      </c>
      <c r="L20">
        <v>62</v>
      </c>
      <c r="M20">
        <v>1</v>
      </c>
      <c r="N20">
        <v>1</v>
      </c>
      <c r="O20">
        <v>0</v>
      </c>
      <c r="P20">
        <v>2</v>
      </c>
      <c r="Q20">
        <v>0</v>
      </c>
      <c r="R20">
        <v>0</v>
      </c>
      <c r="S20" s="1">
        <f>(H20+I20+J20*0.7+K20+L20*0.02+M20-N20*0.5+O20+P20*0.5)/E20</f>
        <v>5.74</v>
      </c>
      <c r="T20" s="1">
        <f>(F20*10+G20*6+H20+I20+J20*0.7+K20+L20*0.02+M20-N20*0.5+O20+P20*0.5-Q20*1.5-R20*6)/E20</f>
        <v>5.74</v>
      </c>
      <c r="U20">
        <v>0.5</v>
      </c>
      <c r="V20">
        <v>6.2</v>
      </c>
      <c r="W20" s="1">
        <f>U20/V20</f>
        <v>8.0645161290322578E-2</v>
      </c>
      <c r="X20" s="1">
        <f>W20*AN20</f>
        <v>0.10282258064516128</v>
      </c>
      <c r="Y20">
        <v>0</v>
      </c>
      <c r="Z20">
        <v>4.7</v>
      </c>
      <c r="AA20" s="1">
        <f>Y20/Z20</f>
        <v>0</v>
      </c>
      <c r="AB20" s="1">
        <f>AA20*AN20</f>
        <v>0</v>
      </c>
      <c r="AC20" s="2">
        <v>14.317773213453</v>
      </c>
      <c r="AD20" s="2">
        <v>3.0642225772433802</v>
      </c>
      <c r="AE20">
        <v>61</v>
      </c>
      <c r="AF20" s="1">
        <f>H20/AE20</f>
        <v>3.2786885245901641E-2</v>
      </c>
      <c r="AG20" s="1">
        <f>AC20*AF20</f>
        <v>0.46943518732632789</v>
      </c>
      <c r="AH20" s="1">
        <f>IF(H20&gt;0, I20/H20, 0)</f>
        <v>0.5</v>
      </c>
      <c r="AI20" s="1">
        <f>AG20*AH20</f>
        <v>0.23471759366316394</v>
      </c>
      <c r="AJ20">
        <v>47</v>
      </c>
      <c r="AK20" s="1">
        <f>K20/AJ20</f>
        <v>0</v>
      </c>
      <c r="AL20" s="1">
        <f>AK20*(AC20*(AJ20/AE20))</f>
        <v>0</v>
      </c>
      <c r="AM20" s="1">
        <f>4/15</f>
        <v>0.26666666666666666</v>
      </c>
      <c r="AN20" s="1">
        <f>(4/10)+(1/4)*2+(1/8)*3</f>
        <v>1.2749999999999999</v>
      </c>
      <c r="AO20" s="1">
        <f>IF(AR20="y",     (X20*10+AB20*6+AG20+AI20+AL20+(J20*0.7+L20*0.02+M20-N20*0.5+O20+P20*0.5-Q20*1.5)/E20)*(AP20/90)+(AM20-AVERAGE($AM$2:$AM55))*10,      (X20*10+AB20*6+AG20+AI20+AL20+(J20*0.7+L20*0.02+M20-N20*0.5+O20+P20*0.5-Q20*1.5)/E20)*(AQ20/90)+(AM20-AVERAGE($AM$2:$AM$37))*10)</f>
        <v>0</v>
      </c>
      <c r="AP20" s="2">
        <v>90</v>
      </c>
      <c r="AQ20" s="2">
        <v>0</v>
      </c>
    </row>
  </sheetData>
  <sortState xmlns:xlrd2="http://schemas.microsoft.com/office/spreadsheetml/2017/richdata2" ref="A2:AR20">
    <sortCondition descending="1" ref="AO2:AO20"/>
  </sortState>
  <conditionalFormatting sqref="S2:S20">
    <cfRule type="colorScale" priority="7">
      <colorScale>
        <cfvo type="min"/>
        <cfvo type="max"/>
        <color rgb="FFFCFCFF"/>
        <color rgb="FF63BE7B"/>
      </colorScale>
    </cfRule>
  </conditionalFormatting>
  <conditionalFormatting sqref="T2:T20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20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:AB20">
    <cfRule type="colorScale" priority="4">
      <colorScale>
        <cfvo type="min"/>
        <cfvo type="max"/>
        <color rgb="FFFCFCFF"/>
        <color rgb="FF63BE7B"/>
      </colorScale>
    </cfRule>
  </conditionalFormatting>
  <conditionalFormatting sqref="AG2:AG20 AI2:AI20">
    <cfRule type="colorScale" priority="3">
      <colorScale>
        <cfvo type="min"/>
        <cfvo type="max"/>
        <color rgb="FFFCFCFF"/>
        <color rgb="FF63BE7B"/>
      </colorScale>
    </cfRule>
  </conditionalFormatting>
  <conditionalFormatting sqref="AL2:AL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O2:AO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2020-09-11T21:37:10Z</dcterms:created>
  <dcterms:modified xsi:type="dcterms:W3CDTF">2020-09-13T16:50:29Z</dcterms:modified>
</cp:coreProperties>
</file>