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Matchup_Spreadsheets/"/>
    </mc:Choice>
  </mc:AlternateContent>
  <xr:revisionPtr revIDLastSave="0" documentId="13_ncr:1_{5A97738D-5484-E647-A16B-3AD68359CA1D}" xr6:coauthVersionLast="45" xr6:coauthVersionMax="45" xr10:uidLastSave="{00000000-0000-0000-0000-000000000000}"/>
  <bookViews>
    <workbookView xWindow="0" yWindow="0" windowWidth="28800" windowHeight="18000" xr2:uid="{BA4E21B3-E01C-5141-94B3-50A0857636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2" i="1" l="1"/>
  <c r="AK39" i="1"/>
  <c r="AL39" i="1"/>
  <c r="AK40" i="1"/>
  <c r="AL40" i="1" s="1"/>
  <c r="AK20" i="1"/>
  <c r="AL20" i="1" s="1"/>
  <c r="AK17" i="1"/>
  <c r="AL17" i="1" s="1"/>
  <c r="AK38" i="1"/>
  <c r="AL38" i="1"/>
  <c r="AK11" i="1"/>
  <c r="AL11" i="1" s="1"/>
  <c r="AK16" i="1"/>
  <c r="AL16" i="1"/>
  <c r="AK5" i="1"/>
  <c r="AL5" i="1" s="1"/>
  <c r="AK6" i="1"/>
  <c r="AL6" i="1"/>
  <c r="AK8" i="1"/>
  <c r="AL8" i="1" s="1"/>
  <c r="AK31" i="1"/>
  <c r="AL31" i="1" s="1"/>
  <c r="AK19" i="1"/>
  <c r="AL19" i="1" s="1"/>
  <c r="AK27" i="1"/>
  <c r="AL27" i="1"/>
  <c r="AK2" i="1"/>
  <c r="AL2" i="1" s="1"/>
  <c r="AK30" i="1"/>
  <c r="AL30" i="1"/>
  <c r="AK28" i="1"/>
  <c r="AL28" i="1" s="1"/>
  <c r="AK37" i="1"/>
  <c r="AL37" i="1"/>
  <c r="AK35" i="1"/>
  <c r="AL35" i="1" s="1"/>
  <c r="AK24" i="1"/>
  <c r="AL24" i="1" s="1"/>
  <c r="AK25" i="1"/>
  <c r="AL25" i="1" s="1"/>
  <c r="AK21" i="1"/>
  <c r="AL21" i="1"/>
  <c r="AK14" i="1"/>
  <c r="AL14" i="1" s="1"/>
  <c r="AF39" i="1"/>
  <c r="AG39" i="1" s="1"/>
  <c r="AH39" i="1"/>
  <c r="AF40" i="1"/>
  <c r="AG40" i="1" s="1"/>
  <c r="AI40" i="1" s="1"/>
  <c r="AH40" i="1"/>
  <c r="AF20" i="1"/>
  <c r="AG20" i="1" s="1"/>
  <c r="AH20" i="1"/>
  <c r="AF17" i="1"/>
  <c r="AG17" i="1" s="1"/>
  <c r="AI17" i="1" s="1"/>
  <c r="AH17" i="1"/>
  <c r="AF38" i="1"/>
  <c r="AG38" i="1" s="1"/>
  <c r="AH38" i="1"/>
  <c r="AF11" i="1"/>
  <c r="AG11" i="1" s="1"/>
  <c r="AI11" i="1" s="1"/>
  <c r="AH11" i="1"/>
  <c r="AF16" i="1"/>
  <c r="AG16" i="1" s="1"/>
  <c r="AH16" i="1"/>
  <c r="AF5" i="1"/>
  <c r="AG5" i="1" s="1"/>
  <c r="AI5" i="1" s="1"/>
  <c r="AH5" i="1"/>
  <c r="AF6" i="1"/>
  <c r="AG6" i="1" s="1"/>
  <c r="AH6" i="1"/>
  <c r="AF8" i="1"/>
  <c r="AG8" i="1" s="1"/>
  <c r="AI8" i="1" s="1"/>
  <c r="AH8" i="1"/>
  <c r="AF31" i="1"/>
  <c r="AG31" i="1" s="1"/>
  <c r="AH31" i="1"/>
  <c r="AF19" i="1"/>
  <c r="AG19" i="1" s="1"/>
  <c r="AI19" i="1" s="1"/>
  <c r="AH19" i="1"/>
  <c r="AF27" i="1"/>
  <c r="AG27" i="1" s="1"/>
  <c r="AH27" i="1"/>
  <c r="AF2" i="1"/>
  <c r="AG2" i="1" s="1"/>
  <c r="AI2" i="1" s="1"/>
  <c r="AH2" i="1"/>
  <c r="AF30" i="1"/>
  <c r="AG30" i="1" s="1"/>
  <c r="AH30" i="1"/>
  <c r="AF28" i="1"/>
  <c r="AG28" i="1" s="1"/>
  <c r="AI28" i="1" s="1"/>
  <c r="AH28" i="1"/>
  <c r="AF37" i="1"/>
  <c r="AG37" i="1" s="1"/>
  <c r="AH37" i="1"/>
  <c r="AF35" i="1"/>
  <c r="AG35" i="1" s="1"/>
  <c r="AI35" i="1" s="1"/>
  <c r="AH35" i="1"/>
  <c r="AF24" i="1"/>
  <c r="AG24" i="1" s="1"/>
  <c r="AH24" i="1"/>
  <c r="AF25" i="1"/>
  <c r="AG25" i="1" s="1"/>
  <c r="AI25" i="1" s="1"/>
  <c r="AH25" i="1"/>
  <c r="AF21" i="1"/>
  <c r="AG21" i="1" s="1"/>
  <c r="AH21" i="1"/>
  <c r="AF14" i="1"/>
  <c r="AG14" i="1" s="1"/>
  <c r="AI14" i="1" s="1"/>
  <c r="AH14" i="1"/>
  <c r="AA39" i="1"/>
  <c r="AB39" i="1" s="1"/>
  <c r="AA40" i="1"/>
  <c r="AB40" i="1"/>
  <c r="AA20" i="1"/>
  <c r="AB20" i="1" s="1"/>
  <c r="AA17" i="1"/>
  <c r="AB17" i="1"/>
  <c r="AA38" i="1"/>
  <c r="AB38" i="1" s="1"/>
  <c r="AA11" i="1"/>
  <c r="AB11" i="1"/>
  <c r="AA16" i="1"/>
  <c r="AB16" i="1" s="1"/>
  <c r="AA5" i="1"/>
  <c r="AB5" i="1" s="1"/>
  <c r="AA6" i="1"/>
  <c r="AB6" i="1" s="1"/>
  <c r="AA8" i="1"/>
  <c r="AB8" i="1"/>
  <c r="AA31" i="1"/>
  <c r="AB31" i="1" s="1"/>
  <c r="AA19" i="1"/>
  <c r="AB19" i="1"/>
  <c r="AA27" i="1"/>
  <c r="AB27" i="1" s="1"/>
  <c r="AA2" i="1"/>
  <c r="AB2" i="1" s="1"/>
  <c r="AA30" i="1"/>
  <c r="AB30" i="1" s="1"/>
  <c r="AA28" i="1"/>
  <c r="AB28" i="1" s="1"/>
  <c r="AA37" i="1"/>
  <c r="AB37" i="1" s="1"/>
  <c r="AA35" i="1"/>
  <c r="AB35" i="1"/>
  <c r="AA24" i="1"/>
  <c r="AB24" i="1" s="1"/>
  <c r="AA25" i="1"/>
  <c r="AB25" i="1" s="1"/>
  <c r="AA21" i="1"/>
  <c r="AB21" i="1" s="1"/>
  <c r="AA14" i="1"/>
  <c r="AB14" i="1"/>
  <c r="W39" i="1"/>
  <c r="X39" i="1"/>
  <c r="W40" i="1"/>
  <c r="X40" i="1"/>
  <c r="AO40" i="1" s="1"/>
  <c r="W20" i="1"/>
  <c r="X20" i="1"/>
  <c r="W17" i="1"/>
  <c r="X17" i="1"/>
  <c r="AO17" i="1" s="1"/>
  <c r="W38" i="1"/>
  <c r="X38" i="1"/>
  <c r="W11" i="1"/>
  <c r="X11" i="1"/>
  <c r="AO11" i="1" s="1"/>
  <c r="W16" i="1"/>
  <c r="X16" i="1"/>
  <c r="W5" i="1"/>
  <c r="X5" i="1"/>
  <c r="AO5" i="1" s="1"/>
  <c r="W6" i="1"/>
  <c r="X6" i="1"/>
  <c r="W8" i="1"/>
  <c r="X8" i="1"/>
  <c r="AO8" i="1" s="1"/>
  <c r="W31" i="1"/>
  <c r="X31" i="1"/>
  <c r="W19" i="1"/>
  <c r="X19" i="1"/>
  <c r="AO19" i="1" s="1"/>
  <c r="W27" i="1"/>
  <c r="X27" i="1"/>
  <c r="W2" i="1"/>
  <c r="X2" i="1"/>
  <c r="W30" i="1"/>
  <c r="X30" i="1" s="1"/>
  <c r="W28" i="1"/>
  <c r="X28" i="1" s="1"/>
  <c r="W37" i="1"/>
  <c r="X37" i="1" s="1"/>
  <c r="W35" i="1"/>
  <c r="X35" i="1" s="1"/>
  <c r="W24" i="1"/>
  <c r="X24" i="1" s="1"/>
  <c r="W25" i="1"/>
  <c r="X25" i="1"/>
  <c r="W21" i="1"/>
  <c r="X21" i="1" s="1"/>
  <c r="W14" i="1"/>
  <c r="X14" i="1"/>
  <c r="S39" i="1"/>
  <c r="T39" i="1"/>
  <c r="S40" i="1"/>
  <c r="T40" i="1"/>
  <c r="S20" i="1"/>
  <c r="T20" i="1"/>
  <c r="S17" i="1"/>
  <c r="T17" i="1"/>
  <c r="S38" i="1"/>
  <c r="T38" i="1"/>
  <c r="S11" i="1"/>
  <c r="T11" i="1"/>
  <c r="S16" i="1"/>
  <c r="T16" i="1"/>
  <c r="S5" i="1"/>
  <c r="T5" i="1"/>
  <c r="S6" i="1"/>
  <c r="T6" i="1"/>
  <c r="S8" i="1"/>
  <c r="T8" i="1"/>
  <c r="S31" i="1"/>
  <c r="T31" i="1"/>
  <c r="S19" i="1"/>
  <c r="T19" i="1"/>
  <c r="S27" i="1"/>
  <c r="T27" i="1"/>
  <c r="S2" i="1"/>
  <c r="T2" i="1"/>
  <c r="S30" i="1"/>
  <c r="T30" i="1"/>
  <c r="S28" i="1"/>
  <c r="T28" i="1"/>
  <c r="S37" i="1"/>
  <c r="T37" i="1"/>
  <c r="S35" i="1"/>
  <c r="T35" i="1"/>
  <c r="S24" i="1"/>
  <c r="T24" i="1"/>
  <c r="S25" i="1"/>
  <c r="T25" i="1"/>
  <c r="S21" i="1"/>
  <c r="T21" i="1"/>
  <c r="S14" i="1"/>
  <c r="T14" i="1"/>
  <c r="AP14" i="1"/>
  <c r="AP21" i="1"/>
  <c r="AQ25" i="1"/>
  <c r="AQ24" i="1"/>
  <c r="AQ37" i="1"/>
  <c r="AQ28" i="1"/>
  <c r="AQ30" i="1"/>
  <c r="AQ27" i="1"/>
  <c r="AP19" i="1"/>
  <c r="AQ31" i="1"/>
  <c r="AP8" i="1"/>
  <c r="AP6" i="1"/>
  <c r="AP5" i="1"/>
  <c r="AP16" i="1"/>
  <c r="AQ17" i="1"/>
  <c r="AP20" i="1"/>
  <c r="AN39" i="1"/>
  <c r="AN40" i="1"/>
  <c r="AN20" i="1"/>
  <c r="AN17" i="1"/>
  <c r="AN38" i="1"/>
  <c r="AN11" i="1"/>
  <c r="AN16" i="1"/>
  <c r="AN5" i="1"/>
  <c r="AN6" i="1"/>
  <c r="AN8" i="1"/>
  <c r="AN31" i="1"/>
  <c r="AN19" i="1"/>
  <c r="AN27" i="1"/>
  <c r="AN2" i="1"/>
  <c r="AN30" i="1"/>
  <c r="AN28" i="1"/>
  <c r="AN37" i="1"/>
  <c r="AN35" i="1"/>
  <c r="AN24" i="1"/>
  <c r="AN25" i="1"/>
  <c r="AN21" i="1"/>
  <c r="AN14" i="1"/>
  <c r="AM39" i="1"/>
  <c r="AM40" i="1"/>
  <c r="AM20" i="1"/>
  <c r="AM17" i="1"/>
  <c r="AM38" i="1"/>
  <c r="AM11" i="1"/>
  <c r="AM16" i="1"/>
  <c r="AM5" i="1"/>
  <c r="AM6" i="1"/>
  <c r="AM8" i="1"/>
  <c r="AM31" i="1"/>
  <c r="AM19" i="1"/>
  <c r="AM27" i="1"/>
  <c r="AM2" i="1"/>
  <c r="AM30" i="1"/>
  <c r="AM28" i="1"/>
  <c r="AM37" i="1"/>
  <c r="AM35" i="1"/>
  <c r="AM24" i="1"/>
  <c r="AM25" i="1"/>
  <c r="AM21" i="1"/>
  <c r="AM14" i="1"/>
  <c r="AQ41" i="1"/>
  <c r="AQ36" i="1"/>
  <c r="AP12" i="1"/>
  <c r="AP18" i="1"/>
  <c r="AP23" i="1"/>
  <c r="AP13" i="1"/>
  <c r="AQ32" i="1"/>
  <c r="AQ29" i="1"/>
  <c r="AP4" i="1"/>
  <c r="AQ33" i="1"/>
  <c r="AP3" i="1"/>
  <c r="AP7" i="1"/>
  <c r="AQ34" i="1"/>
  <c r="AP34" i="1"/>
  <c r="AP15" i="1"/>
  <c r="AP10" i="1"/>
  <c r="AQ9" i="1"/>
  <c r="AQ22" i="1"/>
  <c r="AK42" i="1"/>
  <c r="AL42" i="1" s="1"/>
  <c r="AK9" i="1"/>
  <c r="AL9" i="1" s="1"/>
  <c r="AK10" i="1"/>
  <c r="AL10" i="1" s="1"/>
  <c r="AK15" i="1"/>
  <c r="AL15" i="1" s="1"/>
  <c r="AK34" i="1"/>
  <c r="AL34" i="1" s="1"/>
  <c r="AK7" i="1"/>
  <c r="AL7" i="1" s="1"/>
  <c r="AK3" i="1"/>
  <c r="AL3" i="1" s="1"/>
  <c r="AK33" i="1"/>
  <c r="AL33" i="1" s="1"/>
  <c r="AK4" i="1"/>
  <c r="AL4" i="1" s="1"/>
  <c r="AK29" i="1"/>
  <c r="AL29" i="1" s="1"/>
  <c r="AK32" i="1"/>
  <c r="AL32" i="1" s="1"/>
  <c r="AK13" i="1"/>
  <c r="AL13" i="1" s="1"/>
  <c r="AK26" i="1"/>
  <c r="AL26" i="1" s="1"/>
  <c r="AK23" i="1"/>
  <c r="AL23" i="1" s="1"/>
  <c r="AK18" i="1"/>
  <c r="AL18" i="1" s="1"/>
  <c r="AK12" i="1"/>
  <c r="AL12" i="1" s="1"/>
  <c r="AK36" i="1"/>
  <c r="AL36" i="1" s="1"/>
  <c r="AK41" i="1"/>
  <c r="AL41" i="1"/>
  <c r="AF42" i="1"/>
  <c r="AG42" i="1"/>
  <c r="AH42" i="1"/>
  <c r="AF9" i="1"/>
  <c r="AG9" i="1" s="1"/>
  <c r="AH9" i="1"/>
  <c r="AF10" i="1"/>
  <c r="AG10" i="1" s="1"/>
  <c r="AH10" i="1"/>
  <c r="AF15" i="1"/>
  <c r="AG15" i="1"/>
  <c r="AH15" i="1"/>
  <c r="AF34" i="1"/>
  <c r="AG34" i="1" s="1"/>
  <c r="AH34" i="1"/>
  <c r="AF7" i="1"/>
  <c r="AG7" i="1" s="1"/>
  <c r="AH7" i="1"/>
  <c r="AF3" i="1"/>
  <c r="AG3" i="1"/>
  <c r="AH3" i="1"/>
  <c r="AF33" i="1"/>
  <c r="AG33" i="1" s="1"/>
  <c r="AH33" i="1"/>
  <c r="AF4" i="1"/>
  <c r="AG4" i="1"/>
  <c r="AH4" i="1"/>
  <c r="AF29" i="1"/>
  <c r="AG29" i="1" s="1"/>
  <c r="AH29" i="1"/>
  <c r="AF32" i="1"/>
  <c r="AG32" i="1" s="1"/>
  <c r="AH32" i="1"/>
  <c r="AF13" i="1"/>
  <c r="AG13" i="1"/>
  <c r="AH13" i="1"/>
  <c r="AF26" i="1"/>
  <c r="AG26" i="1" s="1"/>
  <c r="AH26" i="1"/>
  <c r="AF23" i="1"/>
  <c r="AG23" i="1" s="1"/>
  <c r="AH23" i="1"/>
  <c r="AF18" i="1"/>
  <c r="AG18" i="1" s="1"/>
  <c r="AH18" i="1"/>
  <c r="AF12" i="1"/>
  <c r="AG12" i="1" s="1"/>
  <c r="AH12" i="1"/>
  <c r="AF36" i="1"/>
  <c r="AG36" i="1" s="1"/>
  <c r="AH36" i="1"/>
  <c r="AF41" i="1"/>
  <c r="AG41" i="1" s="1"/>
  <c r="AH41" i="1"/>
  <c r="AA42" i="1"/>
  <c r="AB42" i="1" s="1"/>
  <c r="AA9" i="1"/>
  <c r="AB9" i="1" s="1"/>
  <c r="AA10" i="1"/>
  <c r="AB10" i="1" s="1"/>
  <c r="AA15" i="1"/>
  <c r="AB15" i="1" s="1"/>
  <c r="AA34" i="1"/>
  <c r="AB34" i="1" s="1"/>
  <c r="AA7" i="1"/>
  <c r="AB7" i="1" s="1"/>
  <c r="AA3" i="1"/>
  <c r="AB3" i="1" s="1"/>
  <c r="AA33" i="1"/>
  <c r="AB33" i="1" s="1"/>
  <c r="AA4" i="1"/>
  <c r="AB4" i="1" s="1"/>
  <c r="AA29" i="1"/>
  <c r="AB29" i="1" s="1"/>
  <c r="AA32" i="1"/>
  <c r="AB32" i="1" s="1"/>
  <c r="AA13" i="1"/>
  <c r="AB13" i="1" s="1"/>
  <c r="AA26" i="1"/>
  <c r="AB26" i="1" s="1"/>
  <c r="AA23" i="1"/>
  <c r="AB23" i="1"/>
  <c r="AA18" i="1"/>
  <c r="AB18" i="1" s="1"/>
  <c r="AA12" i="1"/>
  <c r="AB12" i="1" s="1"/>
  <c r="AA36" i="1"/>
  <c r="AB36" i="1" s="1"/>
  <c r="AA41" i="1"/>
  <c r="AB41" i="1" s="1"/>
  <c r="W42" i="1"/>
  <c r="X42" i="1" s="1"/>
  <c r="W9" i="1"/>
  <c r="X9" i="1" s="1"/>
  <c r="W10" i="1"/>
  <c r="X10" i="1" s="1"/>
  <c r="W15" i="1"/>
  <c r="X15" i="1" s="1"/>
  <c r="W34" i="1"/>
  <c r="X34" i="1" s="1"/>
  <c r="W7" i="1"/>
  <c r="X7" i="1" s="1"/>
  <c r="W3" i="1"/>
  <c r="X3" i="1" s="1"/>
  <c r="W33" i="1"/>
  <c r="X33" i="1" s="1"/>
  <c r="W4" i="1"/>
  <c r="X4" i="1" s="1"/>
  <c r="W29" i="1"/>
  <c r="X29" i="1" s="1"/>
  <c r="W32" i="1"/>
  <c r="X32" i="1" s="1"/>
  <c r="W13" i="1"/>
  <c r="X13" i="1" s="1"/>
  <c r="W26" i="1"/>
  <c r="X26" i="1"/>
  <c r="W23" i="1"/>
  <c r="X23" i="1" s="1"/>
  <c r="W18" i="1"/>
  <c r="X18" i="1" s="1"/>
  <c r="W12" i="1"/>
  <c r="X12" i="1" s="1"/>
  <c r="W36" i="1"/>
  <c r="X36" i="1" s="1"/>
  <c r="W41" i="1"/>
  <c r="X41" i="1" s="1"/>
  <c r="S42" i="1"/>
  <c r="T42" i="1"/>
  <c r="S9" i="1"/>
  <c r="T9" i="1"/>
  <c r="S10" i="1"/>
  <c r="T10" i="1"/>
  <c r="S15" i="1"/>
  <c r="T15" i="1"/>
  <c r="S34" i="1"/>
  <c r="T34" i="1"/>
  <c r="S7" i="1"/>
  <c r="T7" i="1"/>
  <c r="S3" i="1"/>
  <c r="T3" i="1"/>
  <c r="S33" i="1"/>
  <c r="T33" i="1"/>
  <c r="S4" i="1"/>
  <c r="T4" i="1"/>
  <c r="S29" i="1"/>
  <c r="T29" i="1"/>
  <c r="S32" i="1"/>
  <c r="T32" i="1"/>
  <c r="S13" i="1"/>
  <c r="T13" i="1"/>
  <c r="S26" i="1"/>
  <c r="T26" i="1"/>
  <c r="S23" i="1"/>
  <c r="T23" i="1"/>
  <c r="S18" i="1"/>
  <c r="T18" i="1"/>
  <c r="S12" i="1"/>
  <c r="T12" i="1"/>
  <c r="S36" i="1"/>
  <c r="T36" i="1"/>
  <c r="S41" i="1"/>
  <c r="T41" i="1"/>
  <c r="AK22" i="1"/>
  <c r="AL22" i="1" s="1"/>
  <c r="AH22" i="1"/>
  <c r="AF22" i="1"/>
  <c r="AG22" i="1" s="1"/>
  <c r="AA22" i="1"/>
  <c r="AB22" i="1" s="1"/>
  <c r="AM42" i="1"/>
  <c r="AM9" i="1"/>
  <c r="AM10" i="1"/>
  <c r="AM15" i="1"/>
  <c r="AM34" i="1"/>
  <c r="AM7" i="1"/>
  <c r="AM3" i="1"/>
  <c r="AM33" i="1"/>
  <c r="AM4" i="1"/>
  <c r="AM29" i="1"/>
  <c r="AM32" i="1"/>
  <c r="AM13" i="1"/>
  <c r="AM26" i="1"/>
  <c r="AM23" i="1"/>
  <c r="AM18" i="1"/>
  <c r="AM12" i="1"/>
  <c r="AM36" i="1"/>
  <c r="AM41" i="1"/>
  <c r="AM22" i="1"/>
  <c r="W22" i="1"/>
  <c r="X22" i="1" s="1"/>
  <c r="T22" i="1"/>
  <c r="S22" i="1"/>
  <c r="AO25" i="1" l="1"/>
  <c r="AO2" i="1"/>
  <c r="AO14" i="1"/>
  <c r="AO28" i="1"/>
  <c r="AO35" i="1"/>
  <c r="AI32" i="1"/>
  <c r="AO32" i="1" s="1"/>
  <c r="AI21" i="1"/>
  <c r="AO21" i="1" s="1"/>
  <c r="AI24" i="1"/>
  <c r="AO24" i="1" s="1"/>
  <c r="AI37" i="1"/>
  <c r="AO37" i="1" s="1"/>
  <c r="AI30" i="1"/>
  <c r="AO30" i="1" s="1"/>
  <c r="AI27" i="1"/>
  <c r="AO27" i="1" s="1"/>
  <c r="AI31" i="1"/>
  <c r="AO31" i="1" s="1"/>
  <c r="AI6" i="1"/>
  <c r="AO6" i="1" s="1"/>
  <c r="AI16" i="1"/>
  <c r="AO16" i="1" s="1"/>
  <c r="AI38" i="1"/>
  <c r="AO38" i="1" s="1"/>
  <c r="AI20" i="1"/>
  <c r="AO20" i="1" s="1"/>
  <c r="AI39" i="1"/>
  <c r="AO39" i="1" s="1"/>
  <c r="AI22" i="1"/>
  <c r="AO22" i="1" s="1"/>
  <c r="AI18" i="1"/>
  <c r="AO18" i="1" s="1"/>
  <c r="AI9" i="1"/>
  <c r="AO9" i="1" s="1"/>
  <c r="AI41" i="1"/>
  <c r="AO41" i="1" s="1"/>
  <c r="AI7" i="1"/>
  <c r="AO7" i="1" s="1"/>
  <c r="AI10" i="1"/>
  <c r="AO10" i="1" s="1"/>
  <c r="AI29" i="1"/>
  <c r="AO29" i="1" s="1"/>
  <c r="AI3" i="1"/>
  <c r="AO3" i="1" s="1"/>
  <c r="AI36" i="1"/>
  <c r="AO36" i="1" s="1"/>
  <c r="AI23" i="1"/>
  <c r="AO23" i="1" s="1"/>
  <c r="AI12" i="1"/>
  <c r="AO12" i="1" s="1"/>
  <c r="AI33" i="1"/>
  <c r="AO33" i="1" s="1"/>
  <c r="AI15" i="1"/>
  <c r="AO15" i="1" s="1"/>
  <c r="AI26" i="1"/>
  <c r="AO26" i="1" s="1"/>
  <c r="AI4" i="1"/>
  <c r="AO4" i="1" s="1"/>
  <c r="AI34" i="1"/>
  <c r="AO34" i="1" s="1"/>
  <c r="AI42" i="1"/>
  <c r="AO42" i="1" s="1"/>
  <c r="AI13" i="1"/>
  <c r="AO13" i="1" s="1"/>
</calcChain>
</file>

<file path=xl/sharedStrings.xml><?xml version="1.0" encoding="utf-8"?>
<sst xmlns="http://schemas.openxmlformats.org/spreadsheetml/2006/main" count="189" uniqueCount="93">
  <si>
    <t>Player</t>
  </si>
  <si>
    <t>Team</t>
  </si>
  <si>
    <t>Pos</t>
  </si>
  <si>
    <t>Salary</t>
  </si>
  <si>
    <t>90s</t>
  </si>
  <si>
    <t>Gls</t>
  </si>
  <si>
    <t>Ast</t>
  </si>
  <si>
    <t>Sh</t>
  </si>
  <si>
    <t>SoT</t>
  </si>
  <si>
    <t>Crs</t>
  </si>
  <si>
    <t>KP</t>
  </si>
  <si>
    <t>Pass_Cmp</t>
  </si>
  <si>
    <t>Fld</t>
  </si>
  <si>
    <t>Fls</t>
  </si>
  <si>
    <t>TklW</t>
  </si>
  <si>
    <t>Int</t>
  </si>
  <si>
    <t>CrdY</t>
  </si>
  <si>
    <t>CrdR</t>
  </si>
  <si>
    <t>Floor</t>
  </si>
  <si>
    <t>FPTS</t>
  </si>
  <si>
    <t>xG</t>
  </si>
  <si>
    <t>Team_xG</t>
  </si>
  <si>
    <t>xG_Share</t>
  </si>
  <si>
    <t>Proj_Gls</t>
  </si>
  <si>
    <t>xA</t>
  </si>
  <si>
    <t>Team_xA</t>
  </si>
  <si>
    <t>xA_Share</t>
  </si>
  <si>
    <t>Proj_Ast</t>
  </si>
  <si>
    <t>Team_Shot_Proj</t>
  </si>
  <si>
    <t>TeamSoT_Proj</t>
  </si>
  <si>
    <t>Team_Shots</t>
  </si>
  <si>
    <t>Shot_Share</t>
  </si>
  <si>
    <t>Proj_Shots</t>
  </si>
  <si>
    <t>SoT%</t>
  </si>
  <si>
    <t>Proj_SoT</t>
  </si>
  <si>
    <t>Team_KP</t>
  </si>
  <si>
    <t>KP_Share</t>
  </si>
  <si>
    <t>Proj_KP</t>
  </si>
  <si>
    <t>Team_Odds</t>
  </si>
  <si>
    <t>Team_Goal_Odds</t>
  </si>
  <si>
    <t>Pts_w_StartMins</t>
  </si>
  <si>
    <t>Start_Mins</t>
  </si>
  <si>
    <t>Sub_Mins</t>
  </si>
  <si>
    <t>Starting</t>
  </si>
  <si>
    <t>Xavier Arreaga</t>
  </si>
  <si>
    <t>Gustav Svensson</t>
  </si>
  <si>
    <t>Nouhou Tolo</t>
  </si>
  <si>
    <t>Joao Paulo Mior</t>
  </si>
  <si>
    <t>Cristian Roldan</t>
  </si>
  <si>
    <t>Jordy Delem</t>
  </si>
  <si>
    <t>Raul Ruidiaz</t>
  </si>
  <si>
    <t>Nicolas Lodeiro</t>
  </si>
  <si>
    <t>Miguel Ibarra</t>
  </si>
  <si>
    <t>Jordan Morris</t>
  </si>
  <si>
    <t>Alex Roldan</t>
  </si>
  <si>
    <t>Will Bruin</t>
  </si>
  <si>
    <t>Kelvin Leerdam</t>
  </si>
  <si>
    <t>Stefan Frei</t>
  </si>
  <si>
    <t>Shane O'Neill</t>
  </si>
  <si>
    <t>Yeimar Gomez Andrade</t>
  </si>
  <si>
    <t>Joevin Jones</t>
  </si>
  <si>
    <t>Handwalla Bwana</t>
  </si>
  <si>
    <t>Joshua Atencio</t>
  </si>
  <si>
    <t>SEA</t>
  </si>
  <si>
    <t>y</t>
  </si>
  <si>
    <t>Jordan Harvey</t>
  </si>
  <si>
    <t>Mohamed Traore</t>
  </si>
  <si>
    <t>Eddie Segura</t>
  </si>
  <si>
    <t>Dejan Jakovic</t>
  </si>
  <si>
    <t>Danilo da Silva</t>
  </si>
  <si>
    <t>Latif Blessing</t>
  </si>
  <si>
    <t>Francisco Ginella</t>
  </si>
  <si>
    <t>Diego Rossi</t>
  </si>
  <si>
    <t>Jose Cifuentes</t>
  </si>
  <si>
    <t>Diego Palacios</t>
  </si>
  <si>
    <t>Mohamed El Monir</t>
  </si>
  <si>
    <t>Mark-Anthony Kaye</t>
  </si>
  <si>
    <t>Daniel Musovski</t>
  </si>
  <si>
    <t>Brian Rodriguez</t>
  </si>
  <si>
    <t>Bryce Duke</t>
  </si>
  <si>
    <t>Christian Torres</t>
  </si>
  <si>
    <t>Eduard Atuesta</t>
  </si>
  <si>
    <t>Pablo Sisniega</t>
  </si>
  <si>
    <t>Andy Najar</t>
  </si>
  <si>
    <t>Adrien Perez</t>
  </si>
  <si>
    <t>Tristan Blackmon</t>
  </si>
  <si>
    <t>Bradley Wright-Phillips</t>
  </si>
  <si>
    <t>LAFC</t>
  </si>
  <si>
    <t>F</t>
  </si>
  <si>
    <t>M</t>
  </si>
  <si>
    <t>M/F</t>
  </si>
  <si>
    <t>D</t>
  </si>
  <si>
    <t>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</si>
</sst>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A1EC-7338-DA46-AFAF-0F291478DAEB}">
  <dimension ref="A1:AR42"/>
  <sheetViews>
    <sheetView tabSelected="1" topLeftCell="R1" workbookViewId="0">
      <selection activeCell="AT7" sqref="AT7"/>
    </sheetView>
  </sheetViews>
  <sheetFormatPr baseColWidth="10" defaultRowHeight="16" x14ac:dyDescent="0.2"/>
  <cols>
    <col min="1" max="1" width="20.83203125" bestFit="1" customWidth="1"/>
    <col min="2" max="44" width="6.83203125" customWidth="1"/>
  </cols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">
      <c r="A2" t="s">
        <v>78</v>
      </c>
      <c r="B2" t="s">
        <v>87</v>
      </c>
      <c r="C2" t="s">
        <v>90</v>
      </c>
      <c r="D2">
        <v>9400</v>
      </c>
      <c r="E2" s="1">
        <v>4.2222222222222223</v>
      </c>
      <c r="F2">
        <v>0</v>
      </c>
      <c r="G2">
        <v>2</v>
      </c>
      <c r="H2">
        <v>13</v>
      </c>
      <c r="I2">
        <v>4</v>
      </c>
      <c r="J2">
        <v>34</v>
      </c>
      <c r="K2">
        <v>15</v>
      </c>
      <c r="L2">
        <v>99</v>
      </c>
      <c r="M2">
        <v>7</v>
      </c>
      <c r="N2">
        <v>4</v>
      </c>
      <c r="O2">
        <v>3</v>
      </c>
      <c r="P2">
        <v>2</v>
      </c>
      <c r="Q2">
        <v>0</v>
      </c>
      <c r="R2">
        <v>0</v>
      </c>
      <c r="S2" s="1">
        <f>(H2+I2+J2*0.7+K2+L2*0.02+M2-N2*0.5+O2+P2*0.5)/E2</f>
        <v>15.816315789473684</v>
      </c>
      <c r="T2" s="1">
        <f>(F2*10+G2*6+H2+I2+J2*0.7+K2+L2*0.02+M2-N2*0.5+O2+P2*0.5-Q2*1.5-R2*6)/E2</f>
        <v>18.658421052631578</v>
      </c>
      <c r="U2">
        <v>0.7</v>
      </c>
      <c r="V2">
        <v>9.6</v>
      </c>
      <c r="W2" s="1">
        <f>U2/V2</f>
        <v>7.2916666666666671E-2</v>
      </c>
      <c r="X2" s="1">
        <f>W2*AN2</f>
        <v>0.12969771241830066</v>
      </c>
      <c r="Y2">
        <v>2.5</v>
      </c>
      <c r="Z2">
        <v>7.8</v>
      </c>
      <c r="AA2" s="1">
        <f>Y2/Z2</f>
        <v>0.32051282051282054</v>
      </c>
      <c r="AB2" s="1">
        <f>AA2*AN2</f>
        <v>0.57009983480571713</v>
      </c>
      <c r="AC2" s="2">
        <v>12.4845213998363</v>
      </c>
      <c r="AD2" s="2">
        <v>5.1561073381324301</v>
      </c>
      <c r="AE2">
        <v>79</v>
      </c>
      <c r="AF2" s="1">
        <f>H2/AE2</f>
        <v>0.16455696202531644</v>
      </c>
      <c r="AG2" s="1">
        <f>AC2*AF2</f>
        <v>2.0544149138971126</v>
      </c>
      <c r="AH2" s="1">
        <f>IF(H2&gt;0, I2/H2, 0)</f>
        <v>0.30769230769230771</v>
      </c>
      <c r="AI2" s="1">
        <f>AG2*AH2</f>
        <v>0.6321276658144962</v>
      </c>
      <c r="AJ2">
        <v>60</v>
      </c>
      <c r="AK2" s="1">
        <f>K2/AJ2</f>
        <v>0.25</v>
      </c>
      <c r="AL2" s="1">
        <f>AK2*(AC2*(AJ2/AE2))</f>
        <v>2.3704787468043609</v>
      </c>
      <c r="AM2" s="1">
        <f>8/21</f>
        <v>0.38095238095238093</v>
      </c>
      <c r="AN2" s="1">
        <f>(1/3)+(5/17)*2+(2/7)*3</f>
        <v>1.7787114845938374</v>
      </c>
      <c r="AO2" s="1">
        <f>IF(AR2="y",     (X2*10+AB2*6+AG2+AI2+AL2+(J2*0.7+L2*0.02+M2-N2*0.5+O2+P2*0.5-Q2*1.5)/E2)*(AP2/90)+(AM2-AVERAGE($AM$2:$AM$42))*10,      (X2*10+AB2*6+AG2+AI2+AL2+(J2*0.7+L2*0.02+M2-N2*0.5+O2+P2*0.5-Q2*1.5)/E2)*(AQ2/90)+(AM2-AVERAGE($AM$2:$AM$42))*10)</f>
        <v>15.230165760957092</v>
      </c>
      <c r="AP2">
        <f>(77+71+63+90+79)/5</f>
        <v>76</v>
      </c>
      <c r="AR2" t="s">
        <v>64</v>
      </c>
    </row>
    <row r="3" spans="1:44" x14ac:dyDescent="0.2">
      <c r="A3" t="s">
        <v>51</v>
      </c>
      <c r="B3" t="s">
        <v>63</v>
      </c>
      <c r="C3" t="s">
        <v>90</v>
      </c>
      <c r="D3">
        <v>9200</v>
      </c>
      <c r="E3" s="1">
        <v>4.7888888888888888</v>
      </c>
      <c r="F3">
        <v>1</v>
      </c>
      <c r="G3">
        <v>2</v>
      </c>
      <c r="H3">
        <v>3</v>
      </c>
      <c r="I3">
        <v>1</v>
      </c>
      <c r="J3">
        <v>29</v>
      </c>
      <c r="K3">
        <v>8</v>
      </c>
      <c r="L3">
        <v>300</v>
      </c>
      <c r="M3">
        <v>8</v>
      </c>
      <c r="N3">
        <v>5</v>
      </c>
      <c r="O3">
        <v>0</v>
      </c>
      <c r="P3">
        <v>3</v>
      </c>
      <c r="Q3">
        <v>0</v>
      </c>
      <c r="R3">
        <v>0</v>
      </c>
      <c r="S3" s="1">
        <f>(H3+I3+J3*0.7+K3+L3*0.02+M3-N3*0.5+O3+P3*0.5)/E3</f>
        <v>9.4593967517401385</v>
      </c>
      <c r="T3" s="1">
        <f>(F3*10+G3*6+H3+I3+J3*0.7+K3+L3*0.02+M3-N3*0.5+O3+P3*0.5-Q3*1.5-R3*6)/E3</f>
        <v>14.053364269141531</v>
      </c>
      <c r="U3">
        <v>0.9</v>
      </c>
      <c r="V3">
        <v>10.1</v>
      </c>
      <c r="W3" s="1">
        <f>U3/V3</f>
        <v>8.9108910891089119E-2</v>
      </c>
      <c r="X3" s="1">
        <f>W3*AN3</f>
        <v>0.1630693069306931</v>
      </c>
      <c r="Y3">
        <v>2.6999999999999997</v>
      </c>
      <c r="Z3">
        <v>8</v>
      </c>
      <c r="AA3" s="1">
        <f>Y3/Z3</f>
        <v>0.33749999999999997</v>
      </c>
      <c r="AB3" s="1">
        <f>AA3*AN3</f>
        <v>0.61762499999999998</v>
      </c>
      <c r="AC3" s="2">
        <v>11.3890248574686</v>
      </c>
      <c r="AD3" s="2">
        <v>3.86087942668185</v>
      </c>
      <c r="AE3">
        <v>56</v>
      </c>
      <c r="AF3" s="1">
        <f>H3/AE3</f>
        <v>5.3571428571428568E-2</v>
      </c>
      <c r="AG3" s="1">
        <f>AC3*AF3</f>
        <v>0.61012633165010355</v>
      </c>
      <c r="AH3" s="1">
        <f>IF(H3&gt;0, I3/H3, 0)</f>
        <v>0.33333333333333331</v>
      </c>
      <c r="AI3" s="1">
        <f>AG3*AH3</f>
        <v>0.20337544388336784</v>
      </c>
      <c r="AJ3">
        <v>38</v>
      </c>
      <c r="AK3" s="1">
        <f>K3/AJ3</f>
        <v>0.21052631578947367</v>
      </c>
      <c r="AL3" s="1">
        <f>AK3*(AC3*(AJ3/AE3))</f>
        <v>1.6270035510669427</v>
      </c>
      <c r="AM3" s="1">
        <f>29/(29+48)</f>
        <v>0.37662337662337664</v>
      </c>
      <c r="AN3">
        <v>1.83</v>
      </c>
      <c r="AO3" s="1">
        <f>IF(AR3="y",     (X3*10+AB3*6+AG3+AI3+AL3+(J3*0.7+L3*0.02+M3-N3*0.5+O3+P3*0.5-Q3*1.5)/E3)*(AP3/90)+(AM3-AVERAGE($AM$2:$AM$42))*10,      (X3*10+AB3*6+AG3+AI3+AL3+(J3*0.7+L3*0.02+M3-N3*0.5+O3+P3*0.5-Q3*1.5)/E3)*(AQ3/90)+(AM3-AVERAGE($AM$2:$AM$42))*10)</f>
        <v>14.085359548807983</v>
      </c>
      <c r="AP3">
        <f>(90+77+90+90+84)/5</f>
        <v>86.2</v>
      </c>
      <c r="AR3" t="s">
        <v>64</v>
      </c>
    </row>
    <row r="4" spans="1:44" x14ac:dyDescent="0.2">
      <c r="A4" t="s">
        <v>53</v>
      </c>
      <c r="B4" t="s">
        <v>63</v>
      </c>
      <c r="C4" t="s">
        <v>88</v>
      </c>
      <c r="D4">
        <v>9600</v>
      </c>
      <c r="E4" s="1">
        <v>4.1111111111111107</v>
      </c>
      <c r="F4">
        <v>3</v>
      </c>
      <c r="G4">
        <v>2</v>
      </c>
      <c r="H4">
        <v>8</v>
      </c>
      <c r="I4">
        <v>6</v>
      </c>
      <c r="J4">
        <v>2</v>
      </c>
      <c r="K4">
        <v>6</v>
      </c>
      <c r="L4">
        <v>105</v>
      </c>
      <c r="M4">
        <v>5</v>
      </c>
      <c r="N4">
        <v>1</v>
      </c>
      <c r="O4">
        <v>5</v>
      </c>
      <c r="P4">
        <v>2</v>
      </c>
      <c r="Q4">
        <v>0</v>
      </c>
      <c r="R4">
        <v>0</v>
      </c>
      <c r="S4" s="1">
        <f>(H4+I4+J4*0.7+K4+L4*0.02+M4-N4*0.5+O4+P4*0.5)/E4</f>
        <v>8.270270270270272</v>
      </c>
      <c r="T4" s="1">
        <f>(F4*10+G4*6+H4+I4+J4*0.7+K4+L4*0.02+M4-N4*0.5+O4+P4*0.5-Q4*1.5-R4*6)/E4</f>
        <v>18.486486486486488</v>
      </c>
      <c r="U4">
        <v>2.7</v>
      </c>
      <c r="V4">
        <v>10.1</v>
      </c>
      <c r="W4" s="1">
        <f>U4/V4</f>
        <v>0.26732673267326734</v>
      </c>
      <c r="X4" s="1">
        <f>W4*AN4</f>
        <v>0.48920792079207925</v>
      </c>
      <c r="Y4">
        <v>1.2000000000000002</v>
      </c>
      <c r="Z4">
        <v>8</v>
      </c>
      <c r="AA4" s="1">
        <f>Y4/Z4</f>
        <v>0.15000000000000002</v>
      </c>
      <c r="AB4" s="1">
        <f>AA4*AN4</f>
        <v>0.27450000000000008</v>
      </c>
      <c r="AC4" s="2">
        <v>11.3890248574686</v>
      </c>
      <c r="AD4" s="2">
        <v>3.86087942668185</v>
      </c>
      <c r="AE4">
        <v>56</v>
      </c>
      <c r="AF4" s="1">
        <f>H4/AE4</f>
        <v>0.14285714285714285</v>
      </c>
      <c r="AG4" s="1">
        <f>AC4*AF4</f>
        <v>1.6270035510669427</v>
      </c>
      <c r="AH4" s="1">
        <f>IF(H4&gt;0, I4/H4, 0)</f>
        <v>0.75</v>
      </c>
      <c r="AI4" s="1">
        <f>AG4*AH4</f>
        <v>1.2202526633002071</v>
      </c>
      <c r="AJ4">
        <v>38</v>
      </c>
      <c r="AK4" s="1">
        <f>K4/AJ4</f>
        <v>0.15789473684210525</v>
      </c>
      <c r="AL4" s="1">
        <f>AK4*(AC4*(AJ4/AE4))</f>
        <v>1.2202526633002071</v>
      </c>
      <c r="AM4" s="1">
        <f>29/(29+48)</f>
        <v>0.37662337662337664</v>
      </c>
      <c r="AN4">
        <v>1.83</v>
      </c>
      <c r="AO4" s="1">
        <f>IF(AR4="y",     (X4*10+AB4*6+AG4+AI4+AL4+(J4*0.7+L4*0.02+M4-N4*0.5+O4+P4*0.5-Q4*1.5)/E4)*(AP4/90)+(AM4-AVERAGE($AM$2:$AM$42))*10,      (X4*10+AB4*6+AG4+AI4+AL4+(J4*0.7+L4*0.02+M4-N4*0.5+O4+P4*0.5-Q4*1.5)/E4)*(AQ4/90)+(AM4-AVERAGE($AM$2:$AM$42))*10)</f>
        <v>13.015709583735728</v>
      </c>
      <c r="AP4">
        <f>(80+85+80+90)/4</f>
        <v>83.75</v>
      </c>
      <c r="AQ4">
        <v>35</v>
      </c>
      <c r="AR4" t="s">
        <v>64</v>
      </c>
    </row>
    <row r="5" spans="1:44" x14ac:dyDescent="0.2">
      <c r="A5" t="s">
        <v>72</v>
      </c>
      <c r="B5" t="s">
        <v>87</v>
      </c>
      <c r="C5" t="s">
        <v>90</v>
      </c>
      <c r="D5">
        <v>10200</v>
      </c>
      <c r="E5" s="1">
        <v>4.8888888888888893</v>
      </c>
      <c r="F5">
        <v>4</v>
      </c>
      <c r="G5">
        <v>0</v>
      </c>
      <c r="H5">
        <v>15</v>
      </c>
      <c r="I5">
        <v>9</v>
      </c>
      <c r="J5">
        <v>7</v>
      </c>
      <c r="K5">
        <v>7</v>
      </c>
      <c r="L5">
        <v>127</v>
      </c>
      <c r="M5">
        <v>3</v>
      </c>
      <c r="N5">
        <v>1</v>
      </c>
      <c r="O5">
        <v>1</v>
      </c>
      <c r="P5">
        <v>0</v>
      </c>
      <c r="Q5">
        <v>0</v>
      </c>
      <c r="R5">
        <v>0</v>
      </c>
      <c r="S5" s="1">
        <f>(H5+I5+J5*0.7+K5+L5*0.02+M5-N5*0.5+O5+P5*0.5)/E5</f>
        <v>8.5786363636363632</v>
      </c>
      <c r="T5" s="1">
        <f>(F5*10+G5*6+H5+I5+J5*0.7+K5+L5*0.02+M5-N5*0.5+O5+P5*0.5-Q5*1.5-R5*6)/E5</f>
        <v>16.760454545454547</v>
      </c>
      <c r="U5">
        <v>2.4000000000000004</v>
      </c>
      <c r="V5">
        <v>9.6</v>
      </c>
      <c r="W5" s="1">
        <f>U5/V5</f>
        <v>0.25000000000000006</v>
      </c>
      <c r="X5" s="1">
        <f>W5*AN5</f>
        <v>0.44467787114845947</v>
      </c>
      <c r="Y5">
        <v>0.9</v>
      </c>
      <c r="Z5">
        <v>7.8</v>
      </c>
      <c r="AA5" s="1">
        <f>Y5/Z5</f>
        <v>0.11538461538461539</v>
      </c>
      <c r="AB5" s="1">
        <f>AA5*AN5</f>
        <v>0.20523594053005817</v>
      </c>
      <c r="AC5" s="2">
        <v>12.4845213998363</v>
      </c>
      <c r="AD5" s="2">
        <v>5.1561073381324301</v>
      </c>
      <c r="AE5">
        <v>79</v>
      </c>
      <c r="AF5" s="1">
        <f>H5/AE5</f>
        <v>0.189873417721519</v>
      </c>
      <c r="AG5" s="1">
        <f>AC5*AF5</f>
        <v>2.3704787468043609</v>
      </c>
      <c r="AH5" s="1">
        <f>IF(H5&gt;0, I5/H5, 0)</f>
        <v>0.6</v>
      </c>
      <c r="AI5" s="1">
        <f>AG5*AH5</f>
        <v>1.4222872480826165</v>
      </c>
      <c r="AJ5">
        <v>60</v>
      </c>
      <c r="AK5" s="1">
        <f>K5/AJ5</f>
        <v>0.11666666666666667</v>
      </c>
      <c r="AL5" s="1">
        <f>AK5*(AC5*(AJ5/AE5))</f>
        <v>1.1062234151753685</v>
      </c>
      <c r="AM5" s="1">
        <f>8/21</f>
        <v>0.38095238095238093</v>
      </c>
      <c r="AN5" s="1">
        <f>(1/3)+(5/17)*2+(2/7)*3</f>
        <v>1.7787114845938374</v>
      </c>
      <c r="AO5" s="1">
        <f>IF(AR5="y",     (X5*10+AB5*6+AG5+AI5+AL5+(J5*0.7+L5*0.02+M5-N5*0.5+O5+P5*0.5-Q5*1.5)/E5)*(AP5/90)+(AM5-AVERAGE($AM$2:$AM$42))*10,      (X5*10+AB5*6+AG5+AI5+AL5+(J5*0.7+L5*0.02+M5-N5*0.5+O5+P5*0.5-Q5*1.5)/E5)*(AQ5/90)+(AM5-AVERAGE($AM$2:$AM$42))*10)</f>
        <v>12.550196476195669</v>
      </c>
      <c r="AP5">
        <f>(90+80+90+90+90)/5</f>
        <v>88</v>
      </c>
      <c r="AR5" t="s">
        <v>64</v>
      </c>
    </row>
    <row r="6" spans="1:44" x14ac:dyDescent="0.2">
      <c r="A6" t="s">
        <v>73</v>
      </c>
      <c r="B6" t="s">
        <v>87</v>
      </c>
      <c r="C6" t="s">
        <v>89</v>
      </c>
      <c r="D6">
        <v>6400</v>
      </c>
      <c r="E6" s="1">
        <v>4.3</v>
      </c>
      <c r="F6">
        <v>1</v>
      </c>
      <c r="G6">
        <v>1</v>
      </c>
      <c r="H6">
        <v>18</v>
      </c>
      <c r="I6">
        <v>7</v>
      </c>
      <c r="J6">
        <v>10</v>
      </c>
      <c r="K6">
        <v>11</v>
      </c>
      <c r="L6">
        <v>180</v>
      </c>
      <c r="M6">
        <v>5</v>
      </c>
      <c r="N6">
        <v>6</v>
      </c>
      <c r="O6">
        <v>9</v>
      </c>
      <c r="P6">
        <v>3</v>
      </c>
      <c r="Q6">
        <v>2</v>
      </c>
      <c r="R6">
        <v>0</v>
      </c>
      <c r="S6" s="1">
        <f>(H6+I6+J6*0.7+K6+L6*0.02+M6-N6*0.5+O6+P6*0.5)/E6</f>
        <v>13.744186046511629</v>
      </c>
      <c r="T6" s="1">
        <f>(F6*10+G6*6+H6+I6+J6*0.7+K6+L6*0.02+M6-N6*0.5+O6+P6*0.5-Q6*1.5-R6*6)/E6</f>
        <v>16.767441860465116</v>
      </c>
      <c r="U6">
        <v>0.9</v>
      </c>
      <c r="V6">
        <v>9.6</v>
      </c>
      <c r="W6" s="1">
        <f>U6/V6</f>
        <v>9.375E-2</v>
      </c>
      <c r="X6" s="1">
        <f>W6*AN6</f>
        <v>0.16675420168067226</v>
      </c>
      <c r="Y6">
        <v>1.5</v>
      </c>
      <c r="Z6">
        <v>7.8</v>
      </c>
      <c r="AA6" s="1">
        <f>Y6/Z6</f>
        <v>0.19230769230769232</v>
      </c>
      <c r="AB6" s="1">
        <f>AA6*AN6</f>
        <v>0.3420599008834303</v>
      </c>
      <c r="AC6" s="2">
        <v>12.4845213998363</v>
      </c>
      <c r="AD6" s="2">
        <v>5.1561073381324301</v>
      </c>
      <c r="AE6">
        <v>79</v>
      </c>
      <c r="AF6" s="1">
        <f>H6/AE6</f>
        <v>0.22784810126582278</v>
      </c>
      <c r="AG6" s="1">
        <f>AC6*AF6</f>
        <v>2.8445744961652326</v>
      </c>
      <c r="AH6" s="1">
        <f>IF(H6&gt;0, I6/H6, 0)</f>
        <v>0.3888888888888889</v>
      </c>
      <c r="AI6" s="1">
        <f>AG6*AH6</f>
        <v>1.1062234151753683</v>
      </c>
      <c r="AJ6">
        <v>60</v>
      </c>
      <c r="AK6" s="1">
        <f>K6/AJ6</f>
        <v>0.18333333333333332</v>
      </c>
      <c r="AL6" s="1">
        <f>AK6*(AC6*(AJ6/AE6))</f>
        <v>1.7383510809898646</v>
      </c>
      <c r="AM6" s="1">
        <f>8/21</f>
        <v>0.38095238095238093</v>
      </c>
      <c r="AN6" s="1">
        <f>(1/3)+(5/17)*2+(2/7)*3</f>
        <v>1.7787114845938374</v>
      </c>
      <c r="AO6" s="1">
        <f>IF(AR6="y",     (X6*10+AB6*6+AG6+AI6+AL6+(J6*0.7+L6*0.02+M6-N6*0.5+O6+P6*0.5-Q6*1.5)/E6)*(AP6/90)+(AM6-AVERAGE($AM$2:$AM$42))*10,      (X6*10+AB6*6+AG6+AI6+AL6+(J6*0.7+L6*0.02+M6-N6*0.5+O6+P6*0.5-Q6*1.5)/E6)*(AQ6/90)+(AM6-AVERAGE($AM$2:$AM$42))*10)</f>
        <v>12.131844595989918</v>
      </c>
      <c r="AP6">
        <f>(90+71+63+73+90)/5</f>
        <v>77.400000000000006</v>
      </c>
      <c r="AR6" t="s">
        <v>64</v>
      </c>
    </row>
    <row r="7" spans="1:44" x14ac:dyDescent="0.2">
      <c r="A7" t="s">
        <v>50</v>
      </c>
      <c r="B7" t="s">
        <v>63</v>
      </c>
      <c r="C7" t="s">
        <v>88</v>
      </c>
      <c r="D7">
        <v>9000</v>
      </c>
      <c r="E7" s="1">
        <v>3.9888888888888889</v>
      </c>
      <c r="F7">
        <v>5</v>
      </c>
      <c r="G7">
        <v>2</v>
      </c>
      <c r="H7">
        <v>13</v>
      </c>
      <c r="I7">
        <v>6</v>
      </c>
      <c r="J7">
        <v>1</v>
      </c>
      <c r="K7">
        <v>6</v>
      </c>
      <c r="L7">
        <v>78</v>
      </c>
      <c r="M7">
        <v>2</v>
      </c>
      <c r="N7">
        <v>4</v>
      </c>
      <c r="O7">
        <v>1</v>
      </c>
      <c r="P7">
        <v>2</v>
      </c>
      <c r="Q7">
        <v>0</v>
      </c>
      <c r="R7">
        <v>0</v>
      </c>
      <c r="S7" s="1">
        <f>(H7+I7+J7*0.7+K7+L7*0.02+M7-N7*0.5+O7+P7*0.5)/E7</f>
        <v>7.3353760445682443</v>
      </c>
      <c r="T7" s="1">
        <f>(F7*10+G7*6+H7+I7+J7*0.7+K7+L7*0.02+M7-N7*0.5+O7+P7*0.5-Q7*1.5-R7*6)/E7</f>
        <v>22.878551532033427</v>
      </c>
      <c r="U7">
        <v>2.4000000000000004</v>
      </c>
      <c r="V7">
        <v>10.1</v>
      </c>
      <c r="W7" s="1">
        <f>U7/V7</f>
        <v>0.23762376237623767</v>
      </c>
      <c r="X7" s="1">
        <f>W7*AN7</f>
        <v>0.43485148514851496</v>
      </c>
      <c r="Y7">
        <v>1.4</v>
      </c>
      <c r="Z7">
        <v>8</v>
      </c>
      <c r="AA7" s="1">
        <f>Y7/Z7</f>
        <v>0.17499999999999999</v>
      </c>
      <c r="AB7" s="1">
        <f>AA7*AN7</f>
        <v>0.32024999999999998</v>
      </c>
      <c r="AC7" s="2">
        <v>11.3890248574686</v>
      </c>
      <c r="AD7" s="2">
        <v>3.86087942668185</v>
      </c>
      <c r="AE7">
        <v>56</v>
      </c>
      <c r="AF7" s="1">
        <f>H7/AE7</f>
        <v>0.23214285714285715</v>
      </c>
      <c r="AG7" s="1">
        <f>AC7*AF7</f>
        <v>2.6438807704837823</v>
      </c>
      <c r="AH7" s="1">
        <f>IF(H7&gt;0, I7/H7, 0)</f>
        <v>0.46153846153846156</v>
      </c>
      <c r="AI7" s="1">
        <f>AG7*AH7</f>
        <v>1.2202526633002073</v>
      </c>
      <c r="AJ7">
        <v>38</v>
      </c>
      <c r="AK7" s="1">
        <f>K7/AJ7</f>
        <v>0.15789473684210525</v>
      </c>
      <c r="AL7" s="1">
        <f>AK7*(AC7*(AJ7/AE7))</f>
        <v>1.2202526633002071</v>
      </c>
      <c r="AM7" s="1">
        <f>29/(29+48)</f>
        <v>0.37662337662337664</v>
      </c>
      <c r="AN7">
        <v>1.83</v>
      </c>
      <c r="AO7" s="1">
        <f>IF(AR7="y",     (X7*10+AB7*6+AG7+AI7+AL7+(J7*0.7+L7*0.02+M7-N7*0.5+O7+P7*0.5-Q7*1.5)/E7)*(AP7/90)+(AM7-AVERAGE($AM$2:$AM$42))*10,      (X7*10+AB7*6+AG7+AI7+AL7+(J7*0.7+L7*0.02+M7-N7*0.5+O7+P7*0.5-Q7*1.5)/E7)*(AQ7/90)+(AM7-AVERAGE($AM$2:$AM$42))*10)</f>
        <v>9.8870599530309349</v>
      </c>
      <c r="AP7">
        <f>(86+45+82+90+56)/5</f>
        <v>71.8</v>
      </c>
      <c r="AR7" t="s">
        <v>64</v>
      </c>
    </row>
    <row r="8" spans="1:44" x14ac:dyDescent="0.2">
      <c r="A8" t="s">
        <v>74</v>
      </c>
      <c r="B8" t="s">
        <v>87</v>
      </c>
      <c r="C8" t="s">
        <v>91</v>
      </c>
      <c r="D8">
        <v>4600</v>
      </c>
      <c r="E8" s="1">
        <v>3.7666666666666666</v>
      </c>
      <c r="F8">
        <v>0</v>
      </c>
      <c r="G8">
        <v>0</v>
      </c>
      <c r="H8">
        <v>2</v>
      </c>
      <c r="I8">
        <v>0</v>
      </c>
      <c r="J8">
        <v>13</v>
      </c>
      <c r="K8">
        <v>4</v>
      </c>
      <c r="L8">
        <v>187</v>
      </c>
      <c r="M8">
        <v>3</v>
      </c>
      <c r="N8">
        <v>7</v>
      </c>
      <c r="O8">
        <v>9</v>
      </c>
      <c r="P8">
        <v>12</v>
      </c>
      <c r="Q8">
        <v>1</v>
      </c>
      <c r="R8">
        <v>0</v>
      </c>
      <c r="S8" s="1">
        <f>(H8+I8+J8*0.7+K8+L8*0.02+M8-N8*0.5+O8+P8*0.5)/E8</f>
        <v>8.8513274336283203</v>
      </c>
      <c r="T8" s="1">
        <f>(F8*10+G8*6+H8+I8+J8*0.7+K8+L8*0.02+M8-N8*0.5+O8+P8*0.5-Q8*1.5-R8*6)/E8</f>
        <v>8.4530973451327451</v>
      </c>
      <c r="U8">
        <v>0</v>
      </c>
      <c r="V8">
        <v>9.6</v>
      </c>
      <c r="W8" s="1">
        <f>U8/V8</f>
        <v>0</v>
      </c>
      <c r="X8" s="1">
        <f>W8*AN8</f>
        <v>0</v>
      </c>
      <c r="Y8">
        <v>1.3</v>
      </c>
      <c r="Z8">
        <v>7.8</v>
      </c>
      <c r="AA8" s="1">
        <f>Y8/Z8</f>
        <v>0.16666666666666669</v>
      </c>
      <c r="AB8" s="1">
        <f>AA8*AN8</f>
        <v>0.29645191409897292</v>
      </c>
      <c r="AC8" s="2">
        <v>12.4845213998363</v>
      </c>
      <c r="AD8" s="2">
        <v>5.1561073381324301</v>
      </c>
      <c r="AE8">
        <v>79</v>
      </c>
      <c r="AF8" s="1">
        <f>H8/AE8</f>
        <v>2.5316455696202531E-2</v>
      </c>
      <c r="AG8" s="1">
        <f>AC8*AF8</f>
        <v>0.3160638329072481</v>
      </c>
      <c r="AH8" s="1">
        <f>IF(H8&gt;0, I8/H8, 0)</f>
        <v>0</v>
      </c>
      <c r="AI8" s="1">
        <f>AG8*AH8</f>
        <v>0</v>
      </c>
      <c r="AJ8">
        <v>60</v>
      </c>
      <c r="AK8" s="1">
        <f>K8/AJ8</f>
        <v>6.6666666666666666E-2</v>
      </c>
      <c r="AL8" s="1">
        <f>AK8*(AC8*(AJ8/AE8))</f>
        <v>0.6321276658144962</v>
      </c>
      <c r="AM8" s="1">
        <f>8/21</f>
        <v>0.38095238095238093</v>
      </c>
      <c r="AN8" s="1">
        <f>(1/3)+(5/17)*2+(2/7)*3</f>
        <v>1.7787114845938374</v>
      </c>
      <c r="AO8" s="1">
        <f>IF(AR8="y",     (X8*10+AB8*6+AG8+AI8+AL8+(J8*0.7+L8*0.02+M8-N8*0.5+O8+P8*0.5-Q8*1.5)/E8)*(AP8/90)+(AM8-AVERAGE($AM$2:$AM$42))*10,      (X8*10+AB8*6+AG8+AI8+AL8+(J8*0.7+L8*0.02+M8-N8*0.5+O8+P8*0.5-Q8*1.5)/E8)*(AQ8/90)+(AM8-AVERAGE($AM$2:$AM$42))*10)</f>
        <v>9.0478948821956067</v>
      </c>
      <c r="AP8">
        <f>(90+90+69+90)/4</f>
        <v>84.75</v>
      </c>
      <c r="AQ8">
        <v>0</v>
      </c>
      <c r="AR8" t="s">
        <v>64</v>
      </c>
    </row>
    <row r="9" spans="1:44" x14ac:dyDescent="0.2">
      <c r="A9" t="s">
        <v>46</v>
      </c>
      <c r="B9" t="s">
        <v>63</v>
      </c>
      <c r="C9" t="s">
        <v>91</v>
      </c>
      <c r="D9">
        <v>4800</v>
      </c>
      <c r="E9" s="1">
        <v>2.2888888888888888</v>
      </c>
      <c r="F9">
        <v>0</v>
      </c>
      <c r="G9">
        <v>0</v>
      </c>
      <c r="H9">
        <v>3</v>
      </c>
      <c r="I9">
        <v>2</v>
      </c>
      <c r="J9">
        <v>4</v>
      </c>
      <c r="K9">
        <v>1</v>
      </c>
      <c r="L9">
        <v>86</v>
      </c>
      <c r="M9">
        <v>4</v>
      </c>
      <c r="N9">
        <v>3</v>
      </c>
      <c r="O9">
        <v>5</v>
      </c>
      <c r="P9">
        <v>5</v>
      </c>
      <c r="Q9">
        <v>0</v>
      </c>
      <c r="R9">
        <v>0</v>
      </c>
      <c r="S9" s="1">
        <f>(H9+I9+J9*0.7+K9+L9*0.02+M9-N9*0.5+O9+P9*0.5)/E9</f>
        <v>8.9650485436893224</v>
      </c>
      <c r="T9" s="1">
        <f>(F9*10+G9*6+H9+I9+J9*0.7+K9+L9*0.02+M9-N9*0.5+O9+P9*0.5-Q9*1.5-R9*6)/E9</f>
        <v>8.9650485436893224</v>
      </c>
      <c r="U9">
        <v>0.6</v>
      </c>
      <c r="V9">
        <v>10.1</v>
      </c>
      <c r="W9" s="1">
        <f>U9/V9</f>
        <v>5.9405940594059403E-2</v>
      </c>
      <c r="X9" s="1">
        <f>W9*AN9</f>
        <v>0.10871287128712871</v>
      </c>
      <c r="Y9">
        <v>0.5</v>
      </c>
      <c r="Z9">
        <v>8</v>
      </c>
      <c r="AA9" s="1">
        <f>Y9/Z9</f>
        <v>6.25E-2</v>
      </c>
      <c r="AB9" s="1">
        <f>AA9*AN9</f>
        <v>0.114375</v>
      </c>
      <c r="AC9" s="2">
        <v>11.3890248574686</v>
      </c>
      <c r="AD9" s="2">
        <v>3.86087942668185</v>
      </c>
      <c r="AE9">
        <v>56</v>
      </c>
      <c r="AF9" s="1">
        <f>H9/AE9</f>
        <v>5.3571428571428568E-2</v>
      </c>
      <c r="AG9" s="1">
        <f>AC9*AF9</f>
        <v>0.61012633165010355</v>
      </c>
      <c r="AH9" s="1">
        <f>IF(H9&gt;0, I9/H9, 0)</f>
        <v>0.66666666666666663</v>
      </c>
      <c r="AI9" s="1">
        <f>AG9*AH9</f>
        <v>0.40675088776673568</v>
      </c>
      <c r="AJ9">
        <v>38</v>
      </c>
      <c r="AK9" s="1">
        <f>K9/AJ9</f>
        <v>2.6315789473684209E-2</v>
      </c>
      <c r="AL9" s="1">
        <f>AK9*(AC9*(AJ9/AE9))</f>
        <v>0.20337544388336784</v>
      </c>
      <c r="AM9" s="1">
        <f>29/(29+48)</f>
        <v>0.37662337662337664</v>
      </c>
      <c r="AN9">
        <v>1.83</v>
      </c>
      <c r="AO9" s="1">
        <f>IF(AR9="y",     (X9*10+AB9*6+AG9+AI9+AL9+(J9*0.7+L9*0.02+M9-N9*0.5+O9+P9*0.5-Q9*1.5)/E9)*(AP9/90)+(AM9-AVERAGE($AM$2:$AM$42))*10,      (X9*10+AB9*6+AG9+AI9+AL9+(J9*0.7+L9*0.02+M9-N9*0.5+O9+P9*0.5-Q9*1.5)/E9)*(AQ9/90)+(AM9-AVERAGE($AM$2:$AM$42))*10)</f>
        <v>8.276611815447696</v>
      </c>
      <c r="AP9">
        <v>80</v>
      </c>
      <c r="AQ9">
        <f>(17+19+10)/3</f>
        <v>15.333333333333334</v>
      </c>
      <c r="AR9" t="s">
        <v>64</v>
      </c>
    </row>
    <row r="10" spans="1:44" x14ac:dyDescent="0.2">
      <c r="A10" t="s">
        <v>47</v>
      </c>
      <c r="B10" t="s">
        <v>63</v>
      </c>
      <c r="C10" t="s">
        <v>89</v>
      </c>
      <c r="D10">
        <v>8200</v>
      </c>
      <c r="E10" s="1">
        <v>3.8888888888888888</v>
      </c>
      <c r="F10">
        <v>1</v>
      </c>
      <c r="G10">
        <v>1</v>
      </c>
      <c r="H10">
        <v>3</v>
      </c>
      <c r="I10">
        <v>1</v>
      </c>
      <c r="J10">
        <v>13</v>
      </c>
      <c r="K10">
        <v>3</v>
      </c>
      <c r="L10">
        <v>226</v>
      </c>
      <c r="M10">
        <v>7</v>
      </c>
      <c r="N10">
        <v>7</v>
      </c>
      <c r="O10">
        <v>6</v>
      </c>
      <c r="P10">
        <v>7</v>
      </c>
      <c r="Q10">
        <v>1</v>
      </c>
      <c r="R10">
        <v>0</v>
      </c>
      <c r="S10" s="1">
        <f>(H10+I10+J10*0.7+K10+L10*0.02+M10-N10*0.5+O10+P10*0.5)/E10</f>
        <v>8.6451428571428579</v>
      </c>
      <c r="T10" s="1">
        <f>(F10*10+G10*6+H10+I10+J10*0.7+K10+L10*0.02+M10-N10*0.5+O10+P10*0.5-Q10*1.5-R10*6)/E10</f>
        <v>12.373714285714287</v>
      </c>
      <c r="U10">
        <v>0.2</v>
      </c>
      <c r="V10">
        <v>10.1</v>
      </c>
      <c r="W10" s="1">
        <f>U10/V10</f>
        <v>1.9801980198019802E-2</v>
      </c>
      <c r="X10" s="1">
        <f>W10*AN10</f>
        <v>3.6237623762376242E-2</v>
      </c>
      <c r="Y10">
        <v>0.5</v>
      </c>
      <c r="Z10">
        <v>8</v>
      </c>
      <c r="AA10" s="1">
        <f>Y10/Z10</f>
        <v>6.25E-2</v>
      </c>
      <c r="AB10" s="1">
        <f>AA10*AN10</f>
        <v>0.114375</v>
      </c>
      <c r="AC10" s="2">
        <v>11.3890248574686</v>
      </c>
      <c r="AD10" s="2">
        <v>3.86087942668185</v>
      </c>
      <c r="AE10">
        <v>56</v>
      </c>
      <c r="AF10" s="1">
        <f>H10/AE10</f>
        <v>5.3571428571428568E-2</v>
      </c>
      <c r="AG10" s="1">
        <f>AC10*AF10</f>
        <v>0.61012633165010355</v>
      </c>
      <c r="AH10" s="1">
        <f>IF(H10&gt;0, I10/H10, 0)</f>
        <v>0.33333333333333331</v>
      </c>
      <c r="AI10" s="1">
        <f>AG10*AH10</f>
        <v>0.20337544388336784</v>
      </c>
      <c r="AJ10">
        <v>38</v>
      </c>
      <c r="AK10" s="1">
        <f>K10/AJ10</f>
        <v>7.8947368421052627E-2</v>
      </c>
      <c r="AL10" s="1">
        <f>AK10*(AC10*(AJ10/AE10))</f>
        <v>0.61012633165010355</v>
      </c>
      <c r="AM10" s="1">
        <f>29/(29+48)</f>
        <v>0.37662337662337664</v>
      </c>
      <c r="AN10">
        <v>1.83</v>
      </c>
      <c r="AO10" s="1">
        <f>IF(AR10="y",     (X10*10+AB10*6+AG10+AI10+AL10+(J10*0.7+L10*0.02+M10-N10*0.5+O10+P10*0.5-Q10*1.5)/E10)*(AP10/90)+(AM10-AVERAGE($AM$2:$AM$42))*10,      (X10*10+AB10*6+AG10+AI10+AL10+(J10*0.7+L10*0.02+M10-N10*0.5+O10+P10*0.5-Q10*1.5)/E10)*(AQ10/90)+(AM10-AVERAGE($AM$2:$AM$42))*10)</f>
        <v>8.1641472028329751</v>
      </c>
      <c r="AP10">
        <f>(73+77+90+90)/4</f>
        <v>82.5</v>
      </c>
      <c r="AQ10">
        <v>20</v>
      </c>
      <c r="AR10" t="s">
        <v>64</v>
      </c>
    </row>
    <row r="11" spans="1:44" x14ac:dyDescent="0.2">
      <c r="A11" t="s">
        <v>70</v>
      </c>
      <c r="B11" t="s">
        <v>87</v>
      </c>
      <c r="C11" t="s">
        <v>91</v>
      </c>
      <c r="D11">
        <v>5000</v>
      </c>
      <c r="E11" s="1">
        <v>4.5</v>
      </c>
      <c r="F11">
        <v>0</v>
      </c>
      <c r="G11">
        <v>0</v>
      </c>
      <c r="H11">
        <v>4</v>
      </c>
      <c r="I11">
        <v>2</v>
      </c>
      <c r="J11">
        <v>0</v>
      </c>
      <c r="K11">
        <v>2</v>
      </c>
      <c r="L11">
        <v>204</v>
      </c>
      <c r="M11">
        <v>13</v>
      </c>
      <c r="N11">
        <v>9</v>
      </c>
      <c r="O11">
        <v>11</v>
      </c>
      <c r="P11">
        <v>8</v>
      </c>
      <c r="Q11">
        <v>2</v>
      </c>
      <c r="R11">
        <v>0</v>
      </c>
      <c r="S11" s="1">
        <f>(H11+I11+J11*0.7+K11+L11*0.02+M11-N11*0.5+O11+P11*0.5)/E11</f>
        <v>7.9066666666666663</v>
      </c>
      <c r="T11" s="1">
        <f>(F11*10+G11*6+H11+I11+J11*0.7+K11+L11*0.02+M11-N11*0.5+O11+P11*0.5-Q11*1.5-R11*6)/E11</f>
        <v>7.2399999999999993</v>
      </c>
      <c r="U11">
        <v>0.4</v>
      </c>
      <c r="V11">
        <v>9.6</v>
      </c>
      <c r="W11" s="1">
        <f>U11/V11</f>
        <v>4.1666666666666671E-2</v>
      </c>
      <c r="X11" s="1">
        <f>W11*AN11</f>
        <v>7.4112978524743231E-2</v>
      </c>
      <c r="Y11">
        <v>0.1</v>
      </c>
      <c r="Z11">
        <v>7.8</v>
      </c>
      <c r="AA11" s="1">
        <f>Y11/Z11</f>
        <v>1.2820512820512822E-2</v>
      </c>
      <c r="AB11" s="1">
        <f>AA11*AN11</f>
        <v>2.2803993392228689E-2</v>
      </c>
      <c r="AC11" s="2">
        <v>12.4845213998363</v>
      </c>
      <c r="AD11" s="2">
        <v>5.1561073381324301</v>
      </c>
      <c r="AE11">
        <v>79</v>
      </c>
      <c r="AF11" s="1">
        <f>H11/AE11</f>
        <v>5.0632911392405063E-2</v>
      </c>
      <c r="AG11" s="1">
        <f>AC11*AF11</f>
        <v>0.6321276658144962</v>
      </c>
      <c r="AH11" s="1">
        <f>IF(H11&gt;0, I11/H11, 0)</f>
        <v>0.5</v>
      </c>
      <c r="AI11" s="1">
        <f>AG11*AH11</f>
        <v>0.3160638329072481</v>
      </c>
      <c r="AJ11">
        <v>60</v>
      </c>
      <c r="AK11" s="1">
        <f>K11/AJ11</f>
        <v>3.3333333333333333E-2</v>
      </c>
      <c r="AL11" s="1">
        <f>AK11*(AC11*(AJ11/AE11))</f>
        <v>0.3160638329072481</v>
      </c>
      <c r="AM11" s="1">
        <f>8/21</f>
        <v>0.38095238095238093</v>
      </c>
      <c r="AN11" s="1">
        <f>(1/3)+(5/17)*2+(2/7)*3</f>
        <v>1.7787114845938374</v>
      </c>
      <c r="AO11" s="1">
        <f>IF(AR11="y",     (X11*10+AB11*6+AG11+AI11+AL11+(J11*0.7+L11*0.02+M11-N11*0.5+O11+P11*0.5-Q11*1.5)/E11)*(AP11/90)+(AM11-AVERAGE($AM$2:$AM$42))*10,      (X11*10+AB11*6+AG11+AI11+AL11+(J11*0.7+L11*0.02+M11-N11*0.5+O11+P11*0.5-Q11*1.5)/E11)*(AQ11/90)+(AM11-AVERAGE($AM$2:$AM$42))*10)</f>
        <v>7.6244925390254519</v>
      </c>
      <c r="AP11">
        <v>90</v>
      </c>
      <c r="AQ11">
        <v>45</v>
      </c>
      <c r="AR11" t="s">
        <v>64</v>
      </c>
    </row>
    <row r="12" spans="1:44" x14ac:dyDescent="0.2">
      <c r="A12" t="s">
        <v>60</v>
      </c>
      <c r="B12" t="s">
        <v>63</v>
      </c>
      <c r="C12" t="s">
        <v>89</v>
      </c>
      <c r="D12">
        <v>6600</v>
      </c>
      <c r="E12" s="1">
        <v>3.7888888888888888</v>
      </c>
      <c r="F12">
        <v>2</v>
      </c>
      <c r="G12">
        <v>2</v>
      </c>
      <c r="H12">
        <v>4</v>
      </c>
      <c r="I12">
        <v>2</v>
      </c>
      <c r="J12">
        <v>9</v>
      </c>
      <c r="K12">
        <v>2</v>
      </c>
      <c r="L12">
        <v>197</v>
      </c>
      <c r="M12">
        <v>6</v>
      </c>
      <c r="N12">
        <v>3</v>
      </c>
      <c r="O12">
        <v>2</v>
      </c>
      <c r="P12">
        <v>2</v>
      </c>
      <c r="Q12">
        <v>0</v>
      </c>
      <c r="R12">
        <v>0</v>
      </c>
      <c r="S12" s="1">
        <f>(H12+I12+J12*0.7+K12+L12*0.02+M12-N12*0.5+O12+P12*0.5)/E12</f>
        <v>6.7935483870967746</v>
      </c>
      <c r="T12" s="1">
        <f>(F12*10+G12*6+H12+I12+J12*0.7+K12+L12*0.02+M12-N12*0.5+O12+P12*0.5-Q12*1.5-R12*6)/E12</f>
        <v>15.239296187683284</v>
      </c>
      <c r="U12">
        <v>1</v>
      </c>
      <c r="V12">
        <v>10.1</v>
      </c>
      <c r="W12" s="1">
        <f>U12/V12</f>
        <v>9.9009900990099015E-2</v>
      </c>
      <c r="X12" s="1">
        <f>W12*AN12</f>
        <v>0.18118811881188121</v>
      </c>
      <c r="Y12">
        <v>0.2</v>
      </c>
      <c r="Z12">
        <v>8</v>
      </c>
      <c r="AA12" s="1">
        <f>Y12/Z12</f>
        <v>2.5000000000000001E-2</v>
      </c>
      <c r="AB12" s="1">
        <f>AA12*AN12</f>
        <v>4.5750000000000006E-2</v>
      </c>
      <c r="AC12" s="2">
        <v>11.3890248574686</v>
      </c>
      <c r="AD12" s="2">
        <v>3.86087942668185</v>
      </c>
      <c r="AE12">
        <v>56</v>
      </c>
      <c r="AF12" s="1">
        <f>H12/AE12</f>
        <v>7.1428571428571425E-2</v>
      </c>
      <c r="AG12" s="1">
        <f>AC12*AF12</f>
        <v>0.81350177553347136</v>
      </c>
      <c r="AH12" s="1">
        <f>IF(H12&gt;0, I12/H12, 0)</f>
        <v>0.5</v>
      </c>
      <c r="AI12" s="1">
        <f>AG12*AH12</f>
        <v>0.40675088776673568</v>
      </c>
      <c r="AJ12">
        <v>38</v>
      </c>
      <c r="AK12" s="1">
        <f>K12/AJ12</f>
        <v>5.2631578947368418E-2</v>
      </c>
      <c r="AL12" s="1">
        <f>AK12*(AC12*(AJ12/AE12))</f>
        <v>0.40675088776673568</v>
      </c>
      <c r="AM12" s="1">
        <f>29/(29+48)</f>
        <v>0.37662337662337664</v>
      </c>
      <c r="AN12">
        <v>1.83</v>
      </c>
      <c r="AO12" s="1">
        <f>IF(AR12="y",     (X12*10+AB12*6+AG12+AI12+AL12+(J12*0.7+L12*0.02+M12-N12*0.5+O12+P12*0.5-Q12*1.5)/E12)*(AP12/90)+(AM12-AVERAGE($AM$2:$AM$42))*10,      (X12*10+AB12*6+AG12+AI12+AL12+(J12*0.7+L12*0.02+M12-N12*0.5+O12+P12*0.5-Q12*1.5)/E12)*(AQ12/90)+(AM12-AVERAGE($AM$2:$AM$42))*10)</f>
        <v>7.4627552866712374</v>
      </c>
      <c r="AP12">
        <f>(80+71+80+90)/4</f>
        <v>80.25</v>
      </c>
      <c r="AQ12">
        <v>20</v>
      </c>
      <c r="AR12" t="s">
        <v>64</v>
      </c>
    </row>
    <row r="13" spans="1:44" x14ac:dyDescent="0.2">
      <c r="A13" t="s">
        <v>56</v>
      </c>
      <c r="B13" t="s">
        <v>63</v>
      </c>
      <c r="C13" t="s">
        <v>91</v>
      </c>
      <c r="D13">
        <v>5400</v>
      </c>
      <c r="E13" s="1">
        <v>3.7222222222222223</v>
      </c>
      <c r="F13">
        <v>3</v>
      </c>
      <c r="G13">
        <v>1</v>
      </c>
      <c r="H13">
        <v>7</v>
      </c>
      <c r="I13">
        <v>3</v>
      </c>
      <c r="J13">
        <v>7</v>
      </c>
      <c r="K13">
        <v>4</v>
      </c>
      <c r="L13">
        <v>140</v>
      </c>
      <c r="M13">
        <v>0</v>
      </c>
      <c r="N13">
        <v>4</v>
      </c>
      <c r="O13">
        <v>2</v>
      </c>
      <c r="P13">
        <v>5</v>
      </c>
      <c r="Q13">
        <v>1</v>
      </c>
      <c r="R13">
        <v>0</v>
      </c>
      <c r="S13" s="1">
        <f>(H13+I13+J13*0.7+K13+L13*0.02+M13-N13*0.5+O13+P13*0.5)/E13</f>
        <v>6.5014925373134327</v>
      </c>
      <c r="T13" s="1">
        <f>(F13*10+G13*6+H13+I13+J13*0.7+K13+L13*0.02+M13-N13*0.5+O13+P13*0.5-Q13*1.5-R13*6)/E13</f>
        <v>15.770149253731342</v>
      </c>
      <c r="U13">
        <v>1.2000000000000002</v>
      </c>
      <c r="V13">
        <v>10.1</v>
      </c>
      <c r="W13" s="1">
        <f>U13/V13</f>
        <v>0.11881188118811883</v>
      </c>
      <c r="X13" s="1">
        <f>W13*AN13</f>
        <v>0.21742574257425748</v>
      </c>
      <c r="Y13">
        <v>0.5</v>
      </c>
      <c r="Z13">
        <v>8</v>
      </c>
      <c r="AA13" s="1">
        <f>Y13/Z13</f>
        <v>6.25E-2</v>
      </c>
      <c r="AB13" s="1">
        <f>AA13*AN13</f>
        <v>0.114375</v>
      </c>
      <c r="AC13" s="2">
        <v>11.3890248574686</v>
      </c>
      <c r="AD13" s="2">
        <v>3.86087942668185</v>
      </c>
      <c r="AE13">
        <v>56</v>
      </c>
      <c r="AF13" s="1">
        <f>H13/AE13</f>
        <v>0.125</v>
      </c>
      <c r="AG13" s="1">
        <f>AC13*AF13</f>
        <v>1.423628107183575</v>
      </c>
      <c r="AH13" s="1">
        <f>IF(H13&gt;0, I13/H13, 0)</f>
        <v>0.42857142857142855</v>
      </c>
      <c r="AI13" s="1">
        <f>AG13*AH13</f>
        <v>0.61012633165010355</v>
      </c>
      <c r="AJ13">
        <v>38</v>
      </c>
      <c r="AK13" s="1">
        <f>K13/AJ13</f>
        <v>0.10526315789473684</v>
      </c>
      <c r="AL13" s="1">
        <f>AK13*(AC13*(AJ13/AE13))</f>
        <v>0.81350177553347136</v>
      </c>
      <c r="AM13" s="1">
        <f>29/(29+48)</f>
        <v>0.37662337662337664</v>
      </c>
      <c r="AN13">
        <v>1.83</v>
      </c>
      <c r="AO13" s="1">
        <f>IF(AR13="y",     (X13*10+AB13*6+AG13+AI13+AL13+(J13*0.7+L13*0.02+M13-N13*0.5+O13+P13*0.5-Q13*1.5)/E13)*(AP13/90)+(AM13-AVERAGE($AM$2:$AM$42))*10,      (X13*10+AB13*6+AG13+AI13+AL13+(J13*0.7+L13*0.02+M13-N13*0.5+O13+P13*0.5-Q13*1.5)/E13)*(AQ13/90)+(AM13-AVERAGE($AM$2:$AM$42))*10)</f>
        <v>7.2843828708755947</v>
      </c>
      <c r="AP13">
        <f>(90+90+90+57)/4</f>
        <v>81.75</v>
      </c>
      <c r="AQ13">
        <v>8</v>
      </c>
      <c r="AR13" t="s">
        <v>64</v>
      </c>
    </row>
    <row r="14" spans="1:44" x14ac:dyDescent="0.2">
      <c r="A14" t="s">
        <v>86</v>
      </c>
      <c r="B14" t="s">
        <v>87</v>
      </c>
      <c r="C14" t="s">
        <v>88</v>
      </c>
      <c r="D14">
        <v>8400</v>
      </c>
      <c r="E14" s="1">
        <v>3.2</v>
      </c>
      <c r="F14">
        <v>2</v>
      </c>
      <c r="G14">
        <v>1</v>
      </c>
      <c r="H14">
        <v>14</v>
      </c>
      <c r="I14">
        <v>6</v>
      </c>
      <c r="J14">
        <v>0</v>
      </c>
      <c r="K14">
        <v>1</v>
      </c>
      <c r="L14">
        <v>49</v>
      </c>
      <c r="M14">
        <v>5</v>
      </c>
      <c r="N14">
        <v>4</v>
      </c>
      <c r="O14">
        <v>1</v>
      </c>
      <c r="P14">
        <v>1</v>
      </c>
      <c r="Q14">
        <v>0</v>
      </c>
      <c r="R14">
        <v>0</v>
      </c>
      <c r="S14" s="1">
        <f>(H14+I14+J14*0.7+K14+L14*0.02+M14-N14*0.5+O14+P14*0.5)/E14</f>
        <v>8.2750000000000004</v>
      </c>
      <c r="T14" s="1">
        <f>(F14*10+G14*6+H14+I14+J14*0.7+K14+L14*0.02+M14-N14*0.5+O14+P14*0.5-Q14*1.5-R14*6)/E14</f>
        <v>16.399999999999999</v>
      </c>
      <c r="U14">
        <v>2</v>
      </c>
      <c r="V14">
        <v>9.6</v>
      </c>
      <c r="W14" s="1">
        <f>U14/V14</f>
        <v>0.20833333333333334</v>
      </c>
      <c r="X14" s="1">
        <f>W14*AN14</f>
        <v>0.37056489262371617</v>
      </c>
      <c r="Y14">
        <v>0.2</v>
      </c>
      <c r="Z14">
        <v>7.8</v>
      </c>
      <c r="AA14" s="1">
        <f>Y14/Z14</f>
        <v>2.5641025641025644E-2</v>
      </c>
      <c r="AB14" s="1">
        <f>AA14*AN14</f>
        <v>4.5607986784457377E-2</v>
      </c>
      <c r="AC14" s="2">
        <v>12.4845213998363</v>
      </c>
      <c r="AD14" s="2">
        <v>5.1561073381324301</v>
      </c>
      <c r="AE14">
        <v>79</v>
      </c>
      <c r="AF14" s="1">
        <f>H14/AE14</f>
        <v>0.17721518987341772</v>
      </c>
      <c r="AG14" s="1">
        <f>AC14*AF14</f>
        <v>2.2124468303507365</v>
      </c>
      <c r="AH14" s="1">
        <f>IF(H14&gt;0, I14/H14, 0)</f>
        <v>0.42857142857142855</v>
      </c>
      <c r="AI14" s="1">
        <f>AG14*AH14</f>
        <v>0.94819149872174413</v>
      </c>
      <c r="AJ14">
        <v>60</v>
      </c>
      <c r="AK14" s="1">
        <f>K14/AJ14</f>
        <v>1.6666666666666666E-2</v>
      </c>
      <c r="AL14" s="1">
        <f>AK14*(AC14*(AJ14/AE14))</f>
        <v>0.15803191645362405</v>
      </c>
      <c r="AM14" s="1">
        <f>8/21</f>
        <v>0.38095238095238093</v>
      </c>
      <c r="AN14" s="1">
        <f>(1/3)+(5/17)*2+(2/7)*3</f>
        <v>1.7787114845938374</v>
      </c>
      <c r="AO14" s="1">
        <f>IF(AR14="y",     (X14*10+AB14*6+AG14+AI14+AL14+(J14*0.7+L14*0.02+M14-N14*0.5+O14+P14*0.5-Q14*1.5)/E14)*(AP14/90)+(AM14-AVERAGE($AM$2:$AM$42))*10,      (X14*10+AB14*6+AG14+AI14+AL14+(J14*0.7+L14*0.02+M14-N14*0.5+O14+P14*0.5-Q14*1.5)/E14)*(AQ14/90)+(AM14-AVERAGE($AM$2:$AM$42))*10)</f>
        <v>6.8029406341828018</v>
      </c>
      <c r="AP14">
        <f>(76+59+57+79)/4</f>
        <v>67.75</v>
      </c>
      <c r="AQ14">
        <v>27</v>
      </c>
      <c r="AR14" t="s">
        <v>64</v>
      </c>
    </row>
    <row r="15" spans="1:44" x14ac:dyDescent="0.2">
      <c r="A15" t="s">
        <v>48</v>
      </c>
      <c r="B15" t="s">
        <v>63</v>
      </c>
      <c r="C15" t="s">
        <v>89</v>
      </c>
      <c r="D15">
        <v>4000</v>
      </c>
      <c r="E15" s="1">
        <v>4.5777777777777775</v>
      </c>
      <c r="F15">
        <v>0</v>
      </c>
      <c r="G15">
        <v>0</v>
      </c>
      <c r="H15">
        <v>4</v>
      </c>
      <c r="I15">
        <v>1</v>
      </c>
      <c r="J15">
        <v>12</v>
      </c>
      <c r="K15">
        <v>3</v>
      </c>
      <c r="L15">
        <v>144</v>
      </c>
      <c r="M15">
        <v>12</v>
      </c>
      <c r="N15">
        <v>4</v>
      </c>
      <c r="O15">
        <v>4</v>
      </c>
      <c r="P15">
        <v>1</v>
      </c>
      <c r="Q15">
        <v>1</v>
      </c>
      <c r="R15">
        <v>0</v>
      </c>
      <c r="S15" s="1">
        <f>(H15+I15+J15*0.7+K15+L15*0.02+M15-N15*0.5+O15+P15*0.5)/E15</f>
        <v>7.379126213592234</v>
      </c>
      <c r="T15" s="1">
        <f>(F15*10+G15*6+H15+I15+J15*0.7+K15+L15*0.02+M15-N15*0.5+O15+P15*0.5-Q15*1.5-R15*6)/E15</f>
        <v>7.0514563106796126</v>
      </c>
      <c r="U15">
        <v>0</v>
      </c>
      <c r="V15">
        <v>10.1</v>
      </c>
      <c r="W15" s="1">
        <f>U15/V15</f>
        <v>0</v>
      </c>
      <c r="X15" s="1">
        <f>W15*AN15</f>
        <v>0</v>
      </c>
      <c r="Y15">
        <v>0.2</v>
      </c>
      <c r="Z15">
        <v>8</v>
      </c>
      <c r="AA15" s="1">
        <f>Y15/Z15</f>
        <v>2.5000000000000001E-2</v>
      </c>
      <c r="AB15" s="1">
        <f>AA15*AN15</f>
        <v>4.5750000000000006E-2</v>
      </c>
      <c r="AC15" s="2">
        <v>11.3890248574686</v>
      </c>
      <c r="AD15" s="2">
        <v>3.86087942668185</v>
      </c>
      <c r="AE15">
        <v>56</v>
      </c>
      <c r="AF15" s="1">
        <f>H15/AE15</f>
        <v>7.1428571428571425E-2</v>
      </c>
      <c r="AG15" s="1">
        <f>AC15*AF15</f>
        <v>0.81350177553347136</v>
      </c>
      <c r="AH15" s="1">
        <f>IF(H15&gt;0, I15/H15, 0)</f>
        <v>0.25</v>
      </c>
      <c r="AI15" s="1">
        <f>AG15*AH15</f>
        <v>0.20337544388336784</v>
      </c>
      <c r="AJ15">
        <v>38</v>
      </c>
      <c r="AK15" s="1">
        <f>K15/AJ15</f>
        <v>7.8947368421052627E-2</v>
      </c>
      <c r="AL15" s="1">
        <f>AK15*(AC15*(AJ15/AE15))</f>
        <v>0.61012633165010355</v>
      </c>
      <c r="AM15" s="1">
        <f>29/(29+48)</f>
        <v>0.37662337662337664</v>
      </c>
      <c r="AN15">
        <v>1.83</v>
      </c>
      <c r="AO15" s="1">
        <f>IF(AR15="y",     (X15*10+AB15*6+AG15+AI15+AL15+(J15*0.7+L15*0.02+M15-N15*0.5+O15+P15*0.5-Q15*1.5)/E15)*(AP15/90)+(AM15-AVERAGE($AM$2:$AM$42))*10,      (X15*10+AB15*6+AG15+AI15+AL15+(J15*0.7+L15*0.02+M15-N15*0.5+O15+P15*0.5-Q15*1.5)/E15)*(AQ15/90)+(AM15-AVERAGE($AM$2:$AM$42))*10)</f>
        <v>6.5737033363713477</v>
      </c>
      <c r="AP15">
        <f>(86+90+90+90+56)/5</f>
        <v>82.4</v>
      </c>
      <c r="AR15" t="s">
        <v>64</v>
      </c>
    </row>
    <row r="16" spans="1:44" x14ac:dyDescent="0.2">
      <c r="A16" t="s">
        <v>71</v>
      </c>
      <c r="B16" t="s">
        <v>87</v>
      </c>
      <c r="C16" t="s">
        <v>89</v>
      </c>
      <c r="D16">
        <v>3800</v>
      </c>
      <c r="E16" s="1">
        <v>3.7555555555555555</v>
      </c>
      <c r="F16">
        <v>0</v>
      </c>
      <c r="G16">
        <v>1</v>
      </c>
      <c r="H16">
        <v>2</v>
      </c>
      <c r="I16">
        <v>1</v>
      </c>
      <c r="J16">
        <v>5</v>
      </c>
      <c r="K16">
        <v>5</v>
      </c>
      <c r="L16">
        <v>194</v>
      </c>
      <c r="M16">
        <v>4</v>
      </c>
      <c r="N16">
        <v>1</v>
      </c>
      <c r="O16">
        <v>7</v>
      </c>
      <c r="P16">
        <v>1</v>
      </c>
      <c r="Q16">
        <v>0</v>
      </c>
      <c r="R16">
        <v>0</v>
      </c>
      <c r="S16" s="1">
        <f>(H16+I16+J16*0.7+K16+L16*0.02+M16-N16*0.5+O16+P16*0.5)/E16</f>
        <v>7.0242603550295852</v>
      </c>
      <c r="T16" s="1">
        <f>(F16*10+G16*6+H16+I16+J16*0.7+K16+L16*0.02+M16-N16*0.5+O16+P16*0.5-Q16*1.5-R16*6)/E16</f>
        <v>8.6218934911242595</v>
      </c>
      <c r="U16">
        <v>0.3</v>
      </c>
      <c r="V16">
        <v>9.6</v>
      </c>
      <c r="W16" s="1">
        <f>U16/V16</f>
        <v>3.125E-2</v>
      </c>
      <c r="X16" s="1">
        <f>W16*AN16</f>
        <v>5.558473389355742E-2</v>
      </c>
      <c r="Y16">
        <v>0.3</v>
      </c>
      <c r="Z16">
        <v>7.8</v>
      </c>
      <c r="AA16" s="1">
        <f>Y16/Z16</f>
        <v>3.8461538461538464E-2</v>
      </c>
      <c r="AB16" s="1">
        <f>AA16*AN16</f>
        <v>6.8411980176686066E-2</v>
      </c>
      <c r="AC16" s="2">
        <v>12.4845213998363</v>
      </c>
      <c r="AD16" s="2">
        <v>5.1561073381324301</v>
      </c>
      <c r="AE16">
        <v>79</v>
      </c>
      <c r="AF16" s="1">
        <f>H16/AE16</f>
        <v>2.5316455696202531E-2</v>
      </c>
      <c r="AG16" s="1">
        <f>AC16*AF16</f>
        <v>0.3160638329072481</v>
      </c>
      <c r="AH16" s="1">
        <f>IF(H16&gt;0, I16/H16, 0)</f>
        <v>0.5</v>
      </c>
      <c r="AI16" s="1">
        <f>AG16*AH16</f>
        <v>0.15803191645362405</v>
      </c>
      <c r="AJ16">
        <v>60</v>
      </c>
      <c r="AK16" s="1">
        <f>K16/AJ16</f>
        <v>8.3333333333333329E-2</v>
      </c>
      <c r="AL16" s="1">
        <f>AK16*(AC16*(AJ16/AE16))</f>
        <v>0.79015958226812022</v>
      </c>
      <c r="AM16" s="1">
        <f>8/21</f>
        <v>0.38095238095238093</v>
      </c>
      <c r="AN16" s="1">
        <f>(1/3)+(5/17)*2+(2/7)*3</f>
        <v>1.7787114845938374</v>
      </c>
      <c r="AO16" s="1">
        <f>IF(AR16="y",     (X16*10+AB16*6+AG16+AI16+AL16+(J16*0.7+L16*0.02+M16-N16*0.5+O16+P16*0.5-Q16*1.5)/E16)*(AP16/90)+(AM16-AVERAGE($AM$2:$AM$42))*10,      (X16*10+AB16*6+AG16+AI16+AL16+(J16*0.7+L16*0.02+M16-N16*0.5+O16+P16*0.5-Q16*1.5)/E16)*(AQ16/90)+(AM16-AVERAGE($AM$2:$AM$42))*10)</f>
        <v>6.4322528922486653</v>
      </c>
      <c r="AP16">
        <f>(80+90+90+64)/4</f>
        <v>81</v>
      </c>
      <c r="AQ16">
        <v>14</v>
      </c>
      <c r="AR16" t="s">
        <v>64</v>
      </c>
    </row>
    <row r="17" spans="1:44" x14ac:dyDescent="0.2">
      <c r="A17" t="s">
        <v>68</v>
      </c>
      <c r="B17" t="s">
        <v>87</v>
      </c>
      <c r="C17" t="s">
        <v>91</v>
      </c>
      <c r="D17">
        <v>3000</v>
      </c>
      <c r="E17" s="1">
        <v>2.9444444444444446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151</v>
      </c>
      <c r="M17">
        <v>1</v>
      </c>
      <c r="N17">
        <v>0</v>
      </c>
      <c r="O17">
        <v>5</v>
      </c>
      <c r="P17">
        <v>7</v>
      </c>
      <c r="Q17">
        <v>0</v>
      </c>
      <c r="R17">
        <v>0</v>
      </c>
      <c r="S17" s="1">
        <f>(H17+I17+J17*0.7+K17+L17*0.02+M17-N17*0.5+O17+P17*0.5)/E17</f>
        <v>5.2709433962264143</v>
      </c>
      <c r="T17" s="1">
        <f>(F17*10+G17*6+H17+I17+J17*0.7+K17+L17*0.02+M17-N17*0.5+O17+P17*0.5-Q17*1.5-R17*6)/E17</f>
        <v>5.2709433962264143</v>
      </c>
      <c r="U17">
        <v>0</v>
      </c>
      <c r="V17">
        <v>9.6</v>
      </c>
      <c r="W17" s="1">
        <f>U17/V17</f>
        <v>0</v>
      </c>
      <c r="X17" s="1">
        <f>W17*AN17</f>
        <v>0</v>
      </c>
      <c r="Y17">
        <v>0.1</v>
      </c>
      <c r="Z17">
        <v>7.8</v>
      </c>
      <c r="AA17" s="1">
        <f>Y17/Z17</f>
        <v>1.2820512820512822E-2</v>
      </c>
      <c r="AB17" s="1">
        <f>AA17*AN17</f>
        <v>2.2803993392228689E-2</v>
      </c>
      <c r="AC17" s="2">
        <v>12.4845213998363</v>
      </c>
      <c r="AD17" s="2">
        <v>5.1561073381324301</v>
      </c>
      <c r="AE17">
        <v>79</v>
      </c>
      <c r="AF17" s="1">
        <f>H17/AE17</f>
        <v>0</v>
      </c>
      <c r="AG17" s="1">
        <f>AC17*AF17</f>
        <v>0</v>
      </c>
      <c r="AH17" s="1">
        <f>IF(H17&gt;0, I17/H17, 0)</f>
        <v>0</v>
      </c>
      <c r="AI17" s="1">
        <f>AG17*AH17</f>
        <v>0</v>
      </c>
      <c r="AJ17">
        <v>60</v>
      </c>
      <c r="AK17" s="1">
        <f>K17/AJ17</f>
        <v>0.05</v>
      </c>
      <c r="AL17" s="1">
        <f>AK17*(AC17*(AJ17/AE17))</f>
        <v>0.47409574936087218</v>
      </c>
      <c r="AM17" s="1">
        <f>8/21</f>
        <v>0.38095238095238093</v>
      </c>
      <c r="AN17" s="1">
        <f>(1/3)+(5/17)*2+(2/7)*3</f>
        <v>1.7787114845938374</v>
      </c>
      <c r="AO17" s="1">
        <f>IF(AR17="y",     (X17*10+AB17*6+AG17+AI17+AL17+(J17*0.7+L17*0.02+M17-N17*0.5+O17+P17*0.5-Q17*1.5)/E17)*(AP17/90)+(AM17-AVERAGE($AM$2:$AM$42))*10,      (X17*10+AB17*6+AG17+AI17+AL17+(J17*0.7+L17*0.02+M17-N17*0.5+O17+P17*0.5-Q17*1.5)/E17)*(AQ17/90)+(AM17-AVERAGE($AM$2:$AM$42))*10)</f>
        <v>4.8830564209857901</v>
      </c>
      <c r="AP17">
        <v>90</v>
      </c>
      <c r="AQ17">
        <f>(52+33)/3</f>
        <v>28.333333333333332</v>
      </c>
      <c r="AR17" t="s">
        <v>64</v>
      </c>
    </row>
    <row r="18" spans="1:44" x14ac:dyDescent="0.2">
      <c r="A18" t="s">
        <v>59</v>
      </c>
      <c r="B18" t="s">
        <v>63</v>
      </c>
      <c r="C18" t="s">
        <v>91</v>
      </c>
      <c r="D18">
        <v>3400</v>
      </c>
      <c r="E18" s="1">
        <v>4.5</v>
      </c>
      <c r="F18">
        <v>1</v>
      </c>
      <c r="G18">
        <v>0</v>
      </c>
      <c r="H18">
        <v>3</v>
      </c>
      <c r="I18">
        <v>1</v>
      </c>
      <c r="J18">
        <v>0</v>
      </c>
      <c r="K18">
        <v>0</v>
      </c>
      <c r="L18">
        <v>152</v>
      </c>
      <c r="M18">
        <v>3</v>
      </c>
      <c r="N18">
        <v>6</v>
      </c>
      <c r="O18">
        <v>8</v>
      </c>
      <c r="P18">
        <v>16</v>
      </c>
      <c r="Q18">
        <v>0</v>
      </c>
      <c r="R18">
        <v>0</v>
      </c>
      <c r="S18" s="1">
        <f>(H18+I18+J18*0.7+K18+L18*0.02+M18-N18*0.5+O18+P18*0.5)/E18</f>
        <v>5.12</v>
      </c>
      <c r="T18" s="1">
        <f>(F18*10+G18*6+H18+I18+J18*0.7+K18+L18*0.02+M18-N18*0.5+O18+P18*0.5-Q18*1.5-R18*6)/E18</f>
        <v>7.3422222222222224</v>
      </c>
      <c r="U18">
        <v>0.2</v>
      </c>
      <c r="V18">
        <v>10.1</v>
      </c>
      <c r="W18" s="1">
        <f>U18/V18</f>
        <v>1.9801980198019802E-2</v>
      </c>
      <c r="X18" s="1">
        <f>W18*AN18</f>
        <v>3.6237623762376242E-2</v>
      </c>
      <c r="Y18">
        <v>0</v>
      </c>
      <c r="Z18">
        <v>8</v>
      </c>
      <c r="AA18" s="1">
        <f>Y18/Z18</f>
        <v>0</v>
      </c>
      <c r="AB18" s="1">
        <f>AA18*AN18</f>
        <v>0</v>
      </c>
      <c r="AC18" s="2">
        <v>11.3890248574686</v>
      </c>
      <c r="AD18" s="2">
        <v>3.86087942668185</v>
      </c>
      <c r="AE18">
        <v>56</v>
      </c>
      <c r="AF18" s="1">
        <f>H18/AE18</f>
        <v>5.3571428571428568E-2</v>
      </c>
      <c r="AG18" s="1">
        <f>AC18*AF18</f>
        <v>0.61012633165010355</v>
      </c>
      <c r="AH18" s="1">
        <f>IF(H18&gt;0, I18/H18, 0)</f>
        <v>0.33333333333333331</v>
      </c>
      <c r="AI18" s="1">
        <f>AG18*AH18</f>
        <v>0.20337544388336784</v>
      </c>
      <c r="AJ18">
        <v>38</v>
      </c>
      <c r="AK18" s="1">
        <f>K18/AJ18</f>
        <v>0</v>
      </c>
      <c r="AL18" s="1">
        <f>AK18*(AC18*(AJ18/AE18))</f>
        <v>0</v>
      </c>
      <c r="AM18" s="1">
        <f>29/(29+48)</f>
        <v>0.37662337662337664</v>
      </c>
      <c r="AN18">
        <v>1.83</v>
      </c>
      <c r="AO18" s="1">
        <f>IF(AR18="y",     (X18*10+AB18*6+AG18+AI18+AL18+(J18*0.7+L18*0.02+M18-N18*0.5+O18+P18*0.5-Q18*1.5)/E18)*(AP18/90)+(AM18-AVERAGE($AM$2:$AM$42))*10,      (X18*10+AB18*6+AG18+AI18+AL18+(J18*0.7+L18*0.02+M18-N18*0.5+O18+P18*0.5-Q18*1.5)/E18)*(AQ18/90)+(AM18-AVERAGE($AM$2:$AM$42))*10)</f>
        <v>4.8430614081249006</v>
      </c>
      <c r="AP18">
        <f>(90+90+90+90+45)/5</f>
        <v>81</v>
      </c>
      <c r="AR18" t="s">
        <v>64</v>
      </c>
    </row>
    <row r="19" spans="1:44" x14ac:dyDescent="0.2">
      <c r="A19" t="s">
        <v>76</v>
      </c>
      <c r="B19" t="s">
        <v>87</v>
      </c>
      <c r="C19" t="s">
        <v>89</v>
      </c>
      <c r="D19">
        <v>5200</v>
      </c>
      <c r="E19" s="1">
        <v>3.4222222222222221</v>
      </c>
      <c r="F19">
        <v>1</v>
      </c>
      <c r="G19">
        <v>2</v>
      </c>
      <c r="H19">
        <v>2</v>
      </c>
      <c r="I19">
        <v>1</v>
      </c>
      <c r="J19">
        <v>0</v>
      </c>
      <c r="K19">
        <v>4</v>
      </c>
      <c r="L19">
        <v>197</v>
      </c>
      <c r="M19">
        <v>2</v>
      </c>
      <c r="N19">
        <v>5</v>
      </c>
      <c r="O19">
        <v>4</v>
      </c>
      <c r="P19">
        <v>3</v>
      </c>
      <c r="Q19">
        <v>1</v>
      </c>
      <c r="R19">
        <v>1</v>
      </c>
      <c r="S19" s="1">
        <f>(H19+I19+J19*0.7+K19+L19*0.02+M19-N19*0.5+O19+P19*0.5)/E19</f>
        <v>4.657792207792208</v>
      </c>
      <c r="T19" s="1">
        <f>(F19*10+G19*6+H19+I19+J19*0.7+K19+L19*0.02+M19-N19*0.5+O19+P19*0.5-Q19*1.5-R19*6)/E19</f>
        <v>8.894805194805194</v>
      </c>
      <c r="U19">
        <v>0.9</v>
      </c>
      <c r="V19">
        <v>9.6</v>
      </c>
      <c r="W19" s="1">
        <f>U19/V19</f>
        <v>9.375E-2</v>
      </c>
      <c r="X19" s="1">
        <f>W19*AN19</f>
        <v>0.16675420168067226</v>
      </c>
      <c r="Y19">
        <v>0.5</v>
      </c>
      <c r="Z19">
        <v>7.8</v>
      </c>
      <c r="AA19" s="1">
        <f>Y19/Z19</f>
        <v>6.4102564102564111E-2</v>
      </c>
      <c r="AB19" s="1">
        <f>AA19*AN19</f>
        <v>0.11401996696114344</v>
      </c>
      <c r="AC19" s="2">
        <v>12.4845213998363</v>
      </c>
      <c r="AD19" s="2">
        <v>5.1561073381324301</v>
      </c>
      <c r="AE19">
        <v>79</v>
      </c>
      <c r="AF19" s="1">
        <f>H19/AE19</f>
        <v>2.5316455696202531E-2</v>
      </c>
      <c r="AG19" s="1">
        <f>AC19*AF19</f>
        <v>0.3160638329072481</v>
      </c>
      <c r="AH19" s="1">
        <f>IF(H19&gt;0, I19/H19, 0)</f>
        <v>0.5</v>
      </c>
      <c r="AI19" s="1">
        <f>AG19*AH19</f>
        <v>0.15803191645362405</v>
      </c>
      <c r="AJ19">
        <v>60</v>
      </c>
      <c r="AK19" s="1">
        <f>K19/AJ19</f>
        <v>6.6666666666666666E-2</v>
      </c>
      <c r="AL19" s="1">
        <f>AK19*(AC19*(AJ19/AE19))</f>
        <v>0.6321276658144962</v>
      </c>
      <c r="AM19" s="1">
        <f>8/21</f>
        <v>0.38095238095238093</v>
      </c>
      <c r="AN19" s="1">
        <f>(1/3)+(5/17)*2+(2/7)*3</f>
        <v>1.7787114845938374</v>
      </c>
      <c r="AO19" s="1">
        <f>IF(AR19="y",     (X19*10+AB19*6+AG19+AI19+AL19+(J19*0.7+L19*0.02+M19-N19*0.5+O19+P19*0.5-Q19*1.5)/E19)*(AP19/90)+(AM19-AVERAGE($AM$2:$AM$42))*10,      (X19*10+AB19*6+AG19+AI19+AL19+(J19*0.7+L19*0.02+M19-N19*0.5+O19+P19*0.5-Q19*1.5)/E19)*(AQ19/90)+(AM19-AVERAGE($AM$2:$AM$42))*10)</f>
        <v>4.8384741617808684</v>
      </c>
      <c r="AP19">
        <f>(76+90+52+90)/4</f>
        <v>77</v>
      </c>
      <c r="AR19" t="s">
        <v>64</v>
      </c>
    </row>
    <row r="20" spans="1:44" x14ac:dyDescent="0.2">
      <c r="A20" t="s">
        <v>67</v>
      </c>
      <c r="B20" t="s">
        <v>87</v>
      </c>
      <c r="C20" t="s">
        <v>91</v>
      </c>
      <c r="D20">
        <v>3200</v>
      </c>
      <c r="E20" s="1">
        <v>4.2666666666666666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257</v>
      </c>
      <c r="M20">
        <v>1</v>
      </c>
      <c r="N20">
        <v>4</v>
      </c>
      <c r="O20">
        <v>5</v>
      </c>
      <c r="P20">
        <v>9</v>
      </c>
      <c r="Q20">
        <v>0</v>
      </c>
      <c r="R20">
        <v>0</v>
      </c>
      <c r="S20" s="1">
        <f>(H20+I20+J20*0.7+K20+L20*0.02+M20-N20*0.5+O20+P20*0.5)/E20</f>
        <v>3.4312500000000004</v>
      </c>
      <c r="T20" s="1">
        <f>(F20*10+G20*6+H20+I20+J20*0.7+K20+L20*0.02+M20-N20*0.5+O20+P20*0.5-Q20*1.5-R20*6)/E20</f>
        <v>3.4312500000000004</v>
      </c>
      <c r="U20">
        <v>0</v>
      </c>
      <c r="V20">
        <v>9.6</v>
      </c>
      <c r="W20" s="1">
        <f>U20/V20</f>
        <v>0</v>
      </c>
      <c r="X20" s="1">
        <f>W20*AN20</f>
        <v>0</v>
      </c>
      <c r="Y20">
        <v>0</v>
      </c>
      <c r="Z20">
        <v>7.8</v>
      </c>
      <c r="AA20" s="1">
        <f>Y20/Z20</f>
        <v>0</v>
      </c>
      <c r="AB20" s="1">
        <f>AA20*AN20</f>
        <v>0</v>
      </c>
      <c r="AC20" s="2">
        <v>12.4845213998363</v>
      </c>
      <c r="AD20" s="2">
        <v>5.1561073381324301</v>
      </c>
      <c r="AE20">
        <v>79</v>
      </c>
      <c r="AF20" s="1">
        <f>H20/AE20</f>
        <v>0</v>
      </c>
      <c r="AG20" s="1">
        <f>AC20*AF20</f>
        <v>0</v>
      </c>
      <c r="AH20" s="1">
        <f>IF(H20&gt;0, I20/H20, 0)</f>
        <v>0</v>
      </c>
      <c r="AI20" s="1">
        <f>AG20*AH20</f>
        <v>0</v>
      </c>
      <c r="AJ20">
        <v>60</v>
      </c>
      <c r="AK20" s="1">
        <f>K20/AJ20</f>
        <v>1.6666666666666666E-2</v>
      </c>
      <c r="AL20" s="1">
        <f>AK20*(AC20*(AJ20/AE20))</f>
        <v>0.15803191645362405</v>
      </c>
      <c r="AM20" s="1">
        <f>8/21</f>
        <v>0.38095238095238093</v>
      </c>
      <c r="AN20" s="1">
        <f>(1/3)+(5/17)*2+(2/7)*3</f>
        <v>1.7787114845938374</v>
      </c>
      <c r="AO20" s="1">
        <f>IF(AR20="y",     (X20*10+AB20*6+AG20+AI20+AL20+(J20*0.7+L20*0.02+M20-N20*0.5+O20+P20*0.5-Q20*1.5)/E20)*(AP20/90)+(AM20-AVERAGE($AM$2:$AM$42))*10,      (X20*10+AB20*6+AG20+AI20+AL20+(J20*0.7+L20*0.02+M20-N20*0.5+O20+P20*0.5-Q20*1.5)/E20)*(AQ20/90)+(AM20-AVERAGE($AM$2:$AM$42))*10)</f>
        <v>3.1792652525672631</v>
      </c>
      <c r="AP20">
        <f>(90+90+69+90)/4</f>
        <v>84.75</v>
      </c>
      <c r="AQ20">
        <v>45</v>
      </c>
      <c r="AR20" t="s">
        <v>64</v>
      </c>
    </row>
    <row r="21" spans="1:44" x14ac:dyDescent="0.2">
      <c r="A21" t="s">
        <v>85</v>
      </c>
      <c r="B21" t="s">
        <v>87</v>
      </c>
      <c r="C21" t="s">
        <v>91</v>
      </c>
      <c r="D21">
        <v>3000</v>
      </c>
      <c r="E21" s="1">
        <v>3.2222222222222223</v>
      </c>
      <c r="F21">
        <v>0</v>
      </c>
      <c r="G21">
        <v>0</v>
      </c>
      <c r="H21">
        <v>1</v>
      </c>
      <c r="I21">
        <v>0</v>
      </c>
      <c r="J21">
        <v>3</v>
      </c>
      <c r="K21">
        <v>3</v>
      </c>
      <c r="L21">
        <v>154</v>
      </c>
      <c r="M21">
        <v>1</v>
      </c>
      <c r="N21">
        <v>4</v>
      </c>
      <c r="O21">
        <v>4</v>
      </c>
      <c r="P21">
        <v>8</v>
      </c>
      <c r="Q21">
        <v>0</v>
      </c>
      <c r="R21">
        <v>0</v>
      </c>
      <c r="S21" s="1">
        <f>(H21+I21+J21*0.7+K21+L21*0.02+M21-N21*0.5+O21+P21*0.5)/E21</f>
        <v>5.0213793103448277</v>
      </c>
      <c r="T21" s="1">
        <f>(F21*10+G21*6+H21+I21+J21*0.7+K21+L21*0.02+M21-N21*0.5+O21+P21*0.5-Q21*1.5-R21*6)/E21</f>
        <v>5.0213793103448277</v>
      </c>
      <c r="U21">
        <v>0.7</v>
      </c>
      <c r="V21">
        <v>9.6</v>
      </c>
      <c r="W21" s="1">
        <f>U21/V21</f>
        <v>7.2916666666666671E-2</v>
      </c>
      <c r="X21" s="1">
        <f>W21*AN21</f>
        <v>0.12969771241830066</v>
      </c>
      <c r="Y21">
        <v>0.30000000000000004</v>
      </c>
      <c r="Z21">
        <v>7.8</v>
      </c>
      <c r="AA21" s="1">
        <f>Y21/Z21</f>
        <v>3.8461538461538471E-2</v>
      </c>
      <c r="AB21" s="1">
        <f>AA21*AN21</f>
        <v>6.8411980176686066E-2</v>
      </c>
      <c r="AC21" s="2">
        <v>12.4845213998363</v>
      </c>
      <c r="AD21" s="2">
        <v>5.1561073381324301</v>
      </c>
      <c r="AE21">
        <v>79</v>
      </c>
      <c r="AF21" s="1">
        <f>H21/AE21</f>
        <v>1.2658227848101266E-2</v>
      </c>
      <c r="AG21" s="1">
        <f>AC21*AF21</f>
        <v>0.15803191645362405</v>
      </c>
      <c r="AH21" s="1">
        <f>IF(H21&gt;0, I21/H21, 0)</f>
        <v>0</v>
      </c>
      <c r="AI21" s="1">
        <f>AG21*AH21</f>
        <v>0</v>
      </c>
      <c r="AJ21">
        <v>60</v>
      </c>
      <c r="AK21" s="1">
        <f>K21/AJ21</f>
        <v>0.05</v>
      </c>
      <c r="AL21" s="1">
        <f>AK21*(AC21*(AJ21/AE21))</f>
        <v>0.47409574936087218</v>
      </c>
      <c r="AM21" s="1">
        <f>8/21</f>
        <v>0.38095238095238093</v>
      </c>
      <c r="AN21" s="1">
        <f>(1/3)+(5/17)*2+(2/7)*3</f>
        <v>1.7787114845938374</v>
      </c>
      <c r="AO21" s="1">
        <f>IF(AR21="y",     (X21*10+AB21*6+AG21+AI21+AL21+(J21*0.7+L21*0.02+M21-N21*0.5+O21+P21*0.5-Q21*1.5)/E21)*(AP21/90)+(AM21-AVERAGE($AM$2:$AM$42))*10,      (X21*10+AB21*6+AG21+AI21+AL21+(J21*0.7+L21*0.02+M21-N21*0.5+O21+P21*0.5-Q21*1.5)/E21)*(AQ21/90)+(AM21-AVERAGE($AM$2:$AM$42))*10)</f>
        <v>3.0798495751022426</v>
      </c>
      <c r="AP21">
        <f>(65+90+90)/3</f>
        <v>81.666666666666671</v>
      </c>
      <c r="AQ21">
        <v>45</v>
      </c>
    </row>
    <row r="22" spans="1:44" x14ac:dyDescent="0.2">
      <c r="A22" t="s">
        <v>44</v>
      </c>
      <c r="B22" t="s">
        <v>63</v>
      </c>
      <c r="C22" t="s">
        <v>91</v>
      </c>
      <c r="D22">
        <v>3600</v>
      </c>
      <c r="E22" s="1">
        <v>2.0555555555555554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  <c r="L22">
        <v>113</v>
      </c>
      <c r="M22">
        <v>2</v>
      </c>
      <c r="N22">
        <v>5</v>
      </c>
      <c r="O22">
        <v>2</v>
      </c>
      <c r="P22">
        <v>3</v>
      </c>
      <c r="Q22">
        <v>1</v>
      </c>
      <c r="R22">
        <v>0</v>
      </c>
      <c r="S22" s="1">
        <f>(H22+I22+J22*0.7+K22+L22*0.02+M22-N22*0.5+O22+P22*0.5)/E22</f>
        <v>3.0454054054054054</v>
      </c>
      <c r="T22" s="1">
        <f>(F22*10+G22*6+H22+I22+J22*0.7+K22+L22*0.02+M22-N22*0.5+O22+P22*0.5-Q22*1.5-R22*6)/E22</f>
        <v>5.2345945945945953</v>
      </c>
      <c r="U22">
        <v>0</v>
      </c>
      <c r="V22">
        <v>10.1</v>
      </c>
      <c r="W22" s="1">
        <f>U22/V22</f>
        <v>0</v>
      </c>
      <c r="X22" s="1">
        <f>W22*AN22</f>
        <v>0</v>
      </c>
      <c r="Y22">
        <v>0.4</v>
      </c>
      <c r="Z22">
        <v>8</v>
      </c>
      <c r="AA22" s="1">
        <f>Y22/Z22</f>
        <v>0.05</v>
      </c>
      <c r="AB22" s="1">
        <f>AA22*AN22</f>
        <v>9.1500000000000012E-2</v>
      </c>
      <c r="AC22" s="2">
        <v>11.3890248574686</v>
      </c>
      <c r="AD22" s="2">
        <v>3.86087942668185</v>
      </c>
      <c r="AE22">
        <v>56</v>
      </c>
      <c r="AF22" s="1">
        <f>H22/AE22</f>
        <v>0</v>
      </c>
      <c r="AG22" s="1">
        <f>AC22*AF22</f>
        <v>0</v>
      </c>
      <c r="AH22" s="1">
        <f>IF(H22&gt;0, I22/H22, 0)</f>
        <v>0</v>
      </c>
      <c r="AI22" s="1">
        <f>AG22*AH22</f>
        <v>0</v>
      </c>
      <c r="AJ22">
        <v>38</v>
      </c>
      <c r="AK22" s="1">
        <f>K22/AJ22</f>
        <v>2.6315789473684209E-2</v>
      </c>
      <c r="AL22" s="1">
        <f>AK22*(AC22*(AJ22/AE22))</f>
        <v>0.20337544388336784</v>
      </c>
      <c r="AM22" s="1">
        <f>29/(29+48)</f>
        <v>0.37662337662337664</v>
      </c>
      <c r="AN22">
        <v>1.83</v>
      </c>
      <c r="AO22" s="1">
        <f>IF(AR22="y",     (X22*10+AB22*6+AG22+AI22+AL22+(J22*0.7+L22*0.02+M22-N22*0.5+O22+P22*0.5-Q22*1.5)/E22)*(AP22/90)+(AM22-AVERAGE($AM$2:$AM$42))*10,      (X22*10+AB22*6+AG22+AI22+AL22+(J22*0.7+L22*0.02+M22-N22*0.5+O22+P22*0.5-Q22*1.5)/E22)*(AQ22/90)+(AM22-AVERAGE($AM$2:$AM$42))*10)</f>
        <v>2.5583358293559479</v>
      </c>
      <c r="AP22">
        <v>90</v>
      </c>
      <c r="AQ22">
        <f>5/3</f>
        <v>1.6666666666666667</v>
      </c>
      <c r="AR22" t="s">
        <v>64</v>
      </c>
    </row>
    <row r="23" spans="1:44" x14ac:dyDescent="0.2">
      <c r="A23" t="s">
        <v>58</v>
      </c>
      <c r="B23" t="s">
        <v>63</v>
      </c>
      <c r="C23" t="s">
        <v>91</v>
      </c>
      <c r="D23">
        <v>3000</v>
      </c>
      <c r="E23" s="1">
        <v>4.4777777777777779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180</v>
      </c>
      <c r="M23">
        <v>2</v>
      </c>
      <c r="N23">
        <v>6</v>
      </c>
      <c r="O23">
        <v>8</v>
      </c>
      <c r="P23">
        <v>6</v>
      </c>
      <c r="Q23">
        <v>1</v>
      </c>
      <c r="R23">
        <v>0</v>
      </c>
      <c r="S23" s="1">
        <f>(H23+I23+J23*0.7+K23+L23*0.02+M23-N23*0.5+O23+P23*0.5)/E23</f>
        <v>3.2605459057071959</v>
      </c>
      <c r="T23" s="1">
        <f>(F23*10+G23*6+H23+I23+J23*0.7+K23+L23*0.02+M23-N23*0.5+O23+P23*0.5-Q23*1.5-R23*6)/E23</f>
        <v>2.9255583126550868</v>
      </c>
      <c r="U23">
        <v>0.1</v>
      </c>
      <c r="V23">
        <v>10.1</v>
      </c>
      <c r="W23" s="1">
        <f>U23/V23</f>
        <v>9.9009900990099011E-3</v>
      </c>
      <c r="X23" s="1">
        <f>W23*AN23</f>
        <v>1.8118811881188121E-2</v>
      </c>
      <c r="Y23">
        <v>0</v>
      </c>
      <c r="Z23">
        <v>8</v>
      </c>
      <c r="AA23" s="1">
        <f>Y23/Z23</f>
        <v>0</v>
      </c>
      <c r="AB23" s="1">
        <f>AA23*AN23</f>
        <v>0</v>
      </c>
      <c r="AC23" s="2">
        <v>11.3890248574686</v>
      </c>
      <c r="AD23" s="2">
        <v>3.86087942668185</v>
      </c>
      <c r="AE23">
        <v>56</v>
      </c>
      <c r="AF23" s="1">
        <f>H23/AE23</f>
        <v>1.7857142857142856E-2</v>
      </c>
      <c r="AG23" s="1">
        <f>AC23*AF23</f>
        <v>0.20337544388336784</v>
      </c>
      <c r="AH23" s="1">
        <f>IF(H23&gt;0, I23/H23, 0)</f>
        <v>0</v>
      </c>
      <c r="AI23" s="1">
        <f>AG23*AH23</f>
        <v>0</v>
      </c>
      <c r="AJ23">
        <v>38</v>
      </c>
      <c r="AK23" s="1">
        <f>K23/AJ23</f>
        <v>0</v>
      </c>
      <c r="AL23" s="1">
        <f>AK23*(AC23*(AJ23/AE23))</f>
        <v>0</v>
      </c>
      <c r="AM23" s="1">
        <f>29/(29+48)</f>
        <v>0.37662337662337664</v>
      </c>
      <c r="AN23">
        <v>1.83</v>
      </c>
      <c r="AO23" s="1">
        <f>IF(AR23="y",     (X23*10+AB23*6+AG23+AI23+AL23+(J23*0.7+L23*0.02+M23-N23*0.5+O23+P23*0.5-Q23*1.5)/E23)*(AP23/90)+(AM23-AVERAGE($AM$2:$AM$42))*10,      (X23*10+AB23*6+AG23+AI23+AL23+(J23*0.7+L23*0.02+M23-N23*0.5+O23+P23*0.5-Q23*1.5)/E23)*(AQ23/90)+(AM23-AVERAGE($AM$2:$AM$42))*10)</f>
        <v>1.5201696029411886</v>
      </c>
      <c r="AP23">
        <f>(90+90+90+88)/4</f>
        <v>89.5</v>
      </c>
      <c r="AQ23">
        <v>45</v>
      </c>
    </row>
    <row r="24" spans="1:44" x14ac:dyDescent="0.2">
      <c r="A24" t="s">
        <v>83</v>
      </c>
      <c r="B24" t="s">
        <v>87</v>
      </c>
      <c r="C24" t="s">
        <v>89</v>
      </c>
      <c r="D24">
        <v>4000</v>
      </c>
      <c r="E24" s="1">
        <v>1.1333333333333333</v>
      </c>
      <c r="F24">
        <v>0</v>
      </c>
      <c r="G24">
        <v>1</v>
      </c>
      <c r="H24">
        <v>0</v>
      </c>
      <c r="I24">
        <v>0</v>
      </c>
      <c r="J24">
        <v>4</v>
      </c>
      <c r="K24">
        <v>2</v>
      </c>
      <c r="L24">
        <v>44</v>
      </c>
      <c r="M24">
        <v>1</v>
      </c>
      <c r="N24">
        <v>2</v>
      </c>
      <c r="O24">
        <v>2</v>
      </c>
      <c r="P24">
        <v>5</v>
      </c>
      <c r="Q24">
        <v>0</v>
      </c>
      <c r="R24">
        <v>0</v>
      </c>
      <c r="S24" s="1">
        <f>(H24+I24+J24*0.7+K24+L24*0.02+M24-N24*0.5+O24+P24*0.5)/E24</f>
        <v>8.9823529411764707</v>
      </c>
      <c r="T24" s="1">
        <f>(F24*10+G24*6+H24+I24+J24*0.7+K24+L24*0.02+M24-N24*0.5+O24+P24*0.5-Q24*1.5-R24*6)/E24</f>
        <v>14.276470588235295</v>
      </c>
      <c r="U24">
        <v>0</v>
      </c>
      <c r="V24">
        <v>9.6</v>
      </c>
      <c r="W24" s="1">
        <f>U24/V24</f>
        <v>0</v>
      </c>
      <c r="X24" s="1">
        <f>W24*AN24</f>
        <v>0</v>
      </c>
      <c r="Y24">
        <v>0.1</v>
      </c>
      <c r="Z24">
        <v>7.8</v>
      </c>
      <c r="AA24" s="1">
        <f>Y24/Z24</f>
        <v>1.2820512820512822E-2</v>
      </c>
      <c r="AB24" s="1">
        <f>AA24*AN24</f>
        <v>2.2803993392228689E-2</v>
      </c>
      <c r="AC24" s="2">
        <v>12.4845213998363</v>
      </c>
      <c r="AD24" s="2">
        <v>5.1561073381324301</v>
      </c>
      <c r="AE24">
        <v>79</v>
      </c>
      <c r="AF24" s="1">
        <f>H24/AE24</f>
        <v>0</v>
      </c>
      <c r="AG24" s="1">
        <f>AC24*AF24</f>
        <v>0</v>
      </c>
      <c r="AH24" s="1">
        <f>IF(H24&gt;0, I24/H24, 0)</f>
        <v>0</v>
      </c>
      <c r="AI24" s="1">
        <f>AG24*AH24</f>
        <v>0</v>
      </c>
      <c r="AJ24">
        <v>60</v>
      </c>
      <c r="AK24" s="1">
        <f>K24/AJ24</f>
        <v>3.3333333333333333E-2</v>
      </c>
      <c r="AL24" s="1">
        <f>AK24*(AC24*(AJ24/AE24))</f>
        <v>0.3160638329072481</v>
      </c>
      <c r="AM24" s="1">
        <f>8/21</f>
        <v>0.38095238095238093</v>
      </c>
      <c r="AN24" s="1">
        <f>(1/3)+(5/17)*2+(2/7)*3</f>
        <v>1.7787114845938374</v>
      </c>
      <c r="AO24" s="1">
        <f>IF(AR24="y",     (X24*10+AB24*6+AG24+AI24+AL24+(J24*0.7+L24*0.02+M24-N24*0.5+O24+P24*0.5-Q24*1.5)/E24)*(AP24/90)+(AM24-AVERAGE($AM$2:$AM$42))*10,      (X24*10+AB24*6+AG24+AI24+AL24+(J24*0.7+L24*0.02+M24-N24*0.5+O24+P24*0.5-Q24*1.5)/E24)*(AQ24/90)+(AM24-AVERAGE($AM$2:$AM$42))*10)</f>
        <v>1.2345625911534237</v>
      </c>
      <c r="AP24">
        <v>45</v>
      </c>
      <c r="AQ24">
        <f>(10+21+26)/4</f>
        <v>14.25</v>
      </c>
    </row>
    <row r="25" spans="1:44" x14ac:dyDescent="0.2">
      <c r="A25" t="s">
        <v>84</v>
      </c>
      <c r="B25" t="s">
        <v>87</v>
      </c>
      <c r="C25" t="s">
        <v>88</v>
      </c>
      <c r="D25">
        <v>6800</v>
      </c>
      <c r="E25" s="1">
        <v>1.1111111111111112</v>
      </c>
      <c r="F25">
        <v>0</v>
      </c>
      <c r="G25">
        <v>0</v>
      </c>
      <c r="H25">
        <v>2</v>
      </c>
      <c r="I25">
        <v>0</v>
      </c>
      <c r="J25">
        <v>0</v>
      </c>
      <c r="K25">
        <v>0</v>
      </c>
      <c r="L25">
        <v>23</v>
      </c>
      <c r="M25">
        <v>2</v>
      </c>
      <c r="N25">
        <v>2</v>
      </c>
      <c r="O25">
        <v>2</v>
      </c>
      <c r="P25">
        <v>0</v>
      </c>
      <c r="Q25">
        <v>0</v>
      </c>
      <c r="R25">
        <v>0</v>
      </c>
      <c r="S25" s="1">
        <f>(H25+I25+J25*0.7+K25+L25*0.02+M25-N25*0.5+O25+P25*0.5)/E25</f>
        <v>4.9139999999999997</v>
      </c>
      <c r="T25" s="1">
        <f>(F25*10+G25*6+H25+I25+J25*0.7+K25+L25*0.02+M25-N25*0.5+O25+P25*0.5-Q25*1.5-R25*6)/E25</f>
        <v>4.9139999999999997</v>
      </c>
      <c r="U25">
        <v>0.5</v>
      </c>
      <c r="V25">
        <v>9.6</v>
      </c>
      <c r="W25" s="1">
        <f>U25/V25</f>
        <v>5.2083333333333336E-2</v>
      </c>
      <c r="X25" s="1">
        <f>W25*AN25</f>
        <v>9.2641223155929042E-2</v>
      </c>
      <c r="Y25">
        <v>0</v>
      </c>
      <c r="Z25">
        <v>7.8</v>
      </c>
      <c r="AA25" s="1">
        <f>Y25/Z25</f>
        <v>0</v>
      </c>
      <c r="AB25" s="1">
        <f>AA25*AN25</f>
        <v>0</v>
      </c>
      <c r="AC25" s="2">
        <v>12.4845213998363</v>
      </c>
      <c r="AD25" s="2">
        <v>5.1561073381324301</v>
      </c>
      <c r="AE25">
        <v>79</v>
      </c>
      <c r="AF25" s="1">
        <f>H25/AE25</f>
        <v>2.5316455696202531E-2</v>
      </c>
      <c r="AG25" s="1">
        <f>AC25*AF25</f>
        <v>0.3160638329072481</v>
      </c>
      <c r="AH25" s="1">
        <f>IF(H25&gt;0, I25/H25, 0)</f>
        <v>0</v>
      </c>
      <c r="AI25" s="1">
        <f>AG25*AH25</f>
        <v>0</v>
      </c>
      <c r="AJ25">
        <v>60</v>
      </c>
      <c r="AK25" s="1">
        <f>K25/AJ25</f>
        <v>0</v>
      </c>
      <c r="AL25" s="1">
        <f>AK25*(AC25*(AJ25/AE25))</f>
        <v>0</v>
      </c>
      <c r="AM25" s="1">
        <f>8/21</f>
        <v>0.38095238095238093</v>
      </c>
      <c r="AN25" s="1">
        <f>(1/3)+(5/17)*2+(2/7)*3</f>
        <v>1.7787114845938374</v>
      </c>
      <c r="AO25" s="1">
        <f>IF(AR25="y",     (X25*10+AB25*6+AG25+AI25+AL25+(J25*0.7+L25*0.02+M25-N25*0.5+O25+P25*0.5-Q25*1.5)/E25)*(AP25/90)+(AM25-AVERAGE($AM$2:$AM$42))*10,      (X25*10+AB25*6+AG25+AI25+AL25+(J25*0.7+L25*0.02+M25-N25*0.5+O25+P25*0.5-Q25*1.5)/E25)*(AQ25/90)+(AM25-AVERAGE($AM$2:$AM$42))*10)</f>
        <v>0.98816703167710862</v>
      </c>
      <c r="AQ25">
        <f>(25+31+27+17)/5</f>
        <v>20</v>
      </c>
    </row>
    <row r="26" spans="1:44" x14ac:dyDescent="0.2">
      <c r="A26" t="s">
        <v>57</v>
      </c>
      <c r="B26" t="s">
        <v>63</v>
      </c>
      <c r="C26" t="s">
        <v>92</v>
      </c>
      <c r="D26">
        <v>6000</v>
      </c>
      <c r="E26" s="1">
        <v>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143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 s="1">
        <f>(H26+I26+J26*0.7+K26+L26*0.02+M26-N26*0.5+O26+P26*0.5)/E26</f>
        <v>0.77200000000000002</v>
      </c>
      <c r="T26" s="1">
        <f>(F26*10+G26*6+H26+I26+J26*0.7+K26+L26*0.02+M26-N26*0.5+O26+P26*0.5-Q26*1.5-R26*6)/E26</f>
        <v>0.77200000000000002</v>
      </c>
      <c r="U26">
        <v>0</v>
      </c>
      <c r="V26">
        <v>10.1</v>
      </c>
      <c r="W26" s="1">
        <f>U26/V26</f>
        <v>0</v>
      </c>
      <c r="X26" s="1">
        <f>W26*AN26</f>
        <v>0</v>
      </c>
      <c r="Y26">
        <v>0</v>
      </c>
      <c r="Z26">
        <v>8</v>
      </c>
      <c r="AA26" s="1">
        <f>Y26/Z26</f>
        <v>0</v>
      </c>
      <c r="AB26" s="1">
        <f>AA26*AN26</f>
        <v>0</v>
      </c>
      <c r="AC26" s="2">
        <v>11.3890248574686</v>
      </c>
      <c r="AD26" s="2">
        <v>3.86087942668185</v>
      </c>
      <c r="AE26">
        <v>56</v>
      </c>
      <c r="AF26" s="1">
        <f>H26/AE26</f>
        <v>0</v>
      </c>
      <c r="AG26" s="1">
        <f>AC26*AF26</f>
        <v>0</v>
      </c>
      <c r="AH26" s="1">
        <f>IF(H26&gt;0, I26/H26, 0)</f>
        <v>0</v>
      </c>
      <c r="AI26" s="1">
        <f>AG26*AH26</f>
        <v>0</v>
      </c>
      <c r="AJ26">
        <v>38</v>
      </c>
      <c r="AK26" s="1">
        <f>K26/AJ26</f>
        <v>0</v>
      </c>
      <c r="AL26" s="1">
        <f>AK26*(AC26*(AJ26/AE26))</f>
        <v>0</v>
      </c>
      <c r="AM26" s="1">
        <f>29/(29+48)</f>
        <v>0.37662337662337664</v>
      </c>
      <c r="AN26">
        <v>1.83</v>
      </c>
      <c r="AO26" s="1">
        <f>IF(AR26="y",     (X26*10+AB26*6+AG26+AI26+AL26+(J26*0.7+L26*0.02+M26-N26*0.5+O26+P26*0.5-Q26*1.5)/E26)*(AP26/90)+(AM26-AVERAGE($AM$2:$AM$42))*10,      (X26*10+AB26*6+AG26+AI26+AL26+(J26*0.7+L26*0.02+M26-N26*0.5+O26+P26*0.5-Q26*1.5)/E26)*(AQ26/90)+(AM26-AVERAGE($AM$2:$AM$42))*10)</f>
        <v>0.74877119628339051</v>
      </c>
      <c r="AP26">
        <v>90</v>
      </c>
      <c r="AR26" t="s">
        <v>64</v>
      </c>
    </row>
    <row r="27" spans="1:44" x14ac:dyDescent="0.2">
      <c r="A27" t="s">
        <v>77</v>
      </c>
      <c r="B27" t="s">
        <v>87</v>
      </c>
      <c r="C27" t="s">
        <v>88</v>
      </c>
      <c r="D27">
        <v>3600</v>
      </c>
      <c r="E27" s="1">
        <v>1.4888888888888889</v>
      </c>
      <c r="F27">
        <v>2</v>
      </c>
      <c r="G27">
        <v>0</v>
      </c>
      <c r="H27">
        <v>4</v>
      </c>
      <c r="I27">
        <v>3</v>
      </c>
      <c r="J27">
        <v>0</v>
      </c>
      <c r="K27">
        <v>0</v>
      </c>
      <c r="L27">
        <v>24</v>
      </c>
      <c r="M27">
        <v>1</v>
      </c>
      <c r="N27">
        <v>3</v>
      </c>
      <c r="O27">
        <v>1</v>
      </c>
      <c r="P27">
        <v>1</v>
      </c>
      <c r="Q27">
        <v>0</v>
      </c>
      <c r="R27">
        <v>0</v>
      </c>
      <c r="S27" s="1">
        <f>(H27+I27+J27*0.7+K27+L27*0.02+M27-N27*0.5+O27+P27*0.5)/E27</f>
        <v>5.6955223880597012</v>
      </c>
      <c r="T27" s="1">
        <f>(F27*10+G27*6+H27+I27+J27*0.7+K27+L27*0.02+M27-N27*0.5+O27+P27*0.5-Q27*1.5-R27*6)/E27</f>
        <v>19.128358208955223</v>
      </c>
      <c r="U27">
        <v>0.70000000000000007</v>
      </c>
      <c r="V27">
        <v>9.6</v>
      </c>
      <c r="W27" s="1">
        <f>U27/V27</f>
        <v>7.2916666666666671E-2</v>
      </c>
      <c r="X27" s="1">
        <f>W27*AN27</f>
        <v>0.12969771241830066</v>
      </c>
      <c r="Y27">
        <v>0</v>
      </c>
      <c r="Z27">
        <v>7.8</v>
      </c>
      <c r="AA27" s="1">
        <f>Y27/Z27</f>
        <v>0</v>
      </c>
      <c r="AB27" s="1">
        <f>AA27*AN27</f>
        <v>0</v>
      </c>
      <c r="AC27" s="2">
        <v>12.4845213998363</v>
      </c>
      <c r="AD27" s="2">
        <v>5.1561073381324301</v>
      </c>
      <c r="AE27">
        <v>79</v>
      </c>
      <c r="AF27" s="1">
        <f>H27/AE27</f>
        <v>5.0632911392405063E-2</v>
      </c>
      <c r="AG27" s="1">
        <f>AC27*AF27</f>
        <v>0.6321276658144962</v>
      </c>
      <c r="AH27" s="1">
        <f>IF(H27&gt;0, I27/H27, 0)</f>
        <v>0.75</v>
      </c>
      <c r="AI27" s="1">
        <f>AG27*AH27</f>
        <v>0.47409574936087218</v>
      </c>
      <c r="AJ27">
        <v>60</v>
      </c>
      <c r="AK27" s="1">
        <f>K27/AJ27</f>
        <v>0</v>
      </c>
      <c r="AL27" s="1">
        <f>AK27*(AC27*(AJ27/AE27))</f>
        <v>0</v>
      </c>
      <c r="AM27" s="1">
        <f>8/21</f>
        <v>0.38095238095238093</v>
      </c>
      <c r="AN27" s="1">
        <f>(1/3)+(5/17)*2+(2/7)*3</f>
        <v>1.7787114845938374</v>
      </c>
      <c r="AO27" s="1">
        <f>IF(AR27="y",     (X27*10+AB27*6+AG27+AI27+AL27+(J27*0.7+L27*0.02+M27-N27*0.5+O27+P27*0.5-Q27*1.5)/E27)*(AP27/90)+(AM27-AVERAGE($AM$2:$AM$42))*10,      (X27*10+AB27*6+AG27+AI27+AL27+(J27*0.7+L27*0.02+M27-N27*0.5+O27+P27*0.5-Q27*1.5)/E27)*(AQ27/90)+(AM27-AVERAGE($AM$2:$AM$42))*10)</f>
        <v>0.69007056651073806</v>
      </c>
      <c r="AP27">
        <v>63</v>
      </c>
      <c r="AQ27">
        <f>(14+19+27+11)/4</f>
        <v>17.75</v>
      </c>
    </row>
    <row r="28" spans="1:44" x14ac:dyDescent="0.2">
      <c r="A28" t="s">
        <v>80</v>
      </c>
      <c r="B28" t="s">
        <v>87</v>
      </c>
      <c r="C28" t="s">
        <v>88</v>
      </c>
      <c r="D28">
        <v>3800</v>
      </c>
      <c r="E28" s="1">
        <v>0.25555555555555554</v>
      </c>
      <c r="F28">
        <v>0</v>
      </c>
      <c r="G28">
        <v>0</v>
      </c>
      <c r="H28">
        <v>0</v>
      </c>
      <c r="I28">
        <v>0</v>
      </c>
      <c r="J28">
        <v>3</v>
      </c>
      <c r="K28">
        <v>0</v>
      </c>
      <c r="L28">
        <v>10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 s="1">
        <f>(H28+I28+J28*0.7+K28+L28*0.02+M28-N28*0.5+O28+P28*0.5)/E28</f>
        <v>12.913043478260869</v>
      </c>
      <c r="T28" s="1">
        <f>(F28*10+G28*6+H28+I28+J28*0.7+K28+L28*0.02+M28-N28*0.5+O28+P28*0.5-Q28*1.5-R28*6)/E28</f>
        <v>12.913043478260869</v>
      </c>
      <c r="U28">
        <v>0</v>
      </c>
      <c r="V28">
        <v>9.6</v>
      </c>
      <c r="W28" s="1">
        <f>U28/V28</f>
        <v>0</v>
      </c>
      <c r="X28" s="1">
        <f>W28*AN28</f>
        <v>0</v>
      </c>
      <c r="Y28">
        <v>0</v>
      </c>
      <c r="Z28">
        <v>7.8</v>
      </c>
      <c r="AA28" s="1">
        <f>Y28/Z28</f>
        <v>0</v>
      </c>
      <c r="AB28" s="1">
        <f>AA28*AN28</f>
        <v>0</v>
      </c>
      <c r="AC28" s="2">
        <v>12.4845213998363</v>
      </c>
      <c r="AD28" s="2">
        <v>5.1561073381324301</v>
      </c>
      <c r="AE28">
        <v>79</v>
      </c>
      <c r="AF28" s="1">
        <f>H28/AE28</f>
        <v>0</v>
      </c>
      <c r="AG28" s="1">
        <f>AC28*AF28</f>
        <v>0</v>
      </c>
      <c r="AH28" s="1">
        <f>IF(H28&gt;0, I28/H28, 0)</f>
        <v>0</v>
      </c>
      <c r="AI28" s="1">
        <f>AG28*AH28</f>
        <v>0</v>
      </c>
      <c r="AJ28">
        <v>60</v>
      </c>
      <c r="AK28" s="1">
        <f>K28/AJ28</f>
        <v>0</v>
      </c>
      <c r="AL28" s="1">
        <f>AK28*(AC28*(AJ28/AE28))</f>
        <v>0</v>
      </c>
      <c r="AM28" s="1">
        <f>8/21</f>
        <v>0.38095238095238093</v>
      </c>
      <c r="AN28" s="1">
        <f>(1/3)+(5/17)*2+(2/7)*3</f>
        <v>1.7787114845938374</v>
      </c>
      <c r="AO28" s="1">
        <f>IF(AR28="y",     (X28*10+AB28*6+AG28+AI28+AL28+(J28*0.7+L28*0.02+M28-N28*0.5+O28+P28*0.5-Q28*1.5)/E28)*(AP28/90)+(AM28-AVERAGE($AM$2:$AM$42))*10,      (X28*10+AB28*6+AG28+AI28+AL28+(J28*0.7+L28*0.02+M28-N28*0.5+O28+P28*0.5-Q28*1.5)/E28)*(AQ28/90)+(AM28-AVERAGE($AM$2:$AM$42))*10)</f>
        <v>0.68006123957343334</v>
      </c>
      <c r="AQ28">
        <f>23/5</f>
        <v>4.5999999999999996</v>
      </c>
    </row>
    <row r="29" spans="1:44" x14ac:dyDescent="0.2">
      <c r="A29" t="s">
        <v>54</v>
      </c>
      <c r="B29" t="s">
        <v>63</v>
      </c>
      <c r="C29" t="s">
        <v>89</v>
      </c>
      <c r="D29">
        <v>4600</v>
      </c>
      <c r="E29" s="1">
        <v>1.4666666666666666</v>
      </c>
      <c r="F29">
        <v>0</v>
      </c>
      <c r="G29">
        <v>1</v>
      </c>
      <c r="H29">
        <v>0</v>
      </c>
      <c r="I29">
        <v>0</v>
      </c>
      <c r="J29">
        <v>4</v>
      </c>
      <c r="K29">
        <v>1</v>
      </c>
      <c r="L29">
        <v>50</v>
      </c>
      <c r="M29">
        <v>1</v>
      </c>
      <c r="N29">
        <v>3</v>
      </c>
      <c r="O29">
        <v>3</v>
      </c>
      <c r="P29">
        <v>1</v>
      </c>
      <c r="Q29">
        <v>0</v>
      </c>
      <c r="R29">
        <v>0</v>
      </c>
      <c r="S29" s="1">
        <f>(H29+I29+J29*0.7+K29+L29*0.02+M29-N29*0.5+O29+P29*0.5)/E29</f>
        <v>5.3181818181818183</v>
      </c>
      <c r="T29" s="1">
        <f>(F29*10+G29*6+H29+I29+J29*0.7+K29+L29*0.02+M29-N29*0.5+O29+P29*0.5-Q29*1.5-R29*6)/E29</f>
        <v>9.4090909090909101</v>
      </c>
      <c r="U29">
        <v>0</v>
      </c>
      <c r="V29">
        <v>10.1</v>
      </c>
      <c r="W29" s="1">
        <f>U29/V29</f>
        <v>0</v>
      </c>
      <c r="X29" s="1">
        <f>W29*AN29</f>
        <v>0</v>
      </c>
      <c r="Y29">
        <v>0.1</v>
      </c>
      <c r="Z29">
        <v>8</v>
      </c>
      <c r="AA29" s="1">
        <f>Y29/Z29</f>
        <v>1.2500000000000001E-2</v>
      </c>
      <c r="AB29" s="1">
        <f>AA29*AN29</f>
        <v>2.2875000000000003E-2</v>
      </c>
      <c r="AC29" s="2">
        <v>11.3890248574686</v>
      </c>
      <c r="AD29" s="2">
        <v>3.86087942668185</v>
      </c>
      <c r="AE29">
        <v>56</v>
      </c>
      <c r="AF29" s="1">
        <f>H29/AE29</f>
        <v>0</v>
      </c>
      <c r="AG29" s="1">
        <f>AC29*AF29</f>
        <v>0</v>
      </c>
      <c r="AH29" s="1">
        <f>IF(H29&gt;0, I29/H29, 0)</f>
        <v>0</v>
      </c>
      <c r="AI29" s="1">
        <f>AG29*AH29</f>
        <v>0</v>
      </c>
      <c r="AJ29">
        <v>38</v>
      </c>
      <c r="AK29" s="1">
        <f>K29/AJ29</f>
        <v>2.6315789473684209E-2</v>
      </c>
      <c r="AL29" s="1">
        <f>AK29*(AC29*(AJ29/AE29))</f>
        <v>0.20337544388336784</v>
      </c>
      <c r="AM29" s="1">
        <f>29/(29+48)</f>
        <v>0.37662337662337664</v>
      </c>
      <c r="AN29">
        <v>1.83</v>
      </c>
      <c r="AO29" s="1">
        <f>IF(AR29="y",     (X29*10+AB29*6+AG29+AI29+AL29+(J29*0.7+L29*0.02+M29-N29*0.5+O29+P29*0.5-Q29*1.5)/E29)*(AP29/90)+(AM29-AVERAGE($AM$2:$AM$42))*10,      (X29*10+AB29*6+AG29+AI29+AL29+(J29*0.7+L29*0.02+M29-N29*0.5+O29+P29*0.5-Q29*1.5)/E29)*(AQ29/90)+(AM29-AVERAGE($AM$2:$AM$42))*10)</f>
        <v>0.66801967965103004</v>
      </c>
      <c r="AP29">
        <v>82</v>
      </c>
      <c r="AQ29">
        <f>(4+13+33)/4</f>
        <v>12.5</v>
      </c>
    </row>
    <row r="30" spans="1:44" x14ac:dyDescent="0.2">
      <c r="A30" t="s">
        <v>79</v>
      </c>
      <c r="B30" t="s">
        <v>87</v>
      </c>
      <c r="C30" t="s">
        <v>89</v>
      </c>
      <c r="D30">
        <v>3000</v>
      </c>
      <c r="E30" s="1">
        <v>0.71111111111111114</v>
      </c>
      <c r="F30">
        <v>0</v>
      </c>
      <c r="G30">
        <v>0</v>
      </c>
      <c r="H30">
        <v>0</v>
      </c>
      <c r="I30">
        <v>0</v>
      </c>
      <c r="J30">
        <v>5</v>
      </c>
      <c r="K30">
        <v>1</v>
      </c>
      <c r="L30">
        <v>26</v>
      </c>
      <c r="M30">
        <v>2</v>
      </c>
      <c r="N30">
        <v>2</v>
      </c>
      <c r="O30">
        <v>2</v>
      </c>
      <c r="P30">
        <v>3</v>
      </c>
      <c r="Q30">
        <v>0</v>
      </c>
      <c r="R30">
        <v>0</v>
      </c>
      <c r="S30" s="1">
        <f>(H30+I30+J30*0.7+K30+L30*0.02+M30-N30*0.5+O30+P30*0.5)/E30</f>
        <v>13.387499999999999</v>
      </c>
      <c r="T30" s="1">
        <f>(F30*10+G30*6+H30+I30+J30*0.7+K30+L30*0.02+M30-N30*0.5+O30+P30*0.5-Q30*1.5-R30*6)/E30</f>
        <v>13.387499999999999</v>
      </c>
      <c r="U30">
        <v>0</v>
      </c>
      <c r="V30">
        <v>9.6</v>
      </c>
      <c r="W30" s="1">
        <f>U30/V30</f>
        <v>0</v>
      </c>
      <c r="X30" s="1">
        <f>W30*AN30</f>
        <v>0</v>
      </c>
      <c r="Y30">
        <v>0</v>
      </c>
      <c r="Z30">
        <v>7.8</v>
      </c>
      <c r="AA30" s="1">
        <f>Y30/Z30</f>
        <v>0</v>
      </c>
      <c r="AB30" s="1">
        <f>AA30*AN30</f>
        <v>0</v>
      </c>
      <c r="AC30" s="2">
        <v>12.4845213998363</v>
      </c>
      <c r="AD30" s="2">
        <v>5.1561073381324301</v>
      </c>
      <c r="AE30">
        <v>79</v>
      </c>
      <c r="AF30" s="1">
        <f>H30/AE30</f>
        <v>0</v>
      </c>
      <c r="AG30" s="1">
        <f>AC30*AF30</f>
        <v>0</v>
      </c>
      <c r="AH30" s="1">
        <f>IF(H30&gt;0, I30/H30, 0)</f>
        <v>0</v>
      </c>
      <c r="AI30" s="1">
        <f>AG30*AH30</f>
        <v>0</v>
      </c>
      <c r="AJ30">
        <v>60</v>
      </c>
      <c r="AK30" s="1">
        <f>K30/AJ30</f>
        <v>1.6666666666666666E-2</v>
      </c>
      <c r="AL30" s="1">
        <f>AK30*(AC30*(AJ30/AE30))</f>
        <v>0.15803191645362405</v>
      </c>
      <c r="AM30" s="1">
        <f>8/21</f>
        <v>0.38095238095238093</v>
      </c>
      <c r="AN30" s="1">
        <f>(1/3)+(5/17)*2+(2/7)*3</f>
        <v>1.7787114845938374</v>
      </c>
      <c r="AO30" s="1">
        <f>IF(AR30="y",     (X30*10+AB30*6+AG30+AI30+AL30+(J30*0.7+L30*0.02+M30-N30*0.5+O30+P30*0.5-Q30*1.5)/E30)*(AP30/90)+(AM30-AVERAGE($AM$2:$AM$42))*10,      (X30*10+AB30*6+AG30+AI30+AL30+(J30*0.7+L30*0.02+M30-N30*0.5+O30+P30*0.5-Q30*1.5)/E30)*(AQ30/90)+(AM30-AVERAGE($AM$2:$AM$42))*10)</f>
        <v>0.66074556294181908</v>
      </c>
      <c r="AP30">
        <v>45</v>
      </c>
      <c r="AQ30">
        <f>19/4</f>
        <v>4.75</v>
      </c>
    </row>
    <row r="31" spans="1:44" x14ac:dyDescent="0.2">
      <c r="A31" t="s">
        <v>75</v>
      </c>
      <c r="B31" t="s">
        <v>87</v>
      </c>
      <c r="C31" t="s">
        <v>91</v>
      </c>
      <c r="D31">
        <v>3600</v>
      </c>
      <c r="E31" s="1">
        <v>0.23333333333333334</v>
      </c>
      <c r="F31">
        <v>0</v>
      </c>
      <c r="G31">
        <v>0</v>
      </c>
      <c r="H31">
        <v>0</v>
      </c>
      <c r="I31">
        <v>0</v>
      </c>
      <c r="J31">
        <v>3</v>
      </c>
      <c r="K31">
        <v>1</v>
      </c>
      <c r="L31">
        <v>16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 s="1">
        <f>(H31+I31+J31*0.7+K31+L31*0.02+M31-N31*0.5+O31+P31*0.5)/E31</f>
        <v>16.799999999999997</v>
      </c>
      <c r="T31" s="1">
        <f>(F31*10+G31*6+H31+I31+J31*0.7+K31+L31*0.02+M31-N31*0.5+O31+P31*0.5-Q31*1.5-R31*6)/E31</f>
        <v>16.799999999999997</v>
      </c>
      <c r="U31">
        <v>0</v>
      </c>
      <c r="V31">
        <v>9.6</v>
      </c>
      <c r="W31" s="1">
        <f>U31/V31</f>
        <v>0</v>
      </c>
      <c r="X31" s="1">
        <f>W31*AN31</f>
        <v>0</v>
      </c>
      <c r="Y31">
        <v>0</v>
      </c>
      <c r="Z31">
        <v>7.8</v>
      </c>
      <c r="AA31" s="1">
        <f>Y31/Z31</f>
        <v>0</v>
      </c>
      <c r="AB31" s="1">
        <f>AA31*AN31</f>
        <v>0</v>
      </c>
      <c r="AC31" s="2">
        <v>12.4845213998363</v>
      </c>
      <c r="AD31" s="2">
        <v>5.1561073381324301</v>
      </c>
      <c r="AE31">
        <v>79</v>
      </c>
      <c r="AF31" s="1">
        <f>H31/AE31</f>
        <v>0</v>
      </c>
      <c r="AG31" s="1">
        <f>AC31*AF31</f>
        <v>0</v>
      </c>
      <c r="AH31" s="1">
        <f>IF(H31&gt;0, I31/H31, 0)</f>
        <v>0</v>
      </c>
      <c r="AI31" s="1">
        <f>AG31*AH31</f>
        <v>0</v>
      </c>
      <c r="AJ31">
        <v>60</v>
      </c>
      <c r="AK31" s="1">
        <f>K31/AJ31</f>
        <v>1.6666666666666666E-2</v>
      </c>
      <c r="AL31" s="1">
        <f>AK31*(AC31*(AJ31/AE31))</f>
        <v>0.15803191645362405</v>
      </c>
      <c r="AM31" s="1">
        <f>8/21</f>
        <v>0.38095238095238093</v>
      </c>
      <c r="AN31" s="1">
        <f>(1/3)+(5/17)*2+(2/7)*3</f>
        <v>1.7787114845938374</v>
      </c>
      <c r="AO31" s="1">
        <f>IF(AR31="y",     (X31*10+AB31*6+AG31+AI31+AL31+(J31*0.7+L31*0.02+M31-N31*0.5+O31+P31*0.5-Q31*1.5)/E31)*(AP31/90)+(AM31-AVERAGE($AM$2:$AM$42))*10,      (X31*10+AB31*6+AG31+AI31+AL31+(J31*0.7+L31*0.02+M31-N31*0.5+O31+P31*0.5-Q31*1.5)/E31)*(AQ31/90)+(AM31-AVERAGE($AM$2:$AM$42))*10)</f>
        <v>0.61143606234126913</v>
      </c>
      <c r="AQ31">
        <f>21/5</f>
        <v>4.2</v>
      </c>
    </row>
    <row r="32" spans="1:44" x14ac:dyDescent="0.2">
      <c r="A32" t="s">
        <v>55</v>
      </c>
      <c r="B32" t="s">
        <v>63</v>
      </c>
      <c r="C32" t="s">
        <v>88</v>
      </c>
      <c r="D32">
        <v>6200</v>
      </c>
      <c r="E32" s="1">
        <v>1.4</v>
      </c>
      <c r="F32">
        <v>0</v>
      </c>
      <c r="G32">
        <v>0</v>
      </c>
      <c r="H32">
        <v>3</v>
      </c>
      <c r="I32">
        <v>1</v>
      </c>
      <c r="J32">
        <v>0</v>
      </c>
      <c r="K32">
        <v>2</v>
      </c>
      <c r="L32">
        <v>29</v>
      </c>
      <c r="M32">
        <v>1</v>
      </c>
      <c r="N32">
        <v>2</v>
      </c>
      <c r="O32">
        <v>0</v>
      </c>
      <c r="P32">
        <v>1</v>
      </c>
      <c r="Q32">
        <v>1</v>
      </c>
      <c r="R32">
        <v>0</v>
      </c>
      <c r="S32" s="1">
        <f>(H32+I32+J32*0.7+K32+L32*0.02+M32-N32*0.5+O32+P32*0.5)/E32</f>
        <v>5.0571428571428578</v>
      </c>
      <c r="T32" s="1">
        <f>(F32*10+G32*6+H32+I32+J32*0.7+K32+L32*0.02+M32-N32*0.5+O32+P32*0.5-Q32*1.5-R32*6)/E32</f>
        <v>3.9857142857142862</v>
      </c>
      <c r="U32">
        <v>0.3</v>
      </c>
      <c r="V32">
        <v>10.1</v>
      </c>
      <c r="W32" s="1">
        <f>U32/V32</f>
        <v>2.9702970297029702E-2</v>
      </c>
      <c r="X32" s="1">
        <f>W32*AN32</f>
        <v>5.4356435643564356E-2</v>
      </c>
      <c r="Y32">
        <v>0.30000000000000004</v>
      </c>
      <c r="Z32">
        <v>8</v>
      </c>
      <c r="AA32" s="1">
        <f>Y32/Z32</f>
        <v>3.7500000000000006E-2</v>
      </c>
      <c r="AB32" s="1">
        <f>AA32*AN32</f>
        <v>6.8625000000000019E-2</v>
      </c>
      <c r="AC32" s="2">
        <v>11.3890248574686</v>
      </c>
      <c r="AD32" s="2">
        <v>3.86087942668185</v>
      </c>
      <c r="AE32">
        <v>56</v>
      </c>
      <c r="AF32" s="1">
        <f>H32/AE32</f>
        <v>5.3571428571428568E-2</v>
      </c>
      <c r="AG32" s="1">
        <f>AC32*AF32</f>
        <v>0.61012633165010355</v>
      </c>
      <c r="AH32" s="1">
        <f>IF(H32&gt;0, I32/H32, 0)</f>
        <v>0.33333333333333331</v>
      </c>
      <c r="AI32" s="1">
        <f>AG32*AH32</f>
        <v>0.20337544388336784</v>
      </c>
      <c r="AJ32">
        <v>38</v>
      </c>
      <c r="AK32" s="1">
        <f>K32/AJ32</f>
        <v>5.2631578947368418E-2</v>
      </c>
      <c r="AL32" s="1">
        <f>AK32*(AC32*(AJ32/AE32))</f>
        <v>0.40675088776673568</v>
      </c>
      <c r="AM32" s="1">
        <f>29/(29+48)</f>
        <v>0.37662337662337664</v>
      </c>
      <c r="AN32">
        <v>1.83</v>
      </c>
      <c r="AO32" s="1">
        <f>IF(AR32="y",     (X32*10+AB32*6+AG32+AI32+AL32+(J32*0.7+L32*0.02+M32-N32*0.5+O32+P32*0.5-Q32*1.5)/E32)*(AP32/90)+(AM32-AVERAGE($AM$2:$AM$42))*10,      (X32*10+AB32*6+AG32+AI32+AL32+(J32*0.7+L32*0.02+M32-N32*0.5+O32+P32*0.5-Q32*1.5)/E32)*(AQ32/90)+(AM32-AVERAGE($AM$2:$AM$42))*10)</f>
        <v>0.50192996180942862</v>
      </c>
      <c r="AQ32">
        <f>(10+45+8+29+34)/5</f>
        <v>25.2</v>
      </c>
    </row>
    <row r="33" spans="1:44" x14ac:dyDescent="0.2">
      <c r="A33" t="s">
        <v>52</v>
      </c>
      <c r="B33" t="s">
        <v>63</v>
      </c>
      <c r="C33" t="s">
        <v>89</v>
      </c>
      <c r="D33">
        <v>3000</v>
      </c>
      <c r="E33" s="1">
        <v>0.15555555555555556</v>
      </c>
      <c r="F33">
        <v>0</v>
      </c>
      <c r="G33">
        <v>0</v>
      </c>
      <c r="H33">
        <v>1</v>
      </c>
      <c r="I33">
        <v>0</v>
      </c>
      <c r="J33">
        <v>1</v>
      </c>
      <c r="K33">
        <v>0</v>
      </c>
      <c r="L33">
        <v>4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 s="1">
        <f>(H33+I33+J33*0.7+K33+L33*0.02+M33-N33*0.5+O33+P33*0.5)/E33</f>
        <v>21.085714285714285</v>
      </c>
      <c r="T33" s="1">
        <f>(F33*10+G33*6+H33+I33+J33*0.7+K33+L33*0.02+M33-N33*0.5+O33+P33*0.5-Q33*1.5-R33*6)/E33</f>
        <v>21.085714285714285</v>
      </c>
      <c r="U33">
        <v>0.3</v>
      </c>
      <c r="V33">
        <v>10.1</v>
      </c>
      <c r="W33" s="1">
        <f>U33/V33</f>
        <v>2.9702970297029702E-2</v>
      </c>
      <c r="X33" s="1">
        <f>W33*AN33</f>
        <v>5.4356435643564356E-2</v>
      </c>
      <c r="Y33">
        <v>0</v>
      </c>
      <c r="Z33">
        <v>8</v>
      </c>
      <c r="AA33" s="1">
        <f>Y33/Z33</f>
        <v>0</v>
      </c>
      <c r="AB33" s="1">
        <f>AA33*AN33</f>
        <v>0</v>
      </c>
      <c r="AC33" s="2">
        <v>11.3890248574686</v>
      </c>
      <c r="AD33" s="2">
        <v>3.86087942668185</v>
      </c>
      <c r="AE33">
        <v>56</v>
      </c>
      <c r="AF33" s="1">
        <f>H33/AE33</f>
        <v>1.7857142857142856E-2</v>
      </c>
      <c r="AG33" s="1">
        <f>AC33*AF33</f>
        <v>0.20337544388336784</v>
      </c>
      <c r="AH33" s="1">
        <f>IF(H33&gt;0, I33/H33, 0)</f>
        <v>0</v>
      </c>
      <c r="AI33" s="1">
        <f>AG33*AH33</f>
        <v>0</v>
      </c>
      <c r="AJ33">
        <v>38</v>
      </c>
      <c r="AK33" s="1">
        <f>K33/AJ33</f>
        <v>0</v>
      </c>
      <c r="AL33" s="1">
        <f>AK33*(AC33*(AJ33/AE33))</f>
        <v>0</v>
      </c>
      <c r="AM33" s="1">
        <f>29/(29+48)</f>
        <v>0.37662337662337664</v>
      </c>
      <c r="AN33">
        <v>1.83</v>
      </c>
      <c r="AO33" s="1">
        <f>IF(AR33="y",     (X33*10+AB33*6+AG33+AI33+AL33+(J33*0.7+L33*0.02+M33-N33*0.5+O33+P33*0.5-Q33*1.5)/E33)*(AP33/90)+(AM33-AVERAGE($AM$2:$AM$42))*10,      (X33*10+AB33*6+AG33+AI33+AL33+(J33*0.7+L33*0.02+M33-N33*0.5+O33+P33*0.5-Q33*1.5)/E33)*(AQ33/90)+(AM33-AVERAGE($AM$2:$AM$42))*10)</f>
        <v>0.45600932340442635</v>
      </c>
      <c r="AQ33">
        <f>14/5</f>
        <v>2.8</v>
      </c>
    </row>
    <row r="34" spans="1:44" x14ac:dyDescent="0.2">
      <c r="A34" t="s">
        <v>49</v>
      </c>
      <c r="B34" t="s">
        <v>63</v>
      </c>
      <c r="C34" t="s">
        <v>89</v>
      </c>
      <c r="D34">
        <v>3000</v>
      </c>
      <c r="E34" s="1">
        <v>1.9777777777777779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66</v>
      </c>
      <c r="M34">
        <v>4</v>
      </c>
      <c r="N34">
        <v>6</v>
      </c>
      <c r="O34">
        <v>1</v>
      </c>
      <c r="P34">
        <v>2</v>
      </c>
      <c r="Q34">
        <v>0</v>
      </c>
      <c r="R34">
        <v>0</v>
      </c>
      <c r="S34" s="1">
        <f>(H34+I34+J34*0.7+K34+L34*0.02+M34-N34*0.5+O34+P34*0.5)/E34</f>
        <v>2.6898876404494381</v>
      </c>
      <c r="T34" s="1">
        <f>(F34*10+G34*6+H34+I34+J34*0.7+K34+L34*0.02+M34-N34*0.5+O34+P34*0.5-Q34*1.5-R34*6)/E34</f>
        <v>2.6898876404494381</v>
      </c>
      <c r="U34">
        <v>0</v>
      </c>
      <c r="V34">
        <v>10.1</v>
      </c>
      <c r="W34" s="1">
        <f>U34/V34</f>
        <v>0</v>
      </c>
      <c r="X34" s="1">
        <f>W34*AN34</f>
        <v>0</v>
      </c>
      <c r="Y34">
        <v>0</v>
      </c>
      <c r="Z34">
        <v>8</v>
      </c>
      <c r="AA34" s="1">
        <f>Y34/Z34</f>
        <v>0</v>
      </c>
      <c r="AB34" s="1">
        <f>AA34*AN34</f>
        <v>0</v>
      </c>
      <c r="AC34" s="2">
        <v>11.3890248574686</v>
      </c>
      <c r="AD34" s="2">
        <v>3.86087942668185</v>
      </c>
      <c r="AE34">
        <v>56</v>
      </c>
      <c r="AF34" s="1">
        <f>H34/AE34</f>
        <v>0</v>
      </c>
      <c r="AG34" s="1">
        <f>AC34*AF34</f>
        <v>0</v>
      </c>
      <c r="AH34" s="1">
        <f>IF(H34&gt;0, I34/H34, 0)</f>
        <v>0</v>
      </c>
      <c r="AI34" s="1">
        <f>AG34*AH34</f>
        <v>0</v>
      </c>
      <c r="AJ34">
        <v>38</v>
      </c>
      <c r="AK34" s="1">
        <f>K34/AJ34</f>
        <v>2.6315789473684209E-2</v>
      </c>
      <c r="AL34" s="1">
        <f>AK34*(AC34*(AJ34/AE34))</f>
        <v>0.20337544388336784</v>
      </c>
      <c r="AM34" s="1">
        <f>29/(29+48)</f>
        <v>0.37662337662337664</v>
      </c>
      <c r="AN34">
        <v>1.83</v>
      </c>
      <c r="AO34" s="1">
        <f>IF(AR34="y",     (X34*10+AB34*6+AG34+AI34+AL34+(J34*0.7+L34*0.02+M34-N34*0.5+O34+P34*0.5-Q34*1.5)/E34)*(AP34/90)+(AM34-AVERAGE($AM$2:$AM$42))*10,      (X34*10+AB34*6+AG34+AI34+AL34+(J34*0.7+L34*0.02+M34-N34*0.5+O34+P34*0.5-Q34*1.5)/E34)*(AQ34/90)+(AM34-AVERAGE($AM$2:$AM$42))*10)</f>
        <v>0.39239830746791515</v>
      </c>
      <c r="AP34">
        <f>(70+61)/2</f>
        <v>65.5</v>
      </c>
      <c r="AQ34">
        <f>(13+34)/3</f>
        <v>15.666666666666666</v>
      </c>
    </row>
    <row r="35" spans="1:44" x14ac:dyDescent="0.2">
      <c r="A35" t="s">
        <v>82</v>
      </c>
      <c r="B35" t="s">
        <v>87</v>
      </c>
      <c r="C35" t="s">
        <v>92</v>
      </c>
      <c r="D35">
        <v>5600</v>
      </c>
      <c r="E35" s="1">
        <v>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69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">
        <f>(H35+I35+J35*0.7+K35+L35*0.02+M35-N35*0.5+O35+P35*0.5)/E35</f>
        <v>0.34500000000000003</v>
      </c>
      <c r="T35" s="1">
        <f>(F35*10+G35*6+H35+I35+J35*0.7+K35+L35*0.02+M35-N35*0.5+O35+P35*0.5-Q35*1.5-R35*6)/E35</f>
        <v>0.34500000000000003</v>
      </c>
      <c r="U35">
        <v>0</v>
      </c>
      <c r="V35">
        <v>9.6</v>
      </c>
      <c r="W35" s="1">
        <f>U35/V35</f>
        <v>0</v>
      </c>
      <c r="X35" s="1">
        <f>W35*AN35</f>
        <v>0</v>
      </c>
      <c r="Y35">
        <v>0</v>
      </c>
      <c r="Z35">
        <v>7.8</v>
      </c>
      <c r="AA35" s="1">
        <f>Y35/Z35</f>
        <v>0</v>
      </c>
      <c r="AB35" s="1">
        <f>AA35*AN35</f>
        <v>0</v>
      </c>
      <c r="AC35" s="2">
        <v>12.4845213998363</v>
      </c>
      <c r="AD35" s="2">
        <v>5.1561073381324301</v>
      </c>
      <c r="AE35">
        <v>79</v>
      </c>
      <c r="AF35" s="1">
        <f>H35/AE35</f>
        <v>0</v>
      </c>
      <c r="AG35" s="1">
        <f>AC35*AF35</f>
        <v>0</v>
      </c>
      <c r="AH35" s="1">
        <f>IF(H35&gt;0, I35/H35, 0)</f>
        <v>0</v>
      </c>
      <c r="AI35" s="1">
        <f>AG35*AH35</f>
        <v>0</v>
      </c>
      <c r="AJ35">
        <v>60</v>
      </c>
      <c r="AK35" s="1">
        <f>K35/AJ35</f>
        <v>0</v>
      </c>
      <c r="AL35" s="1">
        <f>AK35*(AC35*(AJ35/AE35))</f>
        <v>0</v>
      </c>
      <c r="AM35" s="1">
        <f>8/21</f>
        <v>0.38095238095238093</v>
      </c>
      <c r="AN35" s="1">
        <f>(1/3)+(5/17)*2+(2/7)*3</f>
        <v>1.7787114845938374</v>
      </c>
      <c r="AO35" s="1">
        <f>IF(AR35="y",     (X35*10+AB35*6+AG35+AI35+AL35+(J35*0.7+L35*0.02+M35-N35*0.5+O35+P35*0.5-Q35*1.5)/E35)*(AP35/90)+(AM35-AVERAGE($AM$2:$AM$42))*10,      (X35*10+AB35*6+AG35+AI35+AL35+(J35*0.7+L35*0.02+M35-N35*0.5+O35+P35*0.5-Q35*1.5)/E35)*(AQ35/90)+(AM35-AVERAGE($AM$2:$AM$42))*10)</f>
        <v>0.36506123957343345</v>
      </c>
      <c r="AP35">
        <v>90</v>
      </c>
      <c r="AQ35">
        <v>0</v>
      </c>
      <c r="AR35" t="s">
        <v>64</v>
      </c>
    </row>
    <row r="36" spans="1:44" x14ac:dyDescent="0.2">
      <c r="A36" t="s">
        <v>61</v>
      </c>
      <c r="B36" t="s">
        <v>63</v>
      </c>
      <c r="C36" t="s">
        <v>89</v>
      </c>
      <c r="D36">
        <v>3000</v>
      </c>
      <c r="E36" s="1">
        <v>0.74444444444444446</v>
      </c>
      <c r="F36">
        <v>0</v>
      </c>
      <c r="G36">
        <v>0</v>
      </c>
      <c r="H36">
        <v>1</v>
      </c>
      <c r="I36">
        <v>1</v>
      </c>
      <c r="J36">
        <v>1</v>
      </c>
      <c r="K36">
        <v>0</v>
      </c>
      <c r="L36">
        <v>17</v>
      </c>
      <c r="M36">
        <v>1</v>
      </c>
      <c r="N36">
        <v>1</v>
      </c>
      <c r="O36">
        <v>1</v>
      </c>
      <c r="P36">
        <v>0</v>
      </c>
      <c r="Q36">
        <v>0</v>
      </c>
      <c r="R36">
        <v>0</v>
      </c>
      <c r="S36" s="1">
        <f>(H36+I36+J36*0.7+K36+L36*0.02+M36-N36*0.5+O36+P36*0.5)/E36</f>
        <v>6.098507462686567</v>
      </c>
      <c r="T36" s="1">
        <f>(F36*10+G36*6+H36+I36+J36*0.7+K36+L36*0.02+M36-N36*0.5+O36+P36*0.5-Q36*1.5-R36*6)/E36</f>
        <v>6.098507462686567</v>
      </c>
      <c r="U36">
        <v>0.1</v>
      </c>
      <c r="V36">
        <v>10.1</v>
      </c>
      <c r="W36" s="1">
        <f>U36/V36</f>
        <v>9.9009900990099011E-3</v>
      </c>
      <c r="X36" s="1">
        <f>W36*AN36</f>
        <v>1.8118811881188121E-2</v>
      </c>
      <c r="Y36">
        <v>0</v>
      </c>
      <c r="Z36">
        <v>8</v>
      </c>
      <c r="AA36" s="1">
        <f>Y36/Z36</f>
        <v>0</v>
      </c>
      <c r="AB36" s="1">
        <f>AA36*AN36</f>
        <v>0</v>
      </c>
      <c r="AC36" s="2">
        <v>11.3890248574686</v>
      </c>
      <c r="AD36" s="2">
        <v>3.86087942668185</v>
      </c>
      <c r="AE36">
        <v>56</v>
      </c>
      <c r="AF36" s="1">
        <f>H36/AE36</f>
        <v>1.7857142857142856E-2</v>
      </c>
      <c r="AG36" s="1">
        <f>AC36*AF36</f>
        <v>0.20337544388336784</v>
      </c>
      <c r="AH36" s="1">
        <f>IF(H36&gt;0, I36/H36, 0)</f>
        <v>1</v>
      </c>
      <c r="AI36" s="1">
        <f>AG36*AH36</f>
        <v>0.20337544388336784</v>
      </c>
      <c r="AJ36">
        <v>38</v>
      </c>
      <c r="AK36" s="1">
        <f>K36/AJ36</f>
        <v>0</v>
      </c>
      <c r="AL36" s="1">
        <f>AK36*(AC36*(AJ36/AE36))</f>
        <v>0</v>
      </c>
      <c r="AM36" s="1">
        <f>29/(29+48)</f>
        <v>0.37662337662337664</v>
      </c>
      <c r="AN36">
        <v>1.83</v>
      </c>
      <c r="AO36" s="1">
        <f>IF(AR36="y",     (X36*10+AB36*6+AG36+AI36+AL36+(J36*0.7+L36*0.02+M36-N36*0.5+O36+P36*0.5-Q36*1.5)/E36)*(AP36/90)+(AM36-AVERAGE($AM$2:$AM$42))*10,      (X36*10+AB36*6+AG36+AI36+AL36+(J36*0.7+L36*0.02+M36-N36*0.5+O36+P36*0.5-Q36*1.5)/E36)*(AQ36/90)+(AM36-AVERAGE($AM$2:$AM$42))*10)</f>
        <v>0.11010050645292646</v>
      </c>
      <c r="AP36">
        <v>55</v>
      </c>
      <c r="AQ36">
        <f>12/4</f>
        <v>3</v>
      </c>
    </row>
    <row r="37" spans="1:44" x14ac:dyDescent="0.2">
      <c r="A37" t="s">
        <v>81</v>
      </c>
      <c r="B37" t="s">
        <v>87</v>
      </c>
      <c r="C37" t="s">
        <v>89</v>
      </c>
      <c r="D37">
        <v>5200</v>
      </c>
      <c r="E37" s="1">
        <v>0.12222222222222222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11</v>
      </c>
      <c r="M37">
        <v>0</v>
      </c>
      <c r="N37">
        <v>1</v>
      </c>
      <c r="O37">
        <v>0</v>
      </c>
      <c r="P37">
        <v>1</v>
      </c>
      <c r="Q37">
        <v>0</v>
      </c>
      <c r="R37">
        <v>0</v>
      </c>
      <c r="S37" s="1">
        <f>(H37+I37+J37*0.7+K37+L37*0.02+M37-N37*0.5+O37+P37*0.5)/E37</f>
        <v>9.9818181818181824</v>
      </c>
      <c r="T37" s="1">
        <f>(F37*10+G37*6+H37+I37+J37*0.7+K37+L37*0.02+M37-N37*0.5+O37+P37*0.5-Q37*1.5-R37*6)/E37</f>
        <v>9.9818181818181824</v>
      </c>
      <c r="U37">
        <v>0.1</v>
      </c>
      <c r="V37">
        <v>9.6</v>
      </c>
      <c r="W37" s="1">
        <f>U37/V37</f>
        <v>1.0416666666666668E-2</v>
      </c>
      <c r="X37" s="1">
        <f>W37*AN37</f>
        <v>1.8528244631185808E-2</v>
      </c>
      <c r="Y37">
        <v>0</v>
      </c>
      <c r="Z37">
        <v>7.8</v>
      </c>
      <c r="AA37" s="1">
        <f>Y37/Z37</f>
        <v>0</v>
      </c>
      <c r="AB37" s="1">
        <f>AA37*AN37</f>
        <v>0</v>
      </c>
      <c r="AC37" s="2">
        <v>12.4845213998363</v>
      </c>
      <c r="AD37" s="2">
        <v>5.1561073381324301</v>
      </c>
      <c r="AE37">
        <v>79</v>
      </c>
      <c r="AF37" s="1">
        <f>H37/AE37</f>
        <v>1.2658227848101266E-2</v>
      </c>
      <c r="AG37" s="1">
        <f>AC37*AF37</f>
        <v>0.15803191645362405</v>
      </c>
      <c r="AH37" s="1">
        <f>IF(H37&gt;0, I37/H37, 0)</f>
        <v>0</v>
      </c>
      <c r="AI37" s="1">
        <f>AG37*AH37</f>
        <v>0</v>
      </c>
      <c r="AJ37">
        <v>60</v>
      </c>
      <c r="AK37" s="1">
        <f>K37/AJ37</f>
        <v>0</v>
      </c>
      <c r="AL37" s="1">
        <f>AK37*(AC37*(AJ37/AE37))</f>
        <v>0</v>
      </c>
      <c r="AM37" s="1">
        <f>8/21</f>
        <v>0.38095238095238093</v>
      </c>
      <c r="AN37" s="1">
        <f>(1/3)+(5/17)*2+(2/7)*3</f>
        <v>1.7787114845938374</v>
      </c>
      <c r="AO37" s="1">
        <f>IF(AR37="y",     (X37*10+AB37*6+AG37+AI37+AL37+(J37*0.7+L37*0.02+M37-N37*0.5+O37+P37*0.5-Q37*1.5)/E37)*(AP37/90)+(AM37-AVERAGE($AM$2:$AM$42))*10,      (X37*10+AB37*6+AG37+AI37+AL37+(J37*0.7+L37*0.02+M37-N37*0.5+O37+P37*0.5-Q37*1.5)/E37)*(AQ37/90)+(AM37-AVERAGE($AM$2:$AM$42))*10)</f>
        <v>7.2453368441034088E-2</v>
      </c>
      <c r="AQ37">
        <f>11/5</f>
        <v>2.2000000000000002</v>
      </c>
    </row>
    <row r="38" spans="1:44" x14ac:dyDescent="0.2">
      <c r="A38" t="s">
        <v>69</v>
      </c>
      <c r="B38" t="s">
        <v>87</v>
      </c>
      <c r="C38" t="s">
        <v>91</v>
      </c>
      <c r="D38">
        <v>3400</v>
      </c>
      <c r="E38" s="1">
        <v>0.42222222222222222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 s="1">
        <f>(H38+I38+J38*0.7+K38+L38*0.02+M38-N38*0.5+O38+P38*0.5)/E38</f>
        <v>2.8894736842105262</v>
      </c>
      <c r="T38" s="1">
        <f>(F38*10+G38*6+H38+I38+J38*0.7+K38+L38*0.02+M38-N38*0.5+O38+P38*0.5-Q38*1.5-R38*6)/E38</f>
        <v>2.8894736842105262</v>
      </c>
      <c r="U38">
        <v>0</v>
      </c>
      <c r="V38">
        <v>9.6</v>
      </c>
      <c r="W38" s="1">
        <f>U38/V38</f>
        <v>0</v>
      </c>
      <c r="X38" s="1">
        <f>W38*AN38</f>
        <v>0</v>
      </c>
      <c r="Y38">
        <v>0</v>
      </c>
      <c r="Z38">
        <v>7.8</v>
      </c>
      <c r="AA38" s="1">
        <f>Y38/Z38</f>
        <v>0</v>
      </c>
      <c r="AB38" s="1">
        <f>AA38*AN38</f>
        <v>0</v>
      </c>
      <c r="AC38" s="2">
        <v>12.4845213998363</v>
      </c>
      <c r="AD38" s="2">
        <v>5.1561073381324301</v>
      </c>
      <c r="AE38">
        <v>79</v>
      </c>
      <c r="AF38" s="1">
        <f>H38/AE38</f>
        <v>0</v>
      </c>
      <c r="AG38" s="1">
        <f>AC38*AF38</f>
        <v>0</v>
      </c>
      <c r="AH38" s="1">
        <f>IF(H38&gt;0, I38/H38, 0)</f>
        <v>0</v>
      </c>
      <c r="AI38" s="1">
        <f>AG38*AH38</f>
        <v>0</v>
      </c>
      <c r="AJ38">
        <v>60</v>
      </c>
      <c r="AK38" s="1">
        <f>K38/AJ38</f>
        <v>0</v>
      </c>
      <c r="AL38" s="1">
        <f>AK38*(AC38*(AJ38/AE38))</f>
        <v>0</v>
      </c>
      <c r="AM38" s="1">
        <f>8/21</f>
        <v>0.38095238095238093</v>
      </c>
      <c r="AN38" s="1">
        <f>(1/3)+(5/17)*2+(2/7)*3</f>
        <v>1.7787114845938374</v>
      </c>
      <c r="AO38" s="1">
        <f>IF(AR38="y",     (X38*10+AB38*6+AG38+AI38+AL38+(J38*0.7+L38*0.02+M38-N38*0.5+O38+P38*0.5-Q38*1.5)/E38)*(AP38/90)+(AM38-AVERAGE($AM$2:$AM$42))*10,      (X38*10+AB38*6+AG38+AI38+AL38+(J38*0.7+L38*0.02+M38-N38*0.5+O38+P38*0.5-Q38*1.5)/E38)*(AQ38/90)+(AM38-AVERAGE($AM$2:$AM$42))*10)</f>
        <v>2.006123957343342E-2</v>
      </c>
      <c r="AP38">
        <v>38</v>
      </c>
      <c r="AQ38">
        <v>0</v>
      </c>
    </row>
    <row r="39" spans="1:44" x14ac:dyDescent="0.2">
      <c r="A39" t="s">
        <v>65</v>
      </c>
      <c r="B39" t="s">
        <v>87</v>
      </c>
      <c r="C39" t="s">
        <v>91</v>
      </c>
      <c r="D39">
        <v>3000</v>
      </c>
      <c r="E39" s="1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32</v>
      </c>
      <c r="M39">
        <v>1</v>
      </c>
      <c r="N39">
        <v>4</v>
      </c>
      <c r="O39">
        <v>0</v>
      </c>
      <c r="P39">
        <v>3</v>
      </c>
      <c r="Q39">
        <v>1</v>
      </c>
      <c r="R39">
        <v>0</v>
      </c>
      <c r="S39" s="1">
        <f>(H39+I39+J39*0.7+K39+L39*0.02+M39-N39*0.5+O39+P39*0.5)/E39</f>
        <v>1.1400000000000001</v>
      </c>
      <c r="T39" s="1">
        <f>(F39*10+G39*6+H39+I39+J39*0.7+K39+L39*0.02+M39-N39*0.5+O39+P39*0.5-Q39*1.5-R39*6)/E39</f>
        <v>-0.35999999999999988</v>
      </c>
      <c r="U39">
        <v>0</v>
      </c>
      <c r="V39">
        <v>9.6</v>
      </c>
      <c r="W39" s="1">
        <f>U39/V39</f>
        <v>0</v>
      </c>
      <c r="X39" s="1">
        <f>W39*AN39</f>
        <v>0</v>
      </c>
      <c r="Y39">
        <v>0</v>
      </c>
      <c r="Z39">
        <v>7.8</v>
      </c>
      <c r="AA39" s="1">
        <f>Y39/Z39</f>
        <v>0</v>
      </c>
      <c r="AB39" s="1">
        <f>AA39*AN39</f>
        <v>0</v>
      </c>
      <c r="AC39" s="2">
        <v>12.4845213998363</v>
      </c>
      <c r="AD39" s="2">
        <v>5.1561073381324301</v>
      </c>
      <c r="AE39">
        <v>79</v>
      </c>
      <c r="AF39" s="1">
        <f>H39/AE39</f>
        <v>0</v>
      </c>
      <c r="AG39" s="1">
        <f>AC39*AF39</f>
        <v>0</v>
      </c>
      <c r="AH39" s="1">
        <f>IF(H39&gt;0, I39/H39, 0)</f>
        <v>0</v>
      </c>
      <c r="AI39" s="1">
        <f>AG39*AH39</f>
        <v>0</v>
      </c>
      <c r="AJ39">
        <v>60</v>
      </c>
      <c r="AK39" s="1">
        <f>K39/AJ39</f>
        <v>0</v>
      </c>
      <c r="AL39" s="1">
        <f>AK39*(AC39*(AJ39/AE39))</f>
        <v>0</v>
      </c>
      <c r="AM39" s="1">
        <f>8/21</f>
        <v>0.38095238095238093</v>
      </c>
      <c r="AN39" s="1">
        <f>(1/3)+(5/17)*2+(2/7)*3</f>
        <v>1.7787114845938374</v>
      </c>
      <c r="AO39" s="1">
        <f>IF(AR39="y",     (X39*10+AB39*6+AG39+AI39+AL39+(J39*0.7+L39*0.02+M39-N39*0.5+O39+P39*0.5-Q39*1.5)/E39)*(AP39/90)+(AM39-AVERAGE($AM$2:$AM$42))*10,      (X39*10+AB39*6+AG39+AI39+AL39+(J39*0.7+L39*0.02+M39-N39*0.5+O39+P39*0.5-Q39*1.5)/E39)*(AQ39/90)+(AM39-AVERAGE($AM$2:$AM$42))*10)</f>
        <v>2.006123957343342E-2</v>
      </c>
      <c r="AP39">
        <v>90</v>
      </c>
      <c r="AQ39">
        <v>0</v>
      </c>
    </row>
    <row r="40" spans="1:44" x14ac:dyDescent="0.2">
      <c r="A40" t="s">
        <v>66</v>
      </c>
      <c r="B40" t="s">
        <v>87</v>
      </c>
      <c r="C40" t="s">
        <v>91</v>
      </c>
      <c r="D40">
        <v>3000</v>
      </c>
      <c r="E40" s="1">
        <v>0.5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37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">
        <f>(H40+I40+J40*0.7+K40+L40*0.02+M40-N40*0.5+O40+P40*0.5)/E40</f>
        <v>3.48</v>
      </c>
      <c r="T40" s="1">
        <f>(F40*10+G40*6+H40+I40+J40*0.7+K40+L40*0.02+M40-N40*0.5+O40+P40*0.5-Q40*1.5-R40*6)/E40</f>
        <v>3.48</v>
      </c>
      <c r="U40">
        <v>0</v>
      </c>
      <c r="V40">
        <v>9.6</v>
      </c>
      <c r="W40" s="1">
        <f>U40/V40</f>
        <v>0</v>
      </c>
      <c r="X40" s="1">
        <f>W40*AN40</f>
        <v>0</v>
      </c>
      <c r="Y40">
        <v>0</v>
      </c>
      <c r="Z40">
        <v>7.8</v>
      </c>
      <c r="AA40" s="1">
        <f>Y40/Z40</f>
        <v>0</v>
      </c>
      <c r="AB40" s="1">
        <f>AA40*AN40</f>
        <v>0</v>
      </c>
      <c r="AC40" s="2">
        <v>12.4845213998363</v>
      </c>
      <c r="AD40" s="2">
        <v>5.1561073381324301</v>
      </c>
      <c r="AE40">
        <v>79</v>
      </c>
      <c r="AF40" s="1">
        <f>H40/AE40</f>
        <v>1.2658227848101266E-2</v>
      </c>
      <c r="AG40" s="1">
        <f>AC40*AF40</f>
        <v>0.15803191645362405</v>
      </c>
      <c r="AH40" s="1">
        <f>IF(H40&gt;0, I40/H40, 0)</f>
        <v>0</v>
      </c>
      <c r="AI40" s="1">
        <f>AG40*AH40</f>
        <v>0</v>
      </c>
      <c r="AJ40">
        <v>60</v>
      </c>
      <c r="AK40" s="1">
        <f>K40/AJ40</f>
        <v>0</v>
      </c>
      <c r="AL40" s="1">
        <f>AK40*(AC40*(AJ40/AE40))</f>
        <v>0</v>
      </c>
      <c r="AM40" s="1">
        <f>8/21</f>
        <v>0.38095238095238093</v>
      </c>
      <c r="AN40" s="1">
        <f>(1/3)+(5/17)*2+(2/7)*3</f>
        <v>1.7787114845938374</v>
      </c>
      <c r="AO40" s="1">
        <f>IF(AR40="y",     (X40*10+AB40*6+AG40+AI40+AL40+(J40*0.7+L40*0.02+M40-N40*0.5+O40+P40*0.5-Q40*1.5)/E40)*(AP40/90)+(AM40-AVERAGE($AM$2:$AM$42))*10,      (X40*10+AB40*6+AG40+AI40+AL40+(J40*0.7+L40*0.02+M40-N40*0.5+O40+P40*0.5-Q40*1.5)/E40)*(AQ40/90)+(AM40-AVERAGE($AM$2:$AM$42))*10)</f>
        <v>2.006123957343342E-2</v>
      </c>
      <c r="AP40">
        <v>45</v>
      </c>
      <c r="AQ40">
        <v>0</v>
      </c>
    </row>
    <row r="41" spans="1:44" x14ac:dyDescent="0.2">
      <c r="A41" t="s">
        <v>62</v>
      </c>
      <c r="B41" t="s">
        <v>63</v>
      </c>
      <c r="C41" t="s">
        <v>89</v>
      </c>
      <c r="D41">
        <v>3600</v>
      </c>
      <c r="E41" s="1">
        <v>6.6666666666666666E-2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7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">
        <f>(H41+I41+J41*0.7+K41+L41*0.02+M41-N41*0.5+O41+P41*0.5)/E41</f>
        <v>2.1</v>
      </c>
      <c r="T41" s="1">
        <f>(F41*10+G41*6+H41+I41+J41*0.7+K41+L41*0.02+M41-N41*0.5+O41+P41*0.5-Q41*1.5-R41*6)/E41</f>
        <v>2.1</v>
      </c>
      <c r="U41">
        <v>0</v>
      </c>
      <c r="V41">
        <v>10.1</v>
      </c>
      <c r="W41" s="1">
        <f>U41/V41</f>
        <v>0</v>
      </c>
      <c r="X41" s="1">
        <f>W41*AN41</f>
        <v>0</v>
      </c>
      <c r="Y41">
        <v>0</v>
      </c>
      <c r="Z41">
        <v>8</v>
      </c>
      <c r="AA41" s="1">
        <f>Y41/Z41</f>
        <v>0</v>
      </c>
      <c r="AB41" s="1">
        <f>AA41*AN41</f>
        <v>0</v>
      </c>
      <c r="AC41" s="2">
        <v>11.3890248574686</v>
      </c>
      <c r="AD41" s="2">
        <v>3.86087942668185</v>
      </c>
      <c r="AE41">
        <v>56</v>
      </c>
      <c r="AF41" s="1">
        <f>H41/AE41</f>
        <v>0</v>
      </c>
      <c r="AG41" s="1">
        <f>AC41*AF41</f>
        <v>0</v>
      </c>
      <c r="AH41" s="1">
        <f>IF(H41&gt;0, I41/H41, 0)</f>
        <v>0</v>
      </c>
      <c r="AI41" s="1">
        <f>AG41*AH41</f>
        <v>0</v>
      </c>
      <c r="AJ41">
        <v>38</v>
      </c>
      <c r="AK41" s="1">
        <f>K41/AJ41</f>
        <v>0</v>
      </c>
      <c r="AL41" s="1">
        <f>AK41*(AC41*(AJ41/AE41))</f>
        <v>0</v>
      </c>
      <c r="AM41" s="1">
        <f>29/(29+48)</f>
        <v>0.37662337662337664</v>
      </c>
      <c r="AN41">
        <v>1.83</v>
      </c>
      <c r="AO41" s="1">
        <f>IF(AR41="y",     (X41*10+AB41*6+AG41+AI41+AL41+(J41*0.7+L41*0.02+M41-N41*0.5+O41+P41*0.5-Q41*1.5)/E41)*(AP41/90)+(AM41-AVERAGE($AM$2:$AM$42))*10,      (X41*10+AB41*6+AG41+AI41+AL41+(J41*0.7+L41*0.02+M41-N41*0.5+O41+P41*0.5-Q41*1.5)/E41)*(AQ41/90)+(AM41-AVERAGE($AM$2:$AM$42))*10)</f>
        <v>4.7711962833904865E-3</v>
      </c>
      <c r="AQ41">
        <f>6/5</f>
        <v>1.2</v>
      </c>
    </row>
    <row r="42" spans="1:44" x14ac:dyDescent="0.2">
      <c r="A42" t="s">
        <v>45</v>
      </c>
      <c r="B42" t="s">
        <v>63</v>
      </c>
      <c r="C42" t="s">
        <v>89</v>
      </c>
      <c r="D42">
        <v>3200</v>
      </c>
      <c r="E42" s="1">
        <v>2</v>
      </c>
      <c r="F42">
        <v>0</v>
      </c>
      <c r="G42">
        <v>0</v>
      </c>
      <c r="H42">
        <v>2</v>
      </c>
      <c r="I42">
        <v>0</v>
      </c>
      <c r="J42">
        <v>0</v>
      </c>
      <c r="K42">
        <v>0</v>
      </c>
      <c r="L42">
        <v>91</v>
      </c>
      <c r="M42">
        <v>1</v>
      </c>
      <c r="N42">
        <v>3</v>
      </c>
      <c r="O42">
        <v>6</v>
      </c>
      <c r="P42">
        <v>4</v>
      </c>
      <c r="Q42">
        <v>0</v>
      </c>
      <c r="R42">
        <v>0</v>
      </c>
      <c r="S42" s="1">
        <f>(H42+I42+J42*0.7+K42+L42*0.02+M42-N42*0.5+O42+P42*0.5)/E42</f>
        <v>5.66</v>
      </c>
      <c r="T42" s="1">
        <f>(F42*10+G42*6+H42+I42+J42*0.7+K42+L42*0.02+M42-N42*0.5+O42+P42*0.5-Q42*1.5-R42*6)/E42</f>
        <v>5.66</v>
      </c>
      <c r="U42">
        <v>0.1</v>
      </c>
      <c r="V42">
        <v>10.1</v>
      </c>
      <c r="W42" s="1">
        <f>U42/V42</f>
        <v>9.9009900990099011E-3</v>
      </c>
      <c r="X42" s="1">
        <f>W42*AN42</f>
        <v>1.8118811881188121E-2</v>
      </c>
      <c r="Y42">
        <v>0</v>
      </c>
      <c r="Z42">
        <v>8</v>
      </c>
      <c r="AA42" s="1">
        <f>Y42/Z42</f>
        <v>0</v>
      </c>
      <c r="AB42" s="1">
        <f>AA42*AN42</f>
        <v>0</v>
      </c>
      <c r="AC42" s="2">
        <v>11.3890248574686</v>
      </c>
      <c r="AD42" s="2">
        <v>3.86087942668185</v>
      </c>
      <c r="AE42">
        <v>56</v>
      </c>
      <c r="AF42" s="1">
        <f>H42/AE42</f>
        <v>3.5714285714285712E-2</v>
      </c>
      <c r="AG42" s="1">
        <f>AC42*AF42</f>
        <v>0.40675088776673568</v>
      </c>
      <c r="AH42" s="1">
        <f>IF(H42&gt;0, I42/H42, 0)</f>
        <v>0</v>
      </c>
      <c r="AI42" s="1">
        <f>AG42*AH42</f>
        <v>0</v>
      </c>
      <c r="AJ42">
        <v>38</v>
      </c>
      <c r="AK42" s="1">
        <f>K42/AJ42</f>
        <v>0</v>
      </c>
      <c r="AL42" s="1">
        <f>AK42*(AC42*(AJ42/AE42))</f>
        <v>0</v>
      </c>
      <c r="AM42" s="1">
        <f>29/(29+48)</f>
        <v>0.37662337662337664</v>
      </c>
      <c r="AN42">
        <v>1.83</v>
      </c>
      <c r="AO42" s="1">
        <f>IF(AR42="y",     (X42*10+AB42*6+AG42+AI42+AL42+(J42*0.7+L42*0.02+M42-N42*0.5+O42+P42*0.5-Q42*1.5)/E42)*(AP42/90)+(AM42-AVERAGE($AM$2:$AM$42))*10,      (X42*10+AB42*6+AG42+AI42+AL42+(J42*0.7+L42*0.02+M42-N42*0.5+O42+P42*0.5-Q42*1.5)/E42)*(AQ42/90)+(AM42-AVERAGE($AM$2:$AM$42))*10)</f>
        <v>-2.3228803716609514E-2</v>
      </c>
      <c r="AP42">
        <v>90</v>
      </c>
      <c r="AQ42">
        <v>0</v>
      </c>
    </row>
  </sheetData>
  <sortState xmlns:xlrd2="http://schemas.microsoft.com/office/spreadsheetml/2017/richdata2" ref="A2:AR42">
    <sortCondition descending="1" ref="AO2:AO42"/>
  </sortState>
  <conditionalFormatting sqref="S2:S42">
    <cfRule type="colorScale" priority="7">
      <colorScale>
        <cfvo type="min"/>
        <cfvo type="max"/>
        <color rgb="FFFCFCFF"/>
        <color rgb="FF63BE7B"/>
      </colorScale>
    </cfRule>
  </conditionalFormatting>
  <conditionalFormatting sqref="T2:T42">
    <cfRule type="colorScale" priority="6">
      <colorScale>
        <cfvo type="min"/>
        <cfvo type="max"/>
        <color rgb="FFFCFCFF"/>
        <color rgb="FF63BE7B"/>
      </colorScale>
    </cfRule>
  </conditionalFormatting>
  <conditionalFormatting sqref="X2:X42">
    <cfRule type="colorScale" priority="5">
      <colorScale>
        <cfvo type="min"/>
        <cfvo type="max"/>
        <color rgb="FFFCFCFF"/>
        <color rgb="FF63BE7B"/>
      </colorScale>
    </cfRule>
  </conditionalFormatting>
  <conditionalFormatting sqref="AB2:AB42">
    <cfRule type="colorScale" priority="4">
      <colorScale>
        <cfvo type="min"/>
        <cfvo type="max"/>
        <color rgb="FFFCFCFF"/>
        <color rgb="FF63BE7B"/>
      </colorScale>
    </cfRule>
  </conditionalFormatting>
  <conditionalFormatting sqref="AG2:AG42 AI2:AI42">
    <cfRule type="colorScale" priority="3">
      <colorScale>
        <cfvo type="min"/>
        <cfvo type="max"/>
        <color rgb="FFFCFCFF"/>
        <color rgb="FF63BE7B"/>
      </colorScale>
    </cfRule>
  </conditionalFormatting>
  <conditionalFormatting sqref="AL2:AL42">
    <cfRule type="colorScale" priority="2">
      <colorScale>
        <cfvo type="min"/>
        <cfvo type="max"/>
        <color rgb="FFFCFCFF"/>
        <color rgb="FF63BE7B"/>
      </colorScale>
    </cfRule>
  </conditionalFormatting>
  <conditionalFormatting sqref="AO2:AO4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2020-09-18T15:32:00Z</dcterms:created>
  <dcterms:modified xsi:type="dcterms:W3CDTF">2020-09-18T16:33:47Z</dcterms:modified>
</cp:coreProperties>
</file>