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dywood/Documents/SportsStats/DraftKings/Matchup_Spreadsheets/"/>
    </mc:Choice>
  </mc:AlternateContent>
  <xr:revisionPtr revIDLastSave="0" documentId="13_ncr:1_{A270D8F0-9A64-AC4C-969E-36DDD52E9E95}" xr6:coauthVersionLast="45" xr6:coauthVersionMax="45" xr10:uidLastSave="{00000000-0000-0000-0000-000000000000}"/>
  <bookViews>
    <workbookView xWindow="-38400" yWindow="0" windowWidth="38400" windowHeight="21600" xr2:uid="{DAA78839-07C5-5F40-A8AA-964CF6C607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P22" i="1" l="1"/>
  <c r="AP31" i="1"/>
  <c r="AQ20" i="1"/>
  <c r="AQ35" i="1"/>
  <c r="AP36" i="1"/>
  <c r="AP30" i="1"/>
  <c r="AP34" i="1"/>
  <c r="AP10" i="1"/>
  <c r="AQ32" i="1"/>
  <c r="AQ25" i="1"/>
  <c r="AP8" i="1"/>
  <c r="AP13" i="1"/>
  <c r="AQ18" i="1"/>
  <c r="AQ24" i="1"/>
  <c r="AP3" i="1"/>
  <c r="AQ21" i="1"/>
  <c r="AP2" i="1"/>
  <c r="AP4" i="1"/>
  <c r="AQ15" i="1"/>
  <c r="AP15" i="1"/>
  <c r="AP6" i="1"/>
  <c r="AP5" i="1"/>
  <c r="AQ26" i="1"/>
  <c r="AQ17" i="1"/>
  <c r="AK16" i="1"/>
  <c r="AL16" i="1" s="1"/>
  <c r="AK28" i="1"/>
  <c r="AL28" i="1" s="1"/>
  <c r="AK11" i="1"/>
  <c r="AL11" i="1" s="1"/>
  <c r="AK32" i="1"/>
  <c r="AL32" i="1" s="1"/>
  <c r="AK10" i="1"/>
  <c r="AL10" i="1" s="1"/>
  <c r="AK34" i="1"/>
  <c r="AL34" i="1" s="1"/>
  <c r="AK14" i="1"/>
  <c r="AL14" i="1" s="1"/>
  <c r="AK37" i="1"/>
  <c r="AL37" i="1" s="1"/>
  <c r="AK33" i="1"/>
  <c r="AL33" i="1" s="1"/>
  <c r="AK30" i="1"/>
  <c r="AL30" i="1" s="1"/>
  <c r="AK23" i="1"/>
  <c r="AL23" i="1" s="1"/>
  <c r="AK36" i="1"/>
  <c r="AL36" i="1" s="1"/>
  <c r="AK29" i="1"/>
  <c r="AL29" i="1" s="1"/>
  <c r="AK35" i="1"/>
  <c r="AL35" i="1" s="1"/>
  <c r="AK9" i="1"/>
  <c r="AL9" i="1" s="1"/>
  <c r="AK20" i="1"/>
  <c r="AL20" i="1" s="1"/>
  <c r="AK31" i="1"/>
  <c r="AL31" i="1" s="1"/>
  <c r="AK22" i="1"/>
  <c r="AL22" i="1" s="1"/>
  <c r="AF16" i="1"/>
  <c r="AG16" i="1" s="1"/>
  <c r="AH16" i="1"/>
  <c r="AF28" i="1"/>
  <c r="AG28" i="1" s="1"/>
  <c r="AH28" i="1"/>
  <c r="AF11" i="1"/>
  <c r="AG11" i="1" s="1"/>
  <c r="AH11" i="1"/>
  <c r="AF32" i="1"/>
  <c r="AG32" i="1" s="1"/>
  <c r="AH32" i="1"/>
  <c r="AF10" i="1"/>
  <c r="AG10" i="1" s="1"/>
  <c r="AI10" i="1" s="1"/>
  <c r="AH10" i="1"/>
  <c r="AF34" i="1"/>
  <c r="AG34" i="1" s="1"/>
  <c r="AH34" i="1"/>
  <c r="AF14" i="1"/>
  <c r="AG14" i="1" s="1"/>
  <c r="AI14" i="1" s="1"/>
  <c r="AH14" i="1"/>
  <c r="AF37" i="1"/>
  <c r="AG37" i="1" s="1"/>
  <c r="AI37" i="1" s="1"/>
  <c r="AH37" i="1"/>
  <c r="AF33" i="1"/>
  <c r="AG33" i="1" s="1"/>
  <c r="AH33" i="1"/>
  <c r="AF30" i="1"/>
  <c r="AG30" i="1" s="1"/>
  <c r="AH30" i="1"/>
  <c r="AF23" i="1"/>
  <c r="AG23" i="1" s="1"/>
  <c r="AH23" i="1"/>
  <c r="AF36" i="1"/>
  <c r="AG36" i="1" s="1"/>
  <c r="AH36" i="1"/>
  <c r="AF29" i="1"/>
  <c r="AG29" i="1" s="1"/>
  <c r="AH29" i="1"/>
  <c r="AF35" i="1"/>
  <c r="AG35" i="1" s="1"/>
  <c r="AH35" i="1"/>
  <c r="AF9" i="1"/>
  <c r="AG9" i="1" s="1"/>
  <c r="AH9" i="1"/>
  <c r="AF20" i="1"/>
  <c r="AG20" i="1" s="1"/>
  <c r="AH20" i="1"/>
  <c r="AF31" i="1"/>
  <c r="AG31" i="1" s="1"/>
  <c r="AH31" i="1"/>
  <c r="AF22" i="1"/>
  <c r="AG22" i="1" s="1"/>
  <c r="AH22" i="1"/>
  <c r="AA16" i="1"/>
  <c r="AA28" i="1"/>
  <c r="AA11" i="1"/>
  <c r="AA32" i="1"/>
  <c r="AA10" i="1"/>
  <c r="AA34" i="1"/>
  <c r="AA14" i="1"/>
  <c r="AA37" i="1"/>
  <c r="AA33" i="1"/>
  <c r="AA30" i="1"/>
  <c r="AA23" i="1"/>
  <c r="AA36" i="1"/>
  <c r="AA29" i="1"/>
  <c r="AA35" i="1"/>
  <c r="AA9" i="1"/>
  <c r="AA20" i="1"/>
  <c r="AA31" i="1"/>
  <c r="AA22" i="1"/>
  <c r="W16" i="1"/>
  <c r="W28" i="1"/>
  <c r="W11" i="1"/>
  <c r="W32" i="1"/>
  <c r="W10" i="1"/>
  <c r="W34" i="1"/>
  <c r="W14" i="1"/>
  <c r="W37" i="1"/>
  <c r="X37" i="1" s="1"/>
  <c r="W33" i="1"/>
  <c r="W30" i="1"/>
  <c r="W23" i="1"/>
  <c r="W36" i="1"/>
  <c r="W29" i="1"/>
  <c r="W35" i="1"/>
  <c r="W9" i="1"/>
  <c r="W20" i="1"/>
  <c r="W31" i="1"/>
  <c r="W22" i="1"/>
  <c r="S16" i="1"/>
  <c r="T16" i="1"/>
  <c r="S28" i="1"/>
  <c r="T28" i="1"/>
  <c r="S11" i="1"/>
  <c r="T11" i="1"/>
  <c r="S32" i="1"/>
  <c r="T32" i="1"/>
  <c r="S10" i="1"/>
  <c r="T10" i="1"/>
  <c r="S34" i="1"/>
  <c r="T34" i="1"/>
  <c r="S14" i="1"/>
  <c r="T14" i="1"/>
  <c r="S37" i="1"/>
  <c r="T37" i="1"/>
  <c r="S33" i="1"/>
  <c r="T33" i="1"/>
  <c r="S30" i="1"/>
  <c r="T30" i="1"/>
  <c r="S23" i="1"/>
  <c r="T23" i="1"/>
  <c r="S36" i="1"/>
  <c r="T36" i="1"/>
  <c r="S29" i="1"/>
  <c r="T29" i="1"/>
  <c r="S35" i="1"/>
  <c r="T35" i="1"/>
  <c r="S9" i="1"/>
  <c r="T9" i="1"/>
  <c r="S20" i="1"/>
  <c r="T20" i="1"/>
  <c r="S31" i="1"/>
  <c r="T31" i="1"/>
  <c r="S22" i="1"/>
  <c r="T22" i="1"/>
  <c r="AM28" i="1"/>
  <c r="AM11" i="1"/>
  <c r="AM32" i="1"/>
  <c r="AM10" i="1"/>
  <c r="AM34" i="1"/>
  <c r="AM14" i="1"/>
  <c r="AM37" i="1"/>
  <c r="AM33" i="1"/>
  <c r="AM30" i="1"/>
  <c r="AM23" i="1"/>
  <c r="AM36" i="1"/>
  <c r="AM29" i="1"/>
  <c r="AM35" i="1"/>
  <c r="AM9" i="1"/>
  <c r="AM20" i="1"/>
  <c r="AM31" i="1"/>
  <c r="AM22" i="1"/>
  <c r="AM16" i="1"/>
  <c r="AN28" i="1"/>
  <c r="AN11" i="1"/>
  <c r="AN32" i="1"/>
  <c r="AN10" i="1"/>
  <c r="AN34" i="1"/>
  <c r="AN14" i="1"/>
  <c r="AN37" i="1"/>
  <c r="AN33" i="1"/>
  <c r="AN30" i="1"/>
  <c r="AN23" i="1"/>
  <c r="AN36" i="1"/>
  <c r="AN29" i="1"/>
  <c r="AN35" i="1"/>
  <c r="AN9" i="1"/>
  <c r="AN20" i="1"/>
  <c r="AN31" i="1"/>
  <c r="AN22" i="1"/>
  <c r="AN16" i="1"/>
  <c r="AK27" i="1"/>
  <c r="AL27" i="1" s="1"/>
  <c r="AK17" i="1"/>
  <c r="AL17" i="1" s="1"/>
  <c r="AK5" i="1"/>
  <c r="AL5" i="1" s="1"/>
  <c r="AK6" i="1"/>
  <c r="AL6" i="1" s="1"/>
  <c r="AK15" i="1"/>
  <c r="AL15" i="1" s="1"/>
  <c r="AK4" i="1"/>
  <c r="AL4" i="1" s="1"/>
  <c r="AK2" i="1"/>
  <c r="AL2" i="1" s="1"/>
  <c r="AK21" i="1"/>
  <c r="AL21" i="1" s="1"/>
  <c r="AK3" i="1"/>
  <c r="AL3" i="1" s="1"/>
  <c r="AK24" i="1"/>
  <c r="AL24" i="1" s="1"/>
  <c r="AK18" i="1"/>
  <c r="AL18" i="1" s="1"/>
  <c r="AK7" i="1"/>
  <c r="AL7" i="1" s="1"/>
  <c r="AK19" i="1"/>
  <c r="AL19" i="1" s="1"/>
  <c r="AK13" i="1"/>
  <c r="AL13" i="1" s="1"/>
  <c r="AK12" i="1"/>
  <c r="AL12" i="1" s="1"/>
  <c r="AK8" i="1"/>
  <c r="AL8" i="1" s="1"/>
  <c r="AK25" i="1"/>
  <c r="AL25" i="1" s="1"/>
  <c r="AK26" i="1"/>
  <c r="AL26" i="1" s="1"/>
  <c r="AF27" i="1"/>
  <c r="AG27" i="1" s="1"/>
  <c r="AH27" i="1"/>
  <c r="AF17" i="1"/>
  <c r="AG17" i="1" s="1"/>
  <c r="AH17" i="1"/>
  <c r="AF5" i="1"/>
  <c r="AG5" i="1" s="1"/>
  <c r="AH5" i="1"/>
  <c r="AF6" i="1"/>
  <c r="AG6" i="1" s="1"/>
  <c r="AH6" i="1"/>
  <c r="AF15" i="1"/>
  <c r="AG15" i="1" s="1"/>
  <c r="AH15" i="1"/>
  <c r="AF4" i="1"/>
  <c r="AG4" i="1" s="1"/>
  <c r="AH4" i="1"/>
  <c r="AF2" i="1"/>
  <c r="AG2" i="1" s="1"/>
  <c r="AH2" i="1"/>
  <c r="AF21" i="1"/>
  <c r="AG21" i="1" s="1"/>
  <c r="AH21" i="1"/>
  <c r="AF3" i="1"/>
  <c r="AG3" i="1" s="1"/>
  <c r="AH3" i="1"/>
  <c r="AF24" i="1"/>
  <c r="AG24" i="1" s="1"/>
  <c r="AH24" i="1"/>
  <c r="AF18" i="1"/>
  <c r="AG18" i="1" s="1"/>
  <c r="AH18" i="1"/>
  <c r="AF7" i="1"/>
  <c r="AG7" i="1" s="1"/>
  <c r="AH7" i="1"/>
  <c r="AF19" i="1"/>
  <c r="AG19" i="1" s="1"/>
  <c r="AH19" i="1"/>
  <c r="AF13" i="1"/>
  <c r="AG13" i="1" s="1"/>
  <c r="AH13" i="1"/>
  <c r="AF12" i="1"/>
  <c r="AG12" i="1" s="1"/>
  <c r="AH12" i="1"/>
  <c r="AF8" i="1"/>
  <c r="AG8" i="1" s="1"/>
  <c r="AH8" i="1"/>
  <c r="AF25" i="1"/>
  <c r="AG25" i="1" s="1"/>
  <c r="AH25" i="1"/>
  <c r="AH26" i="1"/>
  <c r="AF26" i="1"/>
  <c r="AG26" i="1" s="1"/>
  <c r="AA27" i="1"/>
  <c r="AA17" i="1"/>
  <c r="AA5" i="1"/>
  <c r="AA6" i="1"/>
  <c r="AA15" i="1"/>
  <c r="AA4" i="1"/>
  <c r="AA2" i="1"/>
  <c r="AA21" i="1"/>
  <c r="AA3" i="1"/>
  <c r="AA24" i="1"/>
  <c r="AA18" i="1"/>
  <c r="AA7" i="1"/>
  <c r="AA19" i="1"/>
  <c r="AA13" i="1"/>
  <c r="AA12" i="1"/>
  <c r="AA8" i="1"/>
  <c r="AA25" i="1"/>
  <c r="W27" i="1"/>
  <c r="W17" i="1"/>
  <c r="X17" i="1" s="1"/>
  <c r="W5" i="1"/>
  <c r="W6" i="1"/>
  <c r="W15" i="1"/>
  <c r="W4" i="1"/>
  <c r="X4" i="1" s="1"/>
  <c r="W2" i="1"/>
  <c r="W21" i="1"/>
  <c r="W3" i="1"/>
  <c r="W24" i="1"/>
  <c r="X24" i="1" s="1"/>
  <c r="W18" i="1"/>
  <c r="W7" i="1"/>
  <c r="W19" i="1"/>
  <c r="W13" i="1"/>
  <c r="X13" i="1" s="1"/>
  <c r="W12" i="1"/>
  <c r="W8" i="1"/>
  <c r="W25" i="1"/>
  <c r="AA26" i="1"/>
  <c r="AB26" i="1" s="1"/>
  <c r="W26" i="1"/>
  <c r="AN27" i="1"/>
  <c r="AN17" i="1"/>
  <c r="AN5" i="1"/>
  <c r="AN6" i="1"/>
  <c r="AB6" i="1" s="1"/>
  <c r="AN15" i="1"/>
  <c r="AN4" i="1"/>
  <c r="AB4" i="1" s="1"/>
  <c r="AN2" i="1"/>
  <c r="AN21" i="1"/>
  <c r="AN3" i="1"/>
  <c r="AN24" i="1"/>
  <c r="AN18" i="1"/>
  <c r="AN7" i="1"/>
  <c r="AN19" i="1"/>
  <c r="AN13" i="1"/>
  <c r="AN12" i="1"/>
  <c r="AN8" i="1"/>
  <c r="AB8" i="1" s="1"/>
  <c r="AN25" i="1"/>
  <c r="AB25" i="1" s="1"/>
  <c r="AN26" i="1"/>
  <c r="AM27" i="1"/>
  <c r="AM17" i="1"/>
  <c r="AM5" i="1"/>
  <c r="AM6" i="1"/>
  <c r="AM15" i="1"/>
  <c r="AM4" i="1"/>
  <c r="AM2" i="1"/>
  <c r="AM21" i="1"/>
  <c r="AM3" i="1"/>
  <c r="AM24" i="1"/>
  <c r="AM18" i="1"/>
  <c r="AM7" i="1"/>
  <c r="AM19" i="1"/>
  <c r="AM13" i="1"/>
  <c r="AM12" i="1"/>
  <c r="AM8" i="1"/>
  <c r="AM25" i="1"/>
  <c r="AM26" i="1"/>
  <c r="S27" i="1"/>
  <c r="T27" i="1"/>
  <c r="S17" i="1"/>
  <c r="T17" i="1"/>
  <c r="S5" i="1"/>
  <c r="T5" i="1"/>
  <c r="S6" i="1"/>
  <c r="T6" i="1"/>
  <c r="S15" i="1"/>
  <c r="T15" i="1"/>
  <c r="S4" i="1"/>
  <c r="T4" i="1"/>
  <c r="S2" i="1"/>
  <c r="T2" i="1"/>
  <c r="S21" i="1"/>
  <c r="T21" i="1"/>
  <c r="S3" i="1"/>
  <c r="T3" i="1"/>
  <c r="S24" i="1"/>
  <c r="T24" i="1"/>
  <c r="S18" i="1"/>
  <c r="T18" i="1"/>
  <c r="S7" i="1"/>
  <c r="T7" i="1"/>
  <c r="S19" i="1"/>
  <c r="T19" i="1"/>
  <c r="S13" i="1"/>
  <c r="T13" i="1"/>
  <c r="S12" i="1"/>
  <c r="T12" i="1"/>
  <c r="S8" i="1"/>
  <c r="T8" i="1"/>
  <c r="S25" i="1"/>
  <c r="T25" i="1"/>
  <c r="T26" i="1"/>
  <c r="S26" i="1"/>
  <c r="X9" i="1" l="1"/>
  <c r="X23" i="1"/>
  <c r="X32" i="1"/>
  <c r="AB22" i="1"/>
  <c r="AB35" i="1"/>
  <c r="AB30" i="1"/>
  <c r="AB34" i="1"/>
  <c r="AB28" i="1"/>
  <c r="AB12" i="1"/>
  <c r="X3" i="1"/>
  <c r="X15" i="1"/>
  <c r="AB13" i="1"/>
  <c r="AB24" i="1"/>
  <c r="AB17" i="1"/>
  <c r="X22" i="1"/>
  <c r="X35" i="1"/>
  <c r="X30" i="1"/>
  <c r="X14" i="1"/>
  <c r="X11" i="1"/>
  <c r="AB31" i="1"/>
  <c r="AB29" i="1"/>
  <c r="AB33" i="1"/>
  <c r="AB10" i="1"/>
  <c r="AB16" i="1"/>
  <c r="AB18" i="1"/>
  <c r="X31" i="1"/>
  <c r="X29" i="1"/>
  <c r="X33" i="1"/>
  <c r="X34" i="1"/>
  <c r="X28" i="1"/>
  <c r="AB20" i="1"/>
  <c r="AB36" i="1"/>
  <c r="AB37" i="1"/>
  <c r="AO37" i="1" s="1"/>
  <c r="AB32" i="1"/>
  <c r="AB2" i="1"/>
  <c r="X26" i="1"/>
  <c r="X12" i="1"/>
  <c r="X20" i="1"/>
  <c r="X36" i="1"/>
  <c r="X10" i="1"/>
  <c r="AO10" i="1" s="1"/>
  <c r="X16" i="1"/>
  <c r="AB9" i="1"/>
  <c r="AB23" i="1"/>
  <c r="AB14" i="1"/>
  <c r="AB11" i="1"/>
  <c r="AI34" i="1"/>
  <c r="AO34" i="1" s="1"/>
  <c r="AI32" i="1"/>
  <c r="AO33" i="1"/>
  <c r="AI33" i="1"/>
  <c r="AI28" i="1"/>
  <c r="AO28" i="1" s="1"/>
  <c r="AO32" i="1"/>
  <c r="AO14" i="1"/>
  <c r="AI11" i="1"/>
  <c r="AO11" i="1" s="1"/>
  <c r="AB5" i="1"/>
  <c r="AI22" i="1"/>
  <c r="AO22" i="1" s="1"/>
  <c r="AI35" i="1"/>
  <c r="AO35" i="1" s="1"/>
  <c r="AI30" i="1"/>
  <c r="AO30" i="1" s="1"/>
  <c r="AB7" i="1"/>
  <c r="AB21" i="1"/>
  <c r="AB3" i="1"/>
  <c r="AI20" i="1"/>
  <c r="AO20" i="1" s="1"/>
  <c r="AI36" i="1"/>
  <c r="AO36" i="1" s="1"/>
  <c r="AI31" i="1"/>
  <c r="AO31" i="1" s="1"/>
  <c r="AI9" i="1"/>
  <c r="AO9" i="1" s="1"/>
  <c r="AI29" i="1"/>
  <c r="AO29" i="1" s="1"/>
  <c r="AI23" i="1"/>
  <c r="AO23" i="1" s="1"/>
  <c r="AI16" i="1"/>
  <c r="AO16" i="1" s="1"/>
  <c r="X25" i="1"/>
  <c r="X2" i="1"/>
  <c r="AI25" i="1"/>
  <c r="AI12" i="1"/>
  <c r="AO12" i="1" s="1"/>
  <c r="AI19" i="1"/>
  <c r="AI18" i="1"/>
  <c r="AI3" i="1"/>
  <c r="AO3" i="1" s="1"/>
  <c r="AI2" i="1"/>
  <c r="AI15" i="1"/>
  <c r="AI6" i="1"/>
  <c r="AI17" i="1"/>
  <c r="AO17" i="1" s="1"/>
  <c r="X18" i="1"/>
  <c r="AO18" i="1" s="1"/>
  <c r="AB19" i="1"/>
  <c r="AB15" i="1"/>
  <c r="AO15" i="1" s="1"/>
  <c r="X19" i="1"/>
  <c r="AO19" i="1" s="1"/>
  <c r="X5" i="1"/>
  <c r="AO5" i="1" s="1"/>
  <c r="AI26" i="1"/>
  <c r="AO26" i="1" s="1"/>
  <c r="AI4" i="1"/>
  <c r="AO4" i="1" s="1"/>
  <c r="AI5" i="1"/>
  <c r="AB27" i="1"/>
  <c r="X8" i="1"/>
  <c r="X7" i="1"/>
  <c r="X21" i="1"/>
  <c r="X6" i="1"/>
  <c r="AO6" i="1" s="1"/>
  <c r="AI8" i="1"/>
  <c r="AI13" i="1"/>
  <c r="AO13" i="1" s="1"/>
  <c r="AI7" i="1"/>
  <c r="AI24" i="1"/>
  <c r="AO24" i="1" s="1"/>
  <c r="AI21" i="1"/>
  <c r="X27" i="1"/>
  <c r="AI27" i="1"/>
  <c r="AO21" i="1" l="1"/>
  <c r="AO27" i="1"/>
  <c r="AO7" i="1"/>
  <c r="AO2" i="1"/>
  <c r="AO8" i="1"/>
  <c r="AO25" i="1"/>
</calcChain>
</file>

<file path=xl/sharedStrings.xml><?xml version="1.0" encoding="utf-8"?>
<sst xmlns="http://schemas.openxmlformats.org/spreadsheetml/2006/main" count="174" uniqueCount="88">
  <si>
    <t>Player</t>
  </si>
  <si>
    <t>Team</t>
  </si>
  <si>
    <t>Pos</t>
  </si>
  <si>
    <t>Salary</t>
  </si>
  <si>
    <t>90s</t>
  </si>
  <si>
    <t>Gls</t>
  </si>
  <si>
    <t>Ast</t>
  </si>
  <si>
    <t>Sh</t>
  </si>
  <si>
    <t>SoT</t>
  </si>
  <si>
    <t>Crs</t>
  </si>
  <si>
    <t>KP</t>
  </si>
  <si>
    <t>Pass_Cmp</t>
  </si>
  <si>
    <t>Fld</t>
  </si>
  <si>
    <t>Fls</t>
  </si>
  <si>
    <t>TklW</t>
  </si>
  <si>
    <t>Int</t>
  </si>
  <si>
    <t>CrdY</t>
  </si>
  <si>
    <t>CrdR</t>
  </si>
  <si>
    <t>Floor</t>
  </si>
  <si>
    <t>FPTS</t>
  </si>
  <si>
    <t>xG</t>
  </si>
  <si>
    <t>Team_xG</t>
  </si>
  <si>
    <t>xG_Share</t>
  </si>
  <si>
    <t>Proj_Gls</t>
  </si>
  <si>
    <t>xA</t>
  </si>
  <si>
    <t>Team_xA</t>
  </si>
  <si>
    <t>xA_Share</t>
  </si>
  <si>
    <t>Proj_Ast</t>
  </si>
  <si>
    <t>Team_Shot_Proj</t>
  </si>
  <si>
    <t>TeamSoT_Proj</t>
  </si>
  <si>
    <t>Team_Shots</t>
  </si>
  <si>
    <t>Shot_Share</t>
  </si>
  <si>
    <t>Proj_Shots</t>
  </si>
  <si>
    <t>SoT%</t>
  </si>
  <si>
    <t>Proj_SoT</t>
  </si>
  <si>
    <t>Team_KP</t>
  </si>
  <si>
    <t>KP_Share</t>
  </si>
  <si>
    <t>Proj_KP</t>
  </si>
  <si>
    <t>Team_Odds</t>
  </si>
  <si>
    <t>Team_Goal_Odds</t>
  </si>
  <si>
    <t>Pts_w_StartMins</t>
  </si>
  <si>
    <t>Start_Mins</t>
  </si>
  <si>
    <t>Sub_Mins</t>
  </si>
  <si>
    <t>Starting</t>
  </si>
  <si>
    <t>Xavier Arreaga</t>
  </si>
  <si>
    <t>Gustav Svensson</t>
  </si>
  <si>
    <t>Nouhou Tolo</t>
  </si>
  <si>
    <t>Joao Paulo Mior</t>
  </si>
  <si>
    <t>Cristian Roldan</t>
  </si>
  <si>
    <t>Jordy Delem</t>
  </si>
  <si>
    <t>Raul Ruidiaz</t>
  </si>
  <si>
    <t>Nicolas Lodeiro</t>
  </si>
  <si>
    <t>Miguel Ibarra</t>
  </si>
  <si>
    <t>Jordan Morris</t>
  </si>
  <si>
    <t>Alex Roldan</t>
  </si>
  <si>
    <t>Will Bruin</t>
  </si>
  <si>
    <t>Kelvin Leerdam</t>
  </si>
  <si>
    <t>Stefan Frei</t>
  </si>
  <si>
    <t>Shane O'Neill</t>
  </si>
  <si>
    <t>Yeimar Gomez Andrade</t>
  </si>
  <si>
    <t>Joevin Jones</t>
  </si>
  <si>
    <t>Handwalla Bwana</t>
  </si>
  <si>
    <t>SEA</t>
  </si>
  <si>
    <t>Oswaldo Alanis</t>
  </si>
  <si>
    <t>She Salinas</t>
  </si>
  <si>
    <t>Chris Wondolowski</t>
  </si>
  <si>
    <t>Danny Hoesen</t>
  </si>
  <si>
    <t>Cristian Espinoza</t>
  </si>
  <si>
    <t>Valeri Qazaishvili</t>
  </si>
  <si>
    <t>Jackson Yueill</t>
  </si>
  <si>
    <t>Tanner Beason</t>
  </si>
  <si>
    <t>Mario Daniel Vega</t>
  </si>
  <si>
    <t>Tommy Thompson</t>
  </si>
  <si>
    <t>Florian Jungwirth</t>
  </si>
  <si>
    <t>Nick Lima</t>
  </si>
  <si>
    <t>Andres Rios</t>
  </si>
  <si>
    <t>Eric Calvillo</t>
  </si>
  <si>
    <t>Marcos Lopez</t>
  </si>
  <si>
    <t>Paul Marie</t>
  </si>
  <si>
    <t>Cade Cowell</t>
  </si>
  <si>
    <t>Judson</t>
  </si>
  <si>
    <t>SJ</t>
  </si>
  <si>
    <t>y</t>
  </si>
  <si>
    <t>M</t>
  </si>
  <si>
    <t>F</t>
  </si>
  <si>
    <t>D</t>
  </si>
  <si>
    <t>GK</t>
  </si>
  <si>
    <t>M/F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</si>
</sst>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7A1E-9A3B-6943-B092-625916E0B8A8}">
  <dimension ref="A1:AR37"/>
  <sheetViews>
    <sheetView tabSelected="1" topLeftCell="B1" workbookViewId="0">
      <selection activeCell="AP43" sqref="AP43"/>
    </sheetView>
  </sheetViews>
  <sheetFormatPr baseColWidth="10" defaultRowHeight="16" x14ac:dyDescent="0.2"/>
  <cols>
    <col min="1" max="1" width="13.5" customWidth="1"/>
    <col min="2" max="44" width="6.83203125" customWidth="1"/>
  </cols>
  <sheetData>
    <row r="1" spans="1:4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</row>
    <row r="2" spans="1:44" x14ac:dyDescent="0.2">
      <c r="A2" t="s">
        <v>51</v>
      </c>
      <c r="B2" t="s">
        <v>62</v>
      </c>
      <c r="C2" t="s">
        <v>87</v>
      </c>
      <c r="D2">
        <v>12000</v>
      </c>
      <c r="E2" s="1">
        <v>3.8555555555555556</v>
      </c>
      <c r="F2">
        <v>1</v>
      </c>
      <c r="G2">
        <v>1</v>
      </c>
      <c r="H2">
        <v>3</v>
      </c>
      <c r="I2">
        <v>1</v>
      </c>
      <c r="J2">
        <v>25</v>
      </c>
      <c r="K2">
        <v>5</v>
      </c>
      <c r="L2">
        <v>242</v>
      </c>
      <c r="M2">
        <v>7</v>
      </c>
      <c r="N2">
        <v>4</v>
      </c>
      <c r="O2">
        <v>0</v>
      </c>
      <c r="P2">
        <v>3</v>
      </c>
      <c r="Q2">
        <v>0</v>
      </c>
      <c r="R2">
        <v>0</v>
      </c>
      <c r="S2" s="1">
        <f t="shared" ref="S2:S37" si="0">(H2+I2+J2*0.7+K2+L2*0.02+M2-N2*0.5+O2+P2*0.5)/E2</f>
        <v>9.814409221902018</v>
      </c>
      <c r="T2" s="1">
        <f t="shared" ref="T2:T37" si="1">(F2*10+G2*6+H2+I2+J2*0.7+K2+L2*0.02+M2-N2*0.5+O2+P2*0.5-Q2*1.5-R2*6)/E2</f>
        <v>13.964265129682998</v>
      </c>
      <c r="U2">
        <v>0.9</v>
      </c>
      <c r="V2">
        <v>5.3</v>
      </c>
      <c r="W2" s="1">
        <f t="shared" ref="W2:W37" si="2">U2/V2</f>
        <v>0.169811320754717</v>
      </c>
      <c r="X2" s="1">
        <f t="shared" ref="X2:X37" si="3">W2*AN2</f>
        <v>0.32908844047005947</v>
      </c>
      <c r="Y2">
        <v>1.2999999999999998</v>
      </c>
      <c r="Z2">
        <v>3.2</v>
      </c>
      <c r="AA2" s="1">
        <f t="shared" ref="AA2:AA37" si="4">Y2/Z2</f>
        <v>0.40624999999999994</v>
      </c>
      <c r="AB2" s="1">
        <f t="shared" ref="AB2:AB37" si="5">AA2*AN2</f>
        <v>0.78729838709677402</v>
      </c>
      <c r="AC2" s="2">
        <v>16.976726543709699</v>
      </c>
      <c r="AD2" s="2">
        <v>4.8553437915009896</v>
      </c>
      <c r="AE2">
        <v>40</v>
      </c>
      <c r="AF2" s="1">
        <f t="shared" ref="AF2:AF37" si="6">H2/AE2</f>
        <v>7.4999999999999997E-2</v>
      </c>
      <c r="AG2" s="1">
        <f t="shared" ref="AG2:AG37" si="7">AC2*AF2</f>
        <v>1.2732544907782273</v>
      </c>
      <c r="AH2" s="1">
        <f t="shared" ref="AH2:AH37" si="8">IF(H2&gt;0, I2/H2, 0)</f>
        <v>0.33333333333333331</v>
      </c>
      <c r="AI2" s="1">
        <f t="shared" ref="AI2:AI37" si="9">AG2*AH2</f>
        <v>0.42441816359274243</v>
      </c>
      <c r="AJ2">
        <v>22</v>
      </c>
      <c r="AK2" s="1">
        <f t="shared" ref="AK2:AK37" si="10">K2/AJ2</f>
        <v>0.22727272727272727</v>
      </c>
      <c r="AL2" s="1">
        <f t="shared" ref="AL2:AL37" si="11">AK2*(AC2*(AJ2/AE2))</f>
        <v>2.1220908179637124</v>
      </c>
      <c r="AM2" s="1">
        <f t="shared" ref="AM2:AM8" si="12">4/7</f>
        <v>0.5714285714285714</v>
      </c>
      <c r="AN2" s="1">
        <f t="shared" ref="AN2:AN8" si="13">(10/31)+(4/13)*2+(1/3)*3</f>
        <v>1.9379652605459057</v>
      </c>
      <c r="AO2" s="1">
        <f>IF(AR2="y",     (X2*10+AB2*6+AG2+AI2+AL2+(J2*0.7+L2*0.02+M2-N2*0.5+O2+P2*0.5-Q2*1.5)/E2)*(AP2/90)+(AM2-AVERAGE($AM$2:$AM37))*10,      (X2*10+AB2*6+AG2+AI2+AL2+(J2*0.7+L2*0.02+M2-N2*0.5+O2+P2*0.5-Q2*1.5)/E2)*(AQ2/90)+(AM2-AVERAGE($AM$2:$AM$37))*10)</f>
        <v>20.363115232883764</v>
      </c>
      <c r="AP2">
        <f>(90+77+90+90)/4</f>
        <v>86.75</v>
      </c>
      <c r="AR2" t="s">
        <v>82</v>
      </c>
    </row>
    <row r="3" spans="1:44" x14ac:dyDescent="0.2">
      <c r="A3" t="s">
        <v>53</v>
      </c>
      <c r="B3" t="s">
        <v>62</v>
      </c>
      <c r="C3" t="s">
        <v>84</v>
      </c>
      <c r="D3">
        <v>10600</v>
      </c>
      <c r="E3" s="1">
        <v>3.1111111111111112</v>
      </c>
      <c r="F3">
        <v>2</v>
      </c>
      <c r="G3">
        <v>0</v>
      </c>
      <c r="H3">
        <v>5</v>
      </c>
      <c r="I3">
        <v>3</v>
      </c>
      <c r="J3">
        <v>2</v>
      </c>
      <c r="K3">
        <v>3</v>
      </c>
      <c r="L3">
        <v>80</v>
      </c>
      <c r="M3">
        <v>3</v>
      </c>
      <c r="N3">
        <v>1</v>
      </c>
      <c r="O3">
        <v>4</v>
      </c>
      <c r="P3">
        <v>1</v>
      </c>
      <c r="Q3">
        <v>0</v>
      </c>
      <c r="R3">
        <v>0</v>
      </c>
      <c r="S3" s="1">
        <f t="shared" si="0"/>
        <v>6.75</v>
      </c>
      <c r="T3" s="1">
        <f t="shared" si="1"/>
        <v>13.178571428571429</v>
      </c>
      <c r="U3">
        <v>1.5</v>
      </c>
      <c r="V3">
        <v>5.3</v>
      </c>
      <c r="W3" s="1">
        <f t="shared" si="2"/>
        <v>0.28301886792452829</v>
      </c>
      <c r="X3" s="1">
        <f t="shared" si="3"/>
        <v>0.54848073411676579</v>
      </c>
      <c r="Y3">
        <v>0.30000000000000004</v>
      </c>
      <c r="Z3">
        <v>3.2</v>
      </c>
      <c r="AA3" s="1">
        <f t="shared" si="4"/>
        <v>9.3750000000000014E-2</v>
      </c>
      <c r="AB3" s="1">
        <f t="shared" si="5"/>
        <v>0.18168424317617868</v>
      </c>
      <c r="AC3" s="2">
        <v>16.976726543709699</v>
      </c>
      <c r="AD3" s="2">
        <v>4.8553437915009896</v>
      </c>
      <c r="AE3">
        <v>40</v>
      </c>
      <c r="AF3" s="1">
        <f t="shared" si="6"/>
        <v>0.125</v>
      </c>
      <c r="AG3" s="1">
        <f t="shared" si="7"/>
        <v>2.1220908179637124</v>
      </c>
      <c r="AH3" s="1">
        <f t="shared" si="8"/>
        <v>0.6</v>
      </c>
      <c r="AI3" s="1">
        <f t="shared" si="9"/>
        <v>1.2732544907782273</v>
      </c>
      <c r="AJ3">
        <v>22</v>
      </c>
      <c r="AK3" s="1">
        <f t="shared" si="10"/>
        <v>0.13636363636363635</v>
      </c>
      <c r="AL3" s="1">
        <f t="shared" si="11"/>
        <v>1.2732544907782275</v>
      </c>
      <c r="AM3" s="1">
        <f t="shared" si="12"/>
        <v>0.5714285714285714</v>
      </c>
      <c r="AN3" s="1">
        <f t="shared" si="13"/>
        <v>1.9379652605459057</v>
      </c>
      <c r="AO3" s="1">
        <f>IF(AR3="y",     (X3*10+AB3*6+AG3+AI3+AL3+(J3*0.7+L3*0.02+M3-N3*0.5+O3+P3*0.5-Q3*1.5)/E3)*(AP3/90)+(AM3-AVERAGE($AM$2:$AM38))*10,      (X3*10+AB3*6+AG3+AI3+AL3+(J3*0.7+L3*0.02+M3-N3*0.5+O3+P3*0.5-Q3*1.5)/E3)*(AQ3/90)+(AM3-AVERAGE($AM$2:$AM$37))*10)</f>
        <v>14.865145030985452</v>
      </c>
      <c r="AP3">
        <f>(80+85+80)/3</f>
        <v>81.666666666666671</v>
      </c>
      <c r="AQ3">
        <v>35</v>
      </c>
      <c r="AR3" t="s">
        <v>82</v>
      </c>
    </row>
    <row r="4" spans="1:44" x14ac:dyDescent="0.2">
      <c r="A4" t="s">
        <v>50</v>
      </c>
      <c r="B4" t="s">
        <v>62</v>
      </c>
      <c r="C4" t="s">
        <v>84</v>
      </c>
      <c r="D4">
        <v>10200</v>
      </c>
      <c r="E4" s="1">
        <v>3.3666666666666667</v>
      </c>
      <c r="F4">
        <v>3</v>
      </c>
      <c r="G4">
        <v>1</v>
      </c>
      <c r="H4">
        <v>11</v>
      </c>
      <c r="I4">
        <v>4</v>
      </c>
      <c r="J4">
        <v>1</v>
      </c>
      <c r="K4">
        <v>3</v>
      </c>
      <c r="L4">
        <v>59</v>
      </c>
      <c r="M4">
        <v>2</v>
      </c>
      <c r="N4">
        <v>3</v>
      </c>
      <c r="O4">
        <v>0</v>
      </c>
      <c r="P4">
        <v>1</v>
      </c>
      <c r="Q4">
        <v>0</v>
      </c>
      <c r="R4">
        <v>0</v>
      </c>
      <c r="S4" s="1">
        <f t="shared" si="0"/>
        <v>6.2019801980198013</v>
      </c>
      <c r="T4" s="1">
        <f t="shared" si="1"/>
        <v>16.895049504950496</v>
      </c>
      <c r="U4">
        <v>1.3</v>
      </c>
      <c r="V4">
        <v>5.3</v>
      </c>
      <c r="W4" s="1">
        <f t="shared" si="2"/>
        <v>0.24528301886792456</v>
      </c>
      <c r="X4" s="1">
        <f t="shared" si="3"/>
        <v>0.47534996956786374</v>
      </c>
      <c r="Y4">
        <v>0.4</v>
      </c>
      <c r="Z4">
        <v>3.2</v>
      </c>
      <c r="AA4" s="1">
        <f t="shared" si="4"/>
        <v>0.125</v>
      </c>
      <c r="AB4" s="1">
        <f t="shared" si="5"/>
        <v>0.24224565756823821</v>
      </c>
      <c r="AC4" s="2">
        <v>16.976726543709699</v>
      </c>
      <c r="AD4" s="2">
        <v>4.8553437915009896</v>
      </c>
      <c r="AE4">
        <v>40</v>
      </c>
      <c r="AF4" s="1">
        <f t="shared" si="6"/>
        <v>0.27500000000000002</v>
      </c>
      <c r="AG4" s="1">
        <f t="shared" si="7"/>
        <v>4.6685997995201678</v>
      </c>
      <c r="AH4" s="1">
        <f t="shared" si="8"/>
        <v>0.36363636363636365</v>
      </c>
      <c r="AI4" s="1">
        <f t="shared" si="9"/>
        <v>1.6976726543709701</v>
      </c>
      <c r="AJ4">
        <v>22</v>
      </c>
      <c r="AK4" s="1">
        <f t="shared" si="10"/>
        <v>0.13636363636363635</v>
      </c>
      <c r="AL4" s="1">
        <f t="shared" si="11"/>
        <v>1.2732544907782275</v>
      </c>
      <c r="AM4" s="1">
        <f t="shared" si="12"/>
        <v>0.5714285714285714</v>
      </c>
      <c r="AN4" s="1">
        <f t="shared" si="13"/>
        <v>1.9379652605459057</v>
      </c>
      <c r="AO4" s="1">
        <f>IF(AR4="y",     (X4*10+AB4*6+AG4+AI4+AL4+(J4*0.7+L4*0.02+M4-N4*0.5+O4+P4*0.5-Q4*1.5)/E4)*(AP4/90)+(AM4-AVERAGE($AM$2:$AM39))*10,      (X4*10+AB4*6+AG4+AI4+AL4+(J4*0.7+L4*0.02+M4-N4*0.5+O4+P4*0.5-Q4*1.5)/E4)*(AQ4/90)+(AM4-AVERAGE($AM$2:$AM$37))*10)</f>
        <v>14.120169739044256</v>
      </c>
      <c r="AP4">
        <f>(86+45+82+90)/4</f>
        <v>75.75</v>
      </c>
      <c r="AR4" t="s">
        <v>82</v>
      </c>
    </row>
    <row r="5" spans="1:44" x14ac:dyDescent="0.2">
      <c r="A5" t="s">
        <v>47</v>
      </c>
      <c r="B5" t="s">
        <v>62</v>
      </c>
      <c r="C5" t="s">
        <v>83</v>
      </c>
      <c r="D5">
        <v>8600</v>
      </c>
      <c r="E5" s="1">
        <v>2.8888888888888888</v>
      </c>
      <c r="F5">
        <v>0</v>
      </c>
      <c r="G5">
        <v>1</v>
      </c>
      <c r="H5">
        <v>2</v>
      </c>
      <c r="I5">
        <v>0</v>
      </c>
      <c r="J5">
        <v>13</v>
      </c>
      <c r="K5">
        <v>2</v>
      </c>
      <c r="L5">
        <v>169</v>
      </c>
      <c r="M5">
        <v>7</v>
      </c>
      <c r="N5">
        <v>7</v>
      </c>
      <c r="O5">
        <v>5</v>
      </c>
      <c r="P5">
        <v>7</v>
      </c>
      <c r="Q5">
        <v>1</v>
      </c>
      <c r="R5">
        <v>0</v>
      </c>
      <c r="S5" s="1">
        <f t="shared" si="0"/>
        <v>9.8584615384615386</v>
      </c>
      <c r="T5" s="1">
        <f t="shared" si="1"/>
        <v>11.416153846153847</v>
      </c>
      <c r="U5">
        <v>0</v>
      </c>
      <c r="V5">
        <v>5.3</v>
      </c>
      <c r="W5" s="1">
        <f t="shared" si="2"/>
        <v>0</v>
      </c>
      <c r="X5" s="1">
        <f t="shared" si="3"/>
        <v>0</v>
      </c>
      <c r="Y5">
        <v>0.5</v>
      </c>
      <c r="Z5">
        <v>3.2</v>
      </c>
      <c r="AA5" s="1">
        <f t="shared" si="4"/>
        <v>0.15625</v>
      </c>
      <c r="AB5" s="1">
        <f t="shared" si="5"/>
        <v>0.30280707196029777</v>
      </c>
      <c r="AC5" s="2">
        <v>16.976726543709699</v>
      </c>
      <c r="AD5" s="2">
        <v>4.8553437915009896</v>
      </c>
      <c r="AE5">
        <v>40</v>
      </c>
      <c r="AF5" s="1">
        <f t="shared" si="6"/>
        <v>0.05</v>
      </c>
      <c r="AG5" s="1">
        <f t="shared" si="7"/>
        <v>0.84883632718548496</v>
      </c>
      <c r="AH5" s="1">
        <f t="shared" si="8"/>
        <v>0</v>
      </c>
      <c r="AI5" s="1">
        <f t="shared" si="9"/>
        <v>0</v>
      </c>
      <c r="AJ5">
        <v>22</v>
      </c>
      <c r="AK5" s="1">
        <f t="shared" si="10"/>
        <v>9.0909090909090912E-2</v>
      </c>
      <c r="AL5" s="1">
        <f t="shared" si="11"/>
        <v>0.84883632718548507</v>
      </c>
      <c r="AM5" s="1">
        <f t="shared" si="12"/>
        <v>0.5714285714285714</v>
      </c>
      <c r="AN5" s="1">
        <f t="shared" si="13"/>
        <v>1.9379652605459057</v>
      </c>
      <c r="AO5" s="1">
        <f>IF(AR5="y",     (X5*10+AB5*6+AG5+AI5+AL5+(J5*0.7+L5*0.02+M5-N5*0.5+O5+P5*0.5-Q5*1.5)/E5)*(AP5/90)+(AM5-AVERAGE($AM$2:$AM40))*10,      (X5*10+AB5*6+AG5+AI5+AL5+(J5*0.7+L5*0.02+M5-N5*0.5+O5+P5*0.5-Q5*1.5)/E5)*(AQ5/90)+(AM5-AVERAGE($AM$2:$AM$37))*10)</f>
        <v>11.940814386696761</v>
      </c>
      <c r="AP5">
        <f>(73+77+90)/3</f>
        <v>80</v>
      </c>
      <c r="AQ5">
        <v>20</v>
      </c>
      <c r="AR5" t="s">
        <v>82</v>
      </c>
    </row>
    <row r="6" spans="1:44" x14ac:dyDescent="0.2">
      <c r="A6" t="s">
        <v>48</v>
      </c>
      <c r="B6" t="s">
        <v>62</v>
      </c>
      <c r="C6" t="s">
        <v>83</v>
      </c>
      <c r="D6">
        <v>5200</v>
      </c>
      <c r="E6" s="1">
        <v>3.9555555555555557</v>
      </c>
      <c r="F6">
        <v>0</v>
      </c>
      <c r="G6">
        <v>0</v>
      </c>
      <c r="H6">
        <v>4</v>
      </c>
      <c r="I6">
        <v>1</v>
      </c>
      <c r="J6">
        <v>12</v>
      </c>
      <c r="K6">
        <v>3</v>
      </c>
      <c r="L6">
        <v>113</v>
      </c>
      <c r="M6">
        <v>10</v>
      </c>
      <c r="N6">
        <v>4</v>
      </c>
      <c r="O6">
        <v>3</v>
      </c>
      <c r="P6">
        <v>1</v>
      </c>
      <c r="Q6">
        <v>1</v>
      </c>
      <c r="R6">
        <v>0</v>
      </c>
      <c r="S6" s="1">
        <f t="shared" si="0"/>
        <v>7.6247191011235955</v>
      </c>
      <c r="T6" s="1">
        <f t="shared" si="1"/>
        <v>7.2455056179775275</v>
      </c>
      <c r="U6">
        <v>0</v>
      </c>
      <c r="V6">
        <v>5.3</v>
      </c>
      <c r="W6" s="1">
        <f t="shared" si="2"/>
        <v>0</v>
      </c>
      <c r="X6" s="1">
        <f t="shared" si="3"/>
        <v>0</v>
      </c>
      <c r="Y6">
        <v>0.2</v>
      </c>
      <c r="Z6">
        <v>3.2</v>
      </c>
      <c r="AA6" s="1">
        <f t="shared" si="4"/>
        <v>6.25E-2</v>
      </c>
      <c r="AB6" s="1">
        <f t="shared" si="5"/>
        <v>0.1211228287841191</v>
      </c>
      <c r="AC6" s="2">
        <v>16.976726543709699</v>
      </c>
      <c r="AD6" s="2">
        <v>4.8553437915009896</v>
      </c>
      <c r="AE6">
        <v>40</v>
      </c>
      <c r="AF6" s="1">
        <f t="shared" si="6"/>
        <v>0.1</v>
      </c>
      <c r="AG6" s="1">
        <f t="shared" si="7"/>
        <v>1.6976726543709699</v>
      </c>
      <c r="AH6" s="1">
        <f t="shared" si="8"/>
        <v>0.25</v>
      </c>
      <c r="AI6" s="1">
        <f t="shared" si="9"/>
        <v>0.42441816359274248</v>
      </c>
      <c r="AJ6">
        <v>22</v>
      </c>
      <c r="AK6" s="1">
        <f t="shared" si="10"/>
        <v>0.13636363636363635</v>
      </c>
      <c r="AL6" s="1">
        <f t="shared" si="11"/>
        <v>1.2732544907782275</v>
      </c>
      <c r="AM6" s="1">
        <f t="shared" si="12"/>
        <v>0.5714285714285714</v>
      </c>
      <c r="AN6" s="1">
        <f t="shared" si="13"/>
        <v>1.9379652605459057</v>
      </c>
      <c r="AO6" s="1">
        <f>IF(AR6="y",     (X6*10+AB6*6+AG6+AI6+AL6+(J6*0.7+L6*0.02+M6-N6*0.5+O6+P6*0.5-Q6*1.5)/E6)*(AP6/90)+(AM6-AVERAGE($AM$2:$AM41))*10,      (X6*10+AB6*6+AG6+AI6+AL6+(J6*0.7+L6*0.02+M6-N6*0.5+O6+P6*0.5-Q6*1.5)/E6)*(AQ6/90)+(AM6-AVERAGE($AM$2:$AM$37))*10)</f>
        <v>10.987313113240106</v>
      </c>
      <c r="AP6">
        <f>(86+90+90+90)/4</f>
        <v>89</v>
      </c>
      <c r="AR6" t="s">
        <v>82</v>
      </c>
    </row>
    <row r="7" spans="1:44" x14ac:dyDescent="0.2">
      <c r="A7" t="s">
        <v>56</v>
      </c>
      <c r="B7" t="s">
        <v>62</v>
      </c>
      <c r="C7" t="s">
        <v>85</v>
      </c>
      <c r="D7">
        <v>6400</v>
      </c>
      <c r="E7" s="1">
        <v>3.088888888888889</v>
      </c>
      <c r="F7">
        <v>2</v>
      </c>
      <c r="G7">
        <v>0</v>
      </c>
      <c r="H7">
        <v>4</v>
      </c>
      <c r="I7">
        <v>2</v>
      </c>
      <c r="J7">
        <v>7</v>
      </c>
      <c r="K7">
        <v>2</v>
      </c>
      <c r="L7">
        <v>124</v>
      </c>
      <c r="M7">
        <v>0</v>
      </c>
      <c r="N7">
        <v>3</v>
      </c>
      <c r="O7">
        <v>2</v>
      </c>
      <c r="P7">
        <v>5</v>
      </c>
      <c r="Q7">
        <v>1</v>
      </c>
      <c r="R7">
        <v>0</v>
      </c>
      <c r="S7" s="1">
        <f t="shared" si="0"/>
        <v>5.950359712230215</v>
      </c>
      <c r="T7" s="1">
        <f t="shared" si="1"/>
        <v>11.939568345323739</v>
      </c>
      <c r="U7">
        <v>0.60000000000000009</v>
      </c>
      <c r="V7">
        <v>5.3</v>
      </c>
      <c r="W7" s="1">
        <f t="shared" si="2"/>
        <v>0.11320754716981134</v>
      </c>
      <c r="X7" s="1">
        <f t="shared" si="3"/>
        <v>0.21939229364670634</v>
      </c>
      <c r="Y7">
        <v>0.2</v>
      </c>
      <c r="Z7">
        <v>3.2</v>
      </c>
      <c r="AA7" s="1">
        <f t="shared" si="4"/>
        <v>6.25E-2</v>
      </c>
      <c r="AB7" s="1">
        <f t="shared" si="5"/>
        <v>0.1211228287841191</v>
      </c>
      <c r="AC7" s="2">
        <v>16.976726543709699</v>
      </c>
      <c r="AD7" s="2">
        <v>4.8553437915009896</v>
      </c>
      <c r="AE7">
        <v>40</v>
      </c>
      <c r="AF7" s="1">
        <f t="shared" si="6"/>
        <v>0.1</v>
      </c>
      <c r="AG7" s="1">
        <f t="shared" si="7"/>
        <v>1.6976726543709699</v>
      </c>
      <c r="AH7" s="1">
        <f t="shared" si="8"/>
        <v>0.5</v>
      </c>
      <c r="AI7" s="1">
        <f t="shared" si="9"/>
        <v>0.84883632718548496</v>
      </c>
      <c r="AJ7">
        <v>22</v>
      </c>
      <c r="AK7" s="1">
        <f t="shared" si="10"/>
        <v>9.0909090909090912E-2</v>
      </c>
      <c r="AL7" s="1">
        <f t="shared" si="11"/>
        <v>0.84883632718548507</v>
      </c>
      <c r="AM7" s="1">
        <f t="shared" si="12"/>
        <v>0.5714285714285714</v>
      </c>
      <c r="AN7" s="1">
        <f t="shared" si="13"/>
        <v>1.9379652605459057</v>
      </c>
      <c r="AO7" s="1">
        <f>IF(AR7="y",     (X7*10+AB7*6+AG7+AI7+AL7+(J7*0.7+L7*0.02+M7-N7*0.5+O7+P7*0.5-Q7*1.5)/E7)*(AP7/90)+(AM7-AVERAGE($AM$2:$AM42))*10,      (X7*10+AB7*6+AG7+AI7+AL7+(J7*0.7+L7*0.02+M7-N7*0.5+O7+P7*0.5-Q7*1.5)/E7)*(AQ7/90)+(AM7-AVERAGE($AM$2:$AM$37))*10)</f>
        <v>10.93685710783036</v>
      </c>
      <c r="AP7">
        <v>90</v>
      </c>
      <c r="AQ7">
        <v>8</v>
      </c>
      <c r="AR7" t="s">
        <v>82</v>
      </c>
    </row>
    <row r="8" spans="1:44" x14ac:dyDescent="0.2">
      <c r="A8" t="s">
        <v>60</v>
      </c>
      <c r="B8" t="s">
        <v>62</v>
      </c>
      <c r="C8" t="s">
        <v>83</v>
      </c>
      <c r="D8">
        <v>7800</v>
      </c>
      <c r="E8" s="1">
        <v>2.7888888888888888</v>
      </c>
      <c r="F8">
        <v>0</v>
      </c>
      <c r="G8">
        <v>1</v>
      </c>
      <c r="H8">
        <v>1</v>
      </c>
      <c r="I8">
        <v>0</v>
      </c>
      <c r="J8">
        <v>9</v>
      </c>
      <c r="K8">
        <v>1</v>
      </c>
      <c r="L8">
        <v>173</v>
      </c>
      <c r="M8">
        <v>6</v>
      </c>
      <c r="N8">
        <v>3</v>
      </c>
      <c r="O8">
        <v>2</v>
      </c>
      <c r="P8">
        <v>2</v>
      </c>
      <c r="Q8">
        <v>0</v>
      </c>
      <c r="R8">
        <v>0</v>
      </c>
      <c r="S8" s="1">
        <f t="shared" si="0"/>
        <v>6.9059760956175307</v>
      </c>
      <c r="T8" s="1">
        <f t="shared" si="1"/>
        <v>9.0573705179282875</v>
      </c>
      <c r="U8">
        <v>0</v>
      </c>
      <c r="V8">
        <v>5.3</v>
      </c>
      <c r="W8" s="1">
        <f t="shared" si="2"/>
        <v>0</v>
      </c>
      <c r="X8" s="1">
        <f t="shared" si="3"/>
        <v>0</v>
      </c>
      <c r="Y8">
        <v>0.1</v>
      </c>
      <c r="Z8">
        <v>3.2</v>
      </c>
      <c r="AA8" s="1">
        <f t="shared" si="4"/>
        <v>3.125E-2</v>
      </c>
      <c r="AB8" s="1">
        <f t="shared" si="5"/>
        <v>6.0561414392059552E-2</v>
      </c>
      <c r="AC8" s="2">
        <v>16.976726543709699</v>
      </c>
      <c r="AD8" s="2">
        <v>4.8553437915009896</v>
      </c>
      <c r="AE8">
        <v>40</v>
      </c>
      <c r="AF8" s="1">
        <f t="shared" si="6"/>
        <v>2.5000000000000001E-2</v>
      </c>
      <c r="AG8" s="1">
        <f t="shared" si="7"/>
        <v>0.42441816359274248</v>
      </c>
      <c r="AH8" s="1">
        <f t="shared" si="8"/>
        <v>0</v>
      </c>
      <c r="AI8" s="1">
        <f t="shared" si="9"/>
        <v>0</v>
      </c>
      <c r="AJ8">
        <v>22</v>
      </c>
      <c r="AK8" s="1">
        <f t="shared" si="10"/>
        <v>4.5454545454545456E-2</v>
      </c>
      <c r="AL8" s="1">
        <f t="shared" si="11"/>
        <v>0.42441816359274254</v>
      </c>
      <c r="AM8" s="1">
        <f t="shared" si="12"/>
        <v>0.5714285714285714</v>
      </c>
      <c r="AN8" s="1">
        <f t="shared" si="13"/>
        <v>1.9379652605459057</v>
      </c>
      <c r="AO8" s="1">
        <f>IF(AR8="y",     (X8*10+AB8*6+AG8+AI8+AL8+(J8*0.7+L8*0.02+M8-N8*0.5+O8+P8*0.5-Q8*1.5)/E8)*(AP8/90)+(AM8-AVERAGE($AM$2:$AM43))*10,      (X8*10+AB8*6+AG8+AI8+AL8+(J8*0.7+L8*0.02+M8-N8*0.5+O8+P8*0.5-Q8*1.5)/E8)*(AQ8/90)+(AM8-AVERAGE($AM$2:$AM$37))*10)</f>
        <v>8.0780407071316098</v>
      </c>
      <c r="AP8">
        <f>(80+71+80)/3</f>
        <v>77</v>
      </c>
      <c r="AQ8">
        <v>20</v>
      </c>
      <c r="AR8" t="s">
        <v>82</v>
      </c>
    </row>
    <row r="9" spans="1:44" x14ac:dyDescent="0.2">
      <c r="A9" t="s">
        <v>77</v>
      </c>
      <c r="B9" t="s">
        <v>81</v>
      </c>
      <c r="C9" t="s">
        <v>85</v>
      </c>
      <c r="D9">
        <v>3400</v>
      </c>
      <c r="E9" s="1">
        <v>1.5</v>
      </c>
      <c r="F9">
        <v>0</v>
      </c>
      <c r="G9">
        <v>0</v>
      </c>
      <c r="H9">
        <v>0</v>
      </c>
      <c r="I9">
        <v>0</v>
      </c>
      <c r="J9">
        <v>10</v>
      </c>
      <c r="K9">
        <v>0</v>
      </c>
      <c r="L9">
        <v>54</v>
      </c>
      <c r="M9">
        <v>4</v>
      </c>
      <c r="N9">
        <v>2</v>
      </c>
      <c r="O9">
        <v>2</v>
      </c>
      <c r="P9">
        <v>1</v>
      </c>
      <c r="Q9">
        <v>0</v>
      </c>
      <c r="R9">
        <v>0</v>
      </c>
      <c r="S9" s="1">
        <f t="shared" si="0"/>
        <v>9.0533333333333328</v>
      </c>
      <c r="T9" s="1">
        <f t="shared" si="1"/>
        <v>9.0533333333333328</v>
      </c>
      <c r="U9">
        <v>0</v>
      </c>
      <c r="V9">
        <v>2.6</v>
      </c>
      <c r="W9" s="1">
        <f t="shared" si="2"/>
        <v>0</v>
      </c>
      <c r="X9" s="1">
        <f t="shared" si="3"/>
        <v>0</v>
      </c>
      <c r="Y9">
        <v>0</v>
      </c>
      <c r="Z9">
        <v>1.3</v>
      </c>
      <c r="AA9" s="1">
        <f t="shared" si="4"/>
        <v>0</v>
      </c>
      <c r="AB9" s="1">
        <f t="shared" si="5"/>
        <v>0</v>
      </c>
      <c r="AC9" s="2">
        <v>8.8306126145342301</v>
      </c>
      <c r="AD9" s="2">
        <v>2.8169654240364199</v>
      </c>
      <c r="AE9">
        <v>33</v>
      </c>
      <c r="AF9" s="1">
        <f t="shared" si="6"/>
        <v>0</v>
      </c>
      <c r="AG9" s="1">
        <f t="shared" si="7"/>
        <v>0</v>
      </c>
      <c r="AH9" s="1">
        <f t="shared" si="8"/>
        <v>0</v>
      </c>
      <c r="AI9" s="1">
        <f t="shared" si="9"/>
        <v>0</v>
      </c>
      <c r="AJ9">
        <v>21</v>
      </c>
      <c r="AK9" s="1">
        <f t="shared" si="10"/>
        <v>0</v>
      </c>
      <c r="AL9" s="1">
        <f t="shared" si="11"/>
        <v>0</v>
      </c>
      <c r="AM9" s="1">
        <f>2/9</f>
        <v>0.22222222222222221</v>
      </c>
      <c r="AN9" s="1">
        <f>(4/10)+(3/13)*2+(1/8)*3</f>
        <v>1.2365384615384616</v>
      </c>
      <c r="AO9" s="1">
        <f>IF(AR9="y",     (X9*10+AB9*6+AG9+AI9+AL9+(J9*0.7+L9*0.02+M9-N9*0.5+O9+P9*0.5-Q9*1.5)/E9)*(AP9/90)+(AM9-AVERAGE($AM$2:$AM44))*10,      (X9*10+AB9*6+AG9+AI9+AL9+(J9*0.7+L9*0.02+M9-N9*0.5+O9+P9*0.5-Q9*1.5)/E9)*(AQ9/90)+(AM9-AVERAGE($AM$2:$AM$37))*10)</f>
        <v>7.3073015873015903</v>
      </c>
      <c r="AP9">
        <v>90</v>
      </c>
      <c r="AQ9">
        <v>45</v>
      </c>
      <c r="AR9" t="s">
        <v>82</v>
      </c>
    </row>
    <row r="10" spans="1:44" x14ac:dyDescent="0.2">
      <c r="A10" t="s">
        <v>67</v>
      </c>
      <c r="B10" t="s">
        <v>81</v>
      </c>
      <c r="C10" t="s">
        <v>83</v>
      </c>
      <c r="D10">
        <v>9400</v>
      </c>
      <c r="E10" s="1">
        <v>2.7666666666666666</v>
      </c>
      <c r="F10">
        <v>0</v>
      </c>
      <c r="G10">
        <v>1</v>
      </c>
      <c r="H10">
        <v>5</v>
      </c>
      <c r="I10">
        <v>0</v>
      </c>
      <c r="J10">
        <v>17</v>
      </c>
      <c r="K10">
        <v>5</v>
      </c>
      <c r="L10">
        <v>69</v>
      </c>
      <c r="M10">
        <v>1</v>
      </c>
      <c r="N10">
        <v>3</v>
      </c>
      <c r="O10">
        <v>0</v>
      </c>
      <c r="P10">
        <v>1</v>
      </c>
      <c r="Q10">
        <v>1</v>
      </c>
      <c r="R10">
        <v>0</v>
      </c>
      <c r="S10" s="1">
        <f t="shared" si="0"/>
        <v>8.4144578313253007</v>
      </c>
      <c r="T10" s="1">
        <f t="shared" si="1"/>
        <v>10.040963855421687</v>
      </c>
      <c r="U10">
        <v>0.1</v>
      </c>
      <c r="V10">
        <v>2.6</v>
      </c>
      <c r="W10" s="1">
        <f t="shared" si="2"/>
        <v>3.8461538461538464E-2</v>
      </c>
      <c r="X10" s="1">
        <f t="shared" si="3"/>
        <v>4.7559171597633142E-2</v>
      </c>
      <c r="Y10">
        <v>0.4</v>
      </c>
      <c r="Z10">
        <v>1.3</v>
      </c>
      <c r="AA10" s="1">
        <f t="shared" si="4"/>
        <v>0.30769230769230771</v>
      </c>
      <c r="AB10" s="1">
        <f t="shared" si="5"/>
        <v>0.38047337278106513</v>
      </c>
      <c r="AC10" s="2">
        <v>8.8306126145342301</v>
      </c>
      <c r="AD10" s="2">
        <v>2.8169654240364199</v>
      </c>
      <c r="AE10">
        <v>33</v>
      </c>
      <c r="AF10" s="1">
        <f t="shared" si="6"/>
        <v>0.15151515151515152</v>
      </c>
      <c r="AG10" s="1">
        <f t="shared" si="7"/>
        <v>1.3379716082627622</v>
      </c>
      <c r="AH10" s="1">
        <f t="shared" si="8"/>
        <v>0</v>
      </c>
      <c r="AI10" s="1">
        <f t="shared" si="9"/>
        <v>0</v>
      </c>
      <c r="AJ10">
        <v>21</v>
      </c>
      <c r="AK10" s="1">
        <f t="shared" si="10"/>
        <v>0.23809523809523808</v>
      </c>
      <c r="AL10" s="1">
        <f t="shared" si="11"/>
        <v>1.3379716082627622</v>
      </c>
      <c r="AM10" s="1">
        <f>2/9</f>
        <v>0.22222222222222221</v>
      </c>
      <c r="AN10" s="1">
        <f>(4/10)+(3/13)*2+(1/8)*3</f>
        <v>1.2365384615384616</v>
      </c>
      <c r="AO10" s="1">
        <f>IF(AR10="y",     (X10*10+AB10*6+AG10+AI10+AL10+(J10*0.7+L10*0.02+M10-N10*0.5+O10+P10*0.5-Q10*1.5)/E10)*(AP10/90)+(AM10-AVERAGE($AM$2:$AM45))*10,      (X10*10+AB10*6+AG10+AI10+AL10+(J10*0.7+L10*0.02+M10-N10*0.5+O10+P10*0.5-Q10*1.5)/E10)*(AQ10/90)+(AM10-AVERAGE($AM$2:$AM$37))*10)</f>
        <v>7.192336465552974</v>
      </c>
      <c r="AP10">
        <f>(90+90+69)/3</f>
        <v>83</v>
      </c>
      <c r="AR10" t="s">
        <v>82</v>
      </c>
    </row>
    <row r="11" spans="1:44" x14ac:dyDescent="0.2">
      <c r="A11" t="s">
        <v>65</v>
      </c>
      <c r="B11" t="s">
        <v>81</v>
      </c>
      <c r="C11" t="s">
        <v>84</v>
      </c>
      <c r="D11">
        <v>6600</v>
      </c>
      <c r="E11" s="1">
        <v>1.1111111111111112</v>
      </c>
      <c r="F11">
        <v>1</v>
      </c>
      <c r="G11">
        <v>0</v>
      </c>
      <c r="H11">
        <v>4</v>
      </c>
      <c r="I11">
        <v>2</v>
      </c>
      <c r="J11">
        <v>1</v>
      </c>
      <c r="K11">
        <v>1</v>
      </c>
      <c r="L11">
        <v>13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 s="1">
        <f t="shared" si="0"/>
        <v>8.0640000000000001</v>
      </c>
      <c r="T11" s="1">
        <f t="shared" si="1"/>
        <v>17.064</v>
      </c>
      <c r="U11">
        <v>1.1000000000000001</v>
      </c>
      <c r="V11">
        <v>2.6</v>
      </c>
      <c r="W11" s="1">
        <f t="shared" si="2"/>
        <v>0.42307692307692307</v>
      </c>
      <c r="X11" s="1">
        <f t="shared" si="3"/>
        <v>0.52315088757396455</v>
      </c>
      <c r="Y11">
        <v>0</v>
      </c>
      <c r="Z11">
        <v>1.3</v>
      </c>
      <c r="AA11" s="1">
        <f t="shared" si="4"/>
        <v>0</v>
      </c>
      <c r="AB11" s="1">
        <f t="shared" si="5"/>
        <v>0</v>
      </c>
      <c r="AC11" s="2">
        <v>8.8306126145342301</v>
      </c>
      <c r="AD11" s="2">
        <v>2.8169654240364199</v>
      </c>
      <c r="AE11">
        <v>33</v>
      </c>
      <c r="AF11" s="1">
        <f t="shared" si="6"/>
        <v>0.12121212121212122</v>
      </c>
      <c r="AG11" s="1">
        <f t="shared" si="7"/>
        <v>1.0703772866102097</v>
      </c>
      <c r="AH11" s="1">
        <f t="shared" si="8"/>
        <v>0.5</v>
      </c>
      <c r="AI11" s="1">
        <f t="shared" si="9"/>
        <v>0.53518864330510485</v>
      </c>
      <c r="AJ11">
        <v>21</v>
      </c>
      <c r="AK11" s="1">
        <f t="shared" si="10"/>
        <v>4.7619047619047616E-2</v>
      </c>
      <c r="AL11" s="1">
        <f t="shared" si="11"/>
        <v>0.26759432165255242</v>
      </c>
      <c r="AM11" s="1">
        <f>2/9</f>
        <v>0.22222222222222221</v>
      </c>
      <c r="AN11" s="1">
        <f>(4/10)+(3/13)*2+(1/8)*3</f>
        <v>1.2365384615384616</v>
      </c>
      <c r="AO11" s="1">
        <f>IF(AR11="y",     (X11*10+AB11*6+AG11+AI11+AL11+(J11*0.7+L11*0.02+M11-N11*0.5+O11+P11*0.5-Q11*1.5)/E11)*(AP11/90)+(AM11-AVERAGE($AM$2:$AM46))*10,      (X11*10+AB11*6+AG11+AI11+AL11+(J11*0.7+L11*0.02+M11-N11*0.5+O11+P11*0.5-Q11*1.5)/E11)*(AQ11/90)+(AM11-AVERAGE($AM$2:$AM$37))*10)</f>
        <v>7.1226373812757702</v>
      </c>
      <c r="AP11">
        <v>90</v>
      </c>
      <c r="AQ11">
        <v>5</v>
      </c>
      <c r="AR11" t="s">
        <v>82</v>
      </c>
    </row>
    <row r="12" spans="1:44" x14ac:dyDescent="0.2">
      <c r="A12" t="s">
        <v>59</v>
      </c>
      <c r="B12" t="s">
        <v>62</v>
      </c>
      <c r="C12" t="s">
        <v>85</v>
      </c>
      <c r="D12">
        <v>4000</v>
      </c>
      <c r="E12" s="1">
        <v>4</v>
      </c>
      <c r="F12">
        <v>1</v>
      </c>
      <c r="G12">
        <v>0</v>
      </c>
      <c r="H12">
        <v>2</v>
      </c>
      <c r="I12">
        <v>1</v>
      </c>
      <c r="J12">
        <v>0</v>
      </c>
      <c r="K12">
        <v>0</v>
      </c>
      <c r="L12">
        <v>134</v>
      </c>
      <c r="M12">
        <v>2</v>
      </c>
      <c r="N12">
        <v>5</v>
      </c>
      <c r="O12">
        <v>5</v>
      </c>
      <c r="P12">
        <v>15</v>
      </c>
      <c r="Q12">
        <v>0</v>
      </c>
      <c r="R12">
        <v>0</v>
      </c>
      <c r="S12" s="1">
        <f t="shared" si="0"/>
        <v>4.42</v>
      </c>
      <c r="T12" s="1">
        <f t="shared" si="1"/>
        <v>6.92</v>
      </c>
      <c r="U12">
        <v>0.1</v>
      </c>
      <c r="V12">
        <v>5.3</v>
      </c>
      <c r="W12" s="1">
        <f t="shared" si="2"/>
        <v>1.886792452830189E-2</v>
      </c>
      <c r="X12" s="1">
        <f t="shared" si="3"/>
        <v>3.6565382274451053E-2</v>
      </c>
      <c r="Y12">
        <v>0</v>
      </c>
      <c r="Z12">
        <v>3.2</v>
      </c>
      <c r="AA12" s="1">
        <f t="shared" si="4"/>
        <v>0</v>
      </c>
      <c r="AB12" s="1">
        <f t="shared" si="5"/>
        <v>0</v>
      </c>
      <c r="AC12" s="2">
        <v>16.976726543709699</v>
      </c>
      <c r="AD12" s="2">
        <v>4.8553437915009896</v>
      </c>
      <c r="AE12">
        <v>40</v>
      </c>
      <c r="AF12" s="1">
        <f t="shared" si="6"/>
        <v>0.05</v>
      </c>
      <c r="AG12" s="1">
        <f t="shared" si="7"/>
        <v>0.84883632718548496</v>
      </c>
      <c r="AH12" s="1">
        <f t="shared" si="8"/>
        <v>0.5</v>
      </c>
      <c r="AI12" s="1">
        <f t="shared" si="9"/>
        <v>0.42441816359274248</v>
      </c>
      <c r="AJ12">
        <v>22</v>
      </c>
      <c r="AK12" s="1">
        <f t="shared" si="10"/>
        <v>0</v>
      </c>
      <c r="AL12" s="1">
        <f t="shared" si="11"/>
        <v>0</v>
      </c>
      <c r="AM12" s="1">
        <f>4/7</f>
        <v>0.5714285714285714</v>
      </c>
      <c r="AN12" s="1">
        <f>(10/31)+(4/13)*2+(1/3)*3</f>
        <v>1.9379652605459057</v>
      </c>
      <c r="AO12" s="1">
        <f>IF(AR12="y",     (X12*10+AB12*6+AG12+AI12+AL12+(J12*0.7+L12*0.02+M12-N12*0.5+O12+P12*0.5-Q12*1.5)/E12)*(AP12/90)+(AM12-AVERAGE($AM$2:$AM47))*10,      (X12*10+AB12*6+AG12+AI12+AL12+(J12*0.7+L12*0.02+M12-N12*0.5+O12+P12*0.5-Q12*1.5)/E12)*(AQ12/90)+(AM12-AVERAGE($AM$2:$AM$37))*10)</f>
        <v>7.0549400595544878</v>
      </c>
      <c r="AP12">
        <v>90</v>
      </c>
      <c r="AR12" t="s">
        <v>82</v>
      </c>
    </row>
    <row r="13" spans="1:44" x14ac:dyDescent="0.2">
      <c r="A13" t="s">
        <v>58</v>
      </c>
      <c r="B13" t="s">
        <v>62</v>
      </c>
      <c r="C13" t="s">
        <v>85</v>
      </c>
      <c r="D13">
        <v>4200</v>
      </c>
      <c r="E13" s="1">
        <v>3.9777777777777779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147</v>
      </c>
      <c r="M13">
        <v>2</v>
      </c>
      <c r="N13">
        <v>5</v>
      </c>
      <c r="O13">
        <v>8</v>
      </c>
      <c r="P13">
        <v>6</v>
      </c>
      <c r="Q13">
        <v>1</v>
      </c>
      <c r="R13">
        <v>0</v>
      </c>
      <c r="S13" s="1">
        <f t="shared" si="0"/>
        <v>3.6301675977653631</v>
      </c>
      <c r="T13" s="1">
        <f t="shared" si="1"/>
        <v>3.2530726256983238</v>
      </c>
      <c r="U13">
        <v>0.1</v>
      </c>
      <c r="V13">
        <v>5.3</v>
      </c>
      <c r="W13" s="1">
        <f t="shared" si="2"/>
        <v>1.886792452830189E-2</v>
      </c>
      <c r="X13" s="1">
        <f t="shared" si="3"/>
        <v>3.6565382274451053E-2</v>
      </c>
      <c r="Y13">
        <v>0</v>
      </c>
      <c r="Z13">
        <v>3.2</v>
      </c>
      <c r="AA13" s="1">
        <f t="shared" si="4"/>
        <v>0</v>
      </c>
      <c r="AB13" s="1">
        <f t="shared" si="5"/>
        <v>0</v>
      </c>
      <c r="AC13" s="2">
        <v>16.976726543709699</v>
      </c>
      <c r="AD13" s="2">
        <v>4.8553437915009896</v>
      </c>
      <c r="AE13">
        <v>40</v>
      </c>
      <c r="AF13" s="1">
        <f t="shared" si="6"/>
        <v>2.5000000000000001E-2</v>
      </c>
      <c r="AG13" s="1">
        <f t="shared" si="7"/>
        <v>0.42441816359274248</v>
      </c>
      <c r="AH13" s="1">
        <f t="shared" si="8"/>
        <v>0</v>
      </c>
      <c r="AI13" s="1">
        <f t="shared" si="9"/>
        <v>0</v>
      </c>
      <c r="AJ13">
        <v>22</v>
      </c>
      <c r="AK13" s="1">
        <f t="shared" si="10"/>
        <v>0</v>
      </c>
      <c r="AL13" s="1">
        <f t="shared" si="11"/>
        <v>0</v>
      </c>
      <c r="AM13" s="1">
        <f>4/7</f>
        <v>0.5714285714285714</v>
      </c>
      <c r="AN13" s="1">
        <f>(10/31)+(4/13)*2+(1/3)*3</f>
        <v>1.9379652605459057</v>
      </c>
      <c r="AO13" s="1">
        <f>IF(AR13="y",     (X13*10+AB13*6+AG13+AI13+AL13+(J13*0.7+L13*0.02+M13-N13*0.5+O13+P13*0.5-Q13*1.5)/E13)*(AP13/90)+(AM13-AVERAGE($AM$2:$AM48))*10,      (X13*10+AB13*6+AG13+AI13+AL13+(J13*0.7+L13*0.02+M13-N13*0.5+O13+P13*0.5-Q13*1.5)/E13)*(AQ13/90)+(AM13-AVERAGE($AM$2:$AM$37))*10)</f>
        <v>5.5167144435560171</v>
      </c>
      <c r="AP13">
        <f>(90+90+90+88)/4</f>
        <v>89.5</v>
      </c>
      <c r="AR13" t="s">
        <v>82</v>
      </c>
    </row>
    <row r="14" spans="1:44" x14ac:dyDescent="0.2">
      <c r="A14" t="s">
        <v>69</v>
      </c>
      <c r="B14" t="s">
        <v>81</v>
      </c>
      <c r="C14" t="s">
        <v>83</v>
      </c>
      <c r="D14">
        <v>3200</v>
      </c>
      <c r="E14" s="1">
        <v>3</v>
      </c>
      <c r="F14">
        <v>0</v>
      </c>
      <c r="G14">
        <v>0</v>
      </c>
      <c r="H14">
        <v>4</v>
      </c>
      <c r="I14">
        <v>1</v>
      </c>
      <c r="J14">
        <v>3</v>
      </c>
      <c r="K14">
        <v>2</v>
      </c>
      <c r="L14">
        <v>134</v>
      </c>
      <c r="M14">
        <v>2</v>
      </c>
      <c r="N14">
        <v>2</v>
      </c>
      <c r="O14">
        <v>1</v>
      </c>
      <c r="P14">
        <v>1</v>
      </c>
      <c r="Q14">
        <v>0</v>
      </c>
      <c r="R14">
        <v>0</v>
      </c>
      <c r="S14" s="1">
        <f t="shared" si="0"/>
        <v>4.76</v>
      </c>
      <c r="T14" s="1">
        <f t="shared" si="1"/>
        <v>4.76</v>
      </c>
      <c r="U14">
        <v>0.2</v>
      </c>
      <c r="V14">
        <v>2.6</v>
      </c>
      <c r="W14" s="1">
        <f t="shared" si="2"/>
        <v>7.6923076923076927E-2</v>
      </c>
      <c r="X14" s="1">
        <f t="shared" si="3"/>
        <v>9.5118343195266283E-2</v>
      </c>
      <c r="Y14">
        <v>0.1</v>
      </c>
      <c r="Z14">
        <v>1.3</v>
      </c>
      <c r="AA14" s="1">
        <f t="shared" si="4"/>
        <v>7.6923076923076927E-2</v>
      </c>
      <c r="AB14" s="1">
        <f t="shared" si="5"/>
        <v>9.5118343195266283E-2</v>
      </c>
      <c r="AC14" s="2">
        <v>8.8306126145342301</v>
      </c>
      <c r="AD14" s="2">
        <v>2.8169654240364199</v>
      </c>
      <c r="AE14">
        <v>33</v>
      </c>
      <c r="AF14" s="1">
        <f t="shared" si="6"/>
        <v>0.12121212121212122</v>
      </c>
      <c r="AG14" s="1">
        <f t="shared" si="7"/>
        <v>1.0703772866102097</v>
      </c>
      <c r="AH14" s="1">
        <f t="shared" si="8"/>
        <v>0.25</v>
      </c>
      <c r="AI14" s="1">
        <f t="shared" si="9"/>
        <v>0.26759432165255242</v>
      </c>
      <c r="AJ14">
        <v>21</v>
      </c>
      <c r="AK14" s="1">
        <f t="shared" si="10"/>
        <v>9.5238095238095233E-2</v>
      </c>
      <c r="AL14" s="1">
        <f t="shared" si="11"/>
        <v>0.53518864330510485</v>
      </c>
      <c r="AM14" s="1">
        <f>2/9</f>
        <v>0.22222222222222221</v>
      </c>
      <c r="AN14" s="1">
        <f>(4/10)+(3/13)*2+(1/8)*3</f>
        <v>1.2365384615384616</v>
      </c>
      <c r="AO14" s="1">
        <f>IF(AR14="y",     (X14*10+AB14*6+AG14+AI14+AL14+(J14*0.7+L14*0.02+M14-N14*0.5+O14+P14*0.5-Q14*1.5)/E14)*(AP14/90)+(AM14-AVERAGE($AM$2:$AM49))*10,      (X14*10+AB14*6+AG14+AI14+AL14+(J14*0.7+L14*0.02+M14-N14*0.5+O14+P14*0.5-Q14*1.5)/E14)*(AQ14/90)+(AM14-AVERAGE($AM$2:$AM$37))*10)</f>
        <v>4.0756886633270515</v>
      </c>
      <c r="AP14">
        <v>90</v>
      </c>
      <c r="AR14" t="s">
        <v>82</v>
      </c>
    </row>
    <row r="15" spans="1:44" x14ac:dyDescent="0.2">
      <c r="A15" t="s">
        <v>49</v>
      </c>
      <c r="B15" t="s">
        <v>62</v>
      </c>
      <c r="C15" t="s">
        <v>83</v>
      </c>
      <c r="D15">
        <v>4800</v>
      </c>
      <c r="E15" s="1">
        <v>1.6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51</v>
      </c>
      <c r="M15">
        <v>4</v>
      </c>
      <c r="N15">
        <v>6</v>
      </c>
      <c r="O15">
        <v>1</v>
      </c>
      <c r="P15">
        <v>2</v>
      </c>
      <c r="Q15">
        <v>0</v>
      </c>
      <c r="R15">
        <v>0</v>
      </c>
      <c r="S15" s="1">
        <f t="shared" si="0"/>
        <v>3.1374999999999997</v>
      </c>
      <c r="T15" s="1">
        <f t="shared" si="1"/>
        <v>3.1374999999999997</v>
      </c>
      <c r="U15">
        <v>0</v>
      </c>
      <c r="V15">
        <v>5.3</v>
      </c>
      <c r="W15" s="1">
        <f t="shared" si="2"/>
        <v>0</v>
      </c>
      <c r="X15" s="1">
        <f t="shared" si="3"/>
        <v>0</v>
      </c>
      <c r="Y15">
        <v>0</v>
      </c>
      <c r="Z15">
        <v>3.2</v>
      </c>
      <c r="AA15" s="1">
        <f t="shared" si="4"/>
        <v>0</v>
      </c>
      <c r="AB15" s="1">
        <f t="shared" si="5"/>
        <v>0</v>
      </c>
      <c r="AC15" s="2">
        <v>16.976726543709699</v>
      </c>
      <c r="AD15" s="2">
        <v>4.8553437915009896</v>
      </c>
      <c r="AE15">
        <v>40</v>
      </c>
      <c r="AF15" s="1">
        <f t="shared" si="6"/>
        <v>0</v>
      </c>
      <c r="AG15" s="1">
        <f t="shared" si="7"/>
        <v>0</v>
      </c>
      <c r="AH15" s="1">
        <f t="shared" si="8"/>
        <v>0</v>
      </c>
      <c r="AI15" s="1">
        <f t="shared" si="9"/>
        <v>0</v>
      </c>
      <c r="AJ15">
        <v>22</v>
      </c>
      <c r="AK15" s="1">
        <f t="shared" si="10"/>
        <v>4.5454545454545456E-2</v>
      </c>
      <c r="AL15" s="1">
        <f t="shared" si="11"/>
        <v>0.42441816359274254</v>
      </c>
      <c r="AM15" s="1">
        <f>4/7</f>
        <v>0.5714285714285714</v>
      </c>
      <c r="AN15" s="1">
        <f>(10/31)+(4/13)*2+(1/3)*3</f>
        <v>1.9379652605459057</v>
      </c>
      <c r="AO15" s="1">
        <f>IF(AR15="y",     (X15*10+AB15*6+AG15+AI15+AL15+(J15*0.7+L15*0.02+M15-N15*0.5+O15+P15*0.5-Q15*1.5)/E15)*(AP15/90)+(AM15-AVERAGE($AM$2:$AM50))*10,      (X15*10+AB15*6+AG15+AI15+AL15+(J15*0.7+L15*0.02+M15-N15*0.5+O15+P15*0.5-Q15*1.5)/E15)*(AQ15/90)+(AM15-AVERAGE($AM$2:$AM$37))*10)</f>
        <v>3.8834555206464669</v>
      </c>
      <c r="AP15">
        <f>(70+61)/2</f>
        <v>65.5</v>
      </c>
      <c r="AQ15">
        <f>13/2</f>
        <v>6.5</v>
      </c>
      <c r="AR15" t="s">
        <v>82</v>
      </c>
    </row>
    <row r="16" spans="1:44" x14ac:dyDescent="0.2">
      <c r="A16" t="s">
        <v>63</v>
      </c>
      <c r="B16" t="s">
        <v>81</v>
      </c>
      <c r="C16" t="s">
        <v>85</v>
      </c>
      <c r="D16">
        <v>4400</v>
      </c>
      <c r="E16" s="1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61</v>
      </c>
      <c r="M16">
        <v>3</v>
      </c>
      <c r="N16">
        <v>2</v>
      </c>
      <c r="O16">
        <v>2</v>
      </c>
      <c r="P16">
        <v>2</v>
      </c>
      <c r="Q16">
        <v>1</v>
      </c>
      <c r="R16">
        <v>0</v>
      </c>
      <c r="S16" s="1">
        <f t="shared" si="0"/>
        <v>7.22</v>
      </c>
      <c r="T16" s="1">
        <f t="shared" si="1"/>
        <v>5.72</v>
      </c>
      <c r="U16">
        <v>0</v>
      </c>
      <c r="V16">
        <v>2.6</v>
      </c>
      <c r="W16" s="1">
        <f t="shared" si="2"/>
        <v>0</v>
      </c>
      <c r="X16" s="1">
        <f t="shared" si="3"/>
        <v>0</v>
      </c>
      <c r="Y16">
        <v>0</v>
      </c>
      <c r="Z16">
        <v>1.3</v>
      </c>
      <c r="AA16" s="1">
        <f t="shared" si="4"/>
        <v>0</v>
      </c>
      <c r="AB16" s="1">
        <f t="shared" si="5"/>
        <v>0</v>
      </c>
      <c r="AC16" s="2">
        <v>8.8306126145342301</v>
      </c>
      <c r="AD16" s="2">
        <v>2.8169654240364199</v>
      </c>
      <c r="AE16">
        <v>33</v>
      </c>
      <c r="AF16" s="1">
        <f t="shared" si="6"/>
        <v>3.0303030303030304E-2</v>
      </c>
      <c r="AG16" s="1">
        <f t="shared" si="7"/>
        <v>0.26759432165255242</v>
      </c>
      <c r="AH16" s="1">
        <f t="shared" si="8"/>
        <v>0</v>
      </c>
      <c r="AI16" s="1">
        <f t="shared" si="9"/>
        <v>0</v>
      </c>
      <c r="AJ16">
        <v>21</v>
      </c>
      <c r="AK16" s="1">
        <f t="shared" si="10"/>
        <v>0</v>
      </c>
      <c r="AL16" s="1">
        <f t="shared" si="11"/>
        <v>0</v>
      </c>
      <c r="AM16" s="1">
        <f>2/9</f>
        <v>0.22222222222222221</v>
      </c>
      <c r="AN16" s="1">
        <f>(4/10)+(3/13)*2+(1/8)*3</f>
        <v>1.2365384615384616</v>
      </c>
      <c r="AO16" s="1">
        <f>IF(AR16="y",     (X16*10+AB16*6+AG16+AI16+AL16+(J16*0.7+L16*0.02+M16-N16*0.5+O16+P16*0.5-Q16*1.5)/E16)*(AP16/90)+(AM16-AVERAGE($AM$2:$AM51))*10,      (X16*10+AB16*6+AG16+AI16+AL16+(J16*0.7+L16*0.02+M16-N16*0.5+O16+P16*0.5-Q16*1.5)/E16)*(AQ16/90)+(AM16-AVERAGE($AM$2:$AM$37))*10)</f>
        <v>3.2415625756208097</v>
      </c>
      <c r="AP16">
        <v>90</v>
      </c>
      <c r="AQ16">
        <v>0</v>
      </c>
      <c r="AR16" t="s">
        <v>82</v>
      </c>
    </row>
    <row r="17" spans="1:44" x14ac:dyDescent="0.2">
      <c r="A17" t="s">
        <v>46</v>
      </c>
      <c r="B17" t="s">
        <v>62</v>
      </c>
      <c r="C17" t="s">
        <v>85</v>
      </c>
      <c r="D17">
        <v>5000</v>
      </c>
      <c r="E17" s="1">
        <v>1.288888888888889</v>
      </c>
      <c r="F17">
        <v>0</v>
      </c>
      <c r="G17">
        <v>0</v>
      </c>
      <c r="H17">
        <v>0</v>
      </c>
      <c r="I17">
        <v>0</v>
      </c>
      <c r="J17">
        <v>3</v>
      </c>
      <c r="K17">
        <v>0</v>
      </c>
      <c r="L17">
        <v>51</v>
      </c>
      <c r="M17">
        <v>2</v>
      </c>
      <c r="N17">
        <v>2</v>
      </c>
      <c r="O17">
        <v>3</v>
      </c>
      <c r="P17">
        <v>3</v>
      </c>
      <c r="Q17">
        <v>0</v>
      </c>
      <c r="R17">
        <v>0</v>
      </c>
      <c r="S17" s="1">
        <f t="shared" si="0"/>
        <v>6.6879310344827578</v>
      </c>
      <c r="T17" s="1">
        <f t="shared" si="1"/>
        <v>6.6879310344827578</v>
      </c>
      <c r="U17">
        <v>0</v>
      </c>
      <c r="V17">
        <v>5.3</v>
      </c>
      <c r="W17" s="1">
        <f t="shared" si="2"/>
        <v>0</v>
      </c>
      <c r="X17" s="1">
        <f t="shared" si="3"/>
        <v>0</v>
      </c>
      <c r="Y17">
        <v>0</v>
      </c>
      <c r="Z17">
        <v>3.2</v>
      </c>
      <c r="AA17" s="1">
        <f t="shared" si="4"/>
        <v>0</v>
      </c>
      <c r="AB17" s="1">
        <f t="shared" si="5"/>
        <v>0</v>
      </c>
      <c r="AC17" s="2">
        <v>16.976726543709699</v>
      </c>
      <c r="AD17" s="2">
        <v>4.8553437915009896</v>
      </c>
      <c r="AE17">
        <v>40</v>
      </c>
      <c r="AF17" s="1">
        <f t="shared" si="6"/>
        <v>0</v>
      </c>
      <c r="AG17" s="1">
        <f t="shared" si="7"/>
        <v>0</v>
      </c>
      <c r="AH17" s="1">
        <f t="shared" si="8"/>
        <v>0</v>
      </c>
      <c r="AI17" s="1">
        <f t="shared" si="9"/>
        <v>0</v>
      </c>
      <c r="AJ17">
        <v>22</v>
      </c>
      <c r="AK17" s="1">
        <f t="shared" si="10"/>
        <v>0</v>
      </c>
      <c r="AL17" s="1">
        <f t="shared" si="11"/>
        <v>0</v>
      </c>
      <c r="AM17" s="1">
        <f>4/7</f>
        <v>0.5714285714285714</v>
      </c>
      <c r="AN17" s="1">
        <f>(10/31)+(4/13)*2+(1/3)*3</f>
        <v>1.9379652605459057</v>
      </c>
      <c r="AO17" s="1">
        <f>IF(AR17="y",     (X17*10+AB17*6+AG17+AI17+AL17+(J17*0.7+L17*0.02+M17-N17*0.5+O17+P17*0.5-Q17*1.5)/E17)*(AP17/90)+(AM17-AVERAGE($AM$2:$AM52))*10,      (X17*10+AB17*6+AG17+AI17+AL17+(J17*0.7+L17*0.02+M17-N17*0.5+O17+P17*0.5-Q17*1.5)/E17)*(AQ17/90)+(AM17-AVERAGE($AM$2:$AM$37))*10)</f>
        <v>2.8854570333880707</v>
      </c>
      <c r="AP17">
        <v>70</v>
      </c>
      <c r="AQ17">
        <f>(17+19+10)/3</f>
        <v>15.333333333333334</v>
      </c>
    </row>
    <row r="18" spans="1:44" x14ac:dyDescent="0.2">
      <c r="A18" t="s">
        <v>55</v>
      </c>
      <c r="B18" t="s">
        <v>62</v>
      </c>
      <c r="C18" t="s">
        <v>84</v>
      </c>
      <c r="D18">
        <v>7800</v>
      </c>
      <c r="E18" s="1">
        <v>1.0222222222222221</v>
      </c>
      <c r="F18">
        <v>0</v>
      </c>
      <c r="G18">
        <v>0</v>
      </c>
      <c r="H18">
        <v>3</v>
      </c>
      <c r="I18">
        <v>1</v>
      </c>
      <c r="J18">
        <v>0</v>
      </c>
      <c r="K18">
        <v>1</v>
      </c>
      <c r="L18">
        <v>16</v>
      </c>
      <c r="M18">
        <v>1</v>
      </c>
      <c r="N18">
        <v>2</v>
      </c>
      <c r="O18">
        <v>0</v>
      </c>
      <c r="P18">
        <v>1</v>
      </c>
      <c r="Q18">
        <v>1</v>
      </c>
      <c r="R18">
        <v>0</v>
      </c>
      <c r="S18" s="1">
        <f t="shared" si="0"/>
        <v>5.6934782608695658</v>
      </c>
      <c r="T18" s="1">
        <f t="shared" si="1"/>
        <v>4.2260869565217396</v>
      </c>
      <c r="U18">
        <v>0.3</v>
      </c>
      <c r="V18">
        <v>5.3</v>
      </c>
      <c r="W18" s="1">
        <f t="shared" si="2"/>
        <v>5.6603773584905662E-2</v>
      </c>
      <c r="X18" s="1">
        <f t="shared" si="3"/>
        <v>0.10969614682335316</v>
      </c>
      <c r="Y18">
        <v>0.1</v>
      </c>
      <c r="Z18">
        <v>3.2</v>
      </c>
      <c r="AA18" s="1">
        <f t="shared" si="4"/>
        <v>3.125E-2</v>
      </c>
      <c r="AB18" s="1">
        <f t="shared" si="5"/>
        <v>6.0561414392059552E-2</v>
      </c>
      <c r="AC18" s="2">
        <v>16.976726543709699</v>
      </c>
      <c r="AD18" s="2">
        <v>4.8553437915009896</v>
      </c>
      <c r="AE18">
        <v>40</v>
      </c>
      <c r="AF18" s="1">
        <f t="shared" si="6"/>
        <v>7.4999999999999997E-2</v>
      </c>
      <c r="AG18" s="1">
        <f t="shared" si="7"/>
        <v>1.2732544907782273</v>
      </c>
      <c r="AH18" s="1">
        <f t="shared" si="8"/>
        <v>0.33333333333333331</v>
      </c>
      <c r="AI18" s="1">
        <f t="shared" si="9"/>
        <v>0.42441816359274243</v>
      </c>
      <c r="AJ18">
        <v>22</v>
      </c>
      <c r="AK18" s="1">
        <f t="shared" si="10"/>
        <v>4.5454545454545456E-2</v>
      </c>
      <c r="AL18" s="1">
        <f t="shared" si="11"/>
        <v>0.42441816359274254</v>
      </c>
      <c r="AM18" s="1">
        <f>4/7</f>
        <v>0.5714285714285714</v>
      </c>
      <c r="AN18" s="1">
        <f>(10/31)+(4/13)*2+(1/3)*3</f>
        <v>1.9379652605459057</v>
      </c>
      <c r="AO18" s="1">
        <f>IF(AR18="y",     (X18*10+AB18*6+AG18+AI18+AL18+(J18*0.7+L18*0.02+M18-N18*0.5+O18+P18*0.5-Q18*1.5)/E18)*(AP18/90)+(AM18-AVERAGE($AM$2:$AM53))*10,      (X18*10+AB18*6+AG18+AI18+AL18+(J18*0.7+L18*0.02+M18-N18*0.5+O18+P18*0.5-Q18*1.5)/E18)*(AQ18/90)+(AM18-AVERAGE($AM$2:$AM$37))*10)</f>
        <v>2.4915392767944251</v>
      </c>
      <c r="AQ18">
        <f>(10+45+8+29)/4</f>
        <v>23</v>
      </c>
    </row>
    <row r="19" spans="1:44" x14ac:dyDescent="0.2">
      <c r="A19" t="s">
        <v>57</v>
      </c>
      <c r="B19" t="s">
        <v>62</v>
      </c>
      <c r="C19" t="s">
        <v>86</v>
      </c>
      <c r="D19">
        <v>7400</v>
      </c>
      <c r="E19" s="1">
        <v>4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 s="1">
        <f t="shared" si="0"/>
        <v>0.745</v>
      </c>
      <c r="T19" s="1">
        <f t="shared" si="1"/>
        <v>0.745</v>
      </c>
      <c r="U19">
        <v>0</v>
      </c>
      <c r="V19">
        <v>5.3</v>
      </c>
      <c r="W19" s="1">
        <f t="shared" si="2"/>
        <v>0</v>
      </c>
      <c r="X19" s="1">
        <f t="shared" si="3"/>
        <v>0</v>
      </c>
      <c r="Y19">
        <v>0</v>
      </c>
      <c r="Z19">
        <v>3.2</v>
      </c>
      <c r="AA19" s="1">
        <f t="shared" si="4"/>
        <v>0</v>
      </c>
      <c r="AB19" s="1">
        <f t="shared" si="5"/>
        <v>0</v>
      </c>
      <c r="AC19" s="2">
        <v>16.976726543709699</v>
      </c>
      <c r="AD19" s="2">
        <v>4.8553437915009896</v>
      </c>
      <c r="AE19">
        <v>40</v>
      </c>
      <c r="AF19" s="1">
        <f t="shared" si="6"/>
        <v>0</v>
      </c>
      <c r="AG19" s="1">
        <f t="shared" si="7"/>
        <v>0</v>
      </c>
      <c r="AH19" s="1">
        <f t="shared" si="8"/>
        <v>0</v>
      </c>
      <c r="AI19" s="1">
        <f t="shared" si="9"/>
        <v>0</v>
      </c>
      <c r="AJ19">
        <v>22</v>
      </c>
      <c r="AK19" s="1">
        <f t="shared" si="10"/>
        <v>0</v>
      </c>
      <c r="AL19" s="1">
        <f t="shared" si="11"/>
        <v>0</v>
      </c>
      <c r="AM19" s="1">
        <f>4/7</f>
        <v>0.5714285714285714</v>
      </c>
      <c r="AN19" s="1">
        <f>(10/31)+(4/13)*2+(1/3)*3</f>
        <v>1.9379652605459057</v>
      </c>
      <c r="AO19" s="1">
        <f>IF(AR19="y",     (X19*10+AB19*6+AG19+AI19+AL19+(J19*0.7+L19*0.02+M19-N19*0.5+O19+P19*0.5-Q19*1.5)/E19)*(AP19/90)+(AM19-AVERAGE($AM$2:$AM54))*10,      (X19*10+AB19*6+AG19+AI19+AL19+(J19*0.7+L19*0.02+M19-N19*0.5+O19+P19*0.5-Q19*1.5)/E19)*(AQ19/90)+(AM19-AVERAGE($AM$2:$AM$37))*10)</f>
        <v>2.4910317460317493</v>
      </c>
      <c r="AP19">
        <v>90</v>
      </c>
      <c r="AR19" t="s">
        <v>82</v>
      </c>
    </row>
    <row r="20" spans="1:44" x14ac:dyDescent="0.2">
      <c r="A20" t="s">
        <v>78</v>
      </c>
      <c r="B20" t="s">
        <v>81</v>
      </c>
      <c r="C20" t="s">
        <v>85</v>
      </c>
      <c r="D20">
        <v>3600</v>
      </c>
      <c r="E20" s="1">
        <v>1.3777777777777778</v>
      </c>
      <c r="F20">
        <v>0</v>
      </c>
      <c r="G20">
        <v>0</v>
      </c>
      <c r="H20">
        <v>1</v>
      </c>
      <c r="I20">
        <v>0</v>
      </c>
      <c r="J20">
        <v>2</v>
      </c>
      <c r="K20">
        <v>0</v>
      </c>
      <c r="L20">
        <v>56</v>
      </c>
      <c r="M20">
        <v>2</v>
      </c>
      <c r="N20">
        <v>1</v>
      </c>
      <c r="O20">
        <v>2</v>
      </c>
      <c r="P20">
        <v>4</v>
      </c>
      <c r="Q20">
        <v>1</v>
      </c>
      <c r="R20">
        <v>0</v>
      </c>
      <c r="S20" s="1">
        <f t="shared" si="0"/>
        <v>6.5467741935483872</v>
      </c>
      <c r="T20" s="1">
        <f t="shared" si="1"/>
        <v>5.4580645161290322</v>
      </c>
      <c r="U20">
        <v>0.1</v>
      </c>
      <c r="V20">
        <v>2.6</v>
      </c>
      <c r="W20" s="1">
        <f t="shared" si="2"/>
        <v>3.8461538461538464E-2</v>
      </c>
      <c r="X20" s="1">
        <f t="shared" si="3"/>
        <v>4.7559171597633142E-2</v>
      </c>
      <c r="Y20">
        <v>0</v>
      </c>
      <c r="Z20">
        <v>1.3</v>
      </c>
      <c r="AA20" s="1">
        <f t="shared" si="4"/>
        <v>0</v>
      </c>
      <c r="AB20" s="1">
        <f t="shared" si="5"/>
        <v>0</v>
      </c>
      <c r="AC20" s="2">
        <v>8.8306126145342301</v>
      </c>
      <c r="AD20" s="2">
        <v>2.8169654240364199</v>
      </c>
      <c r="AE20">
        <v>33</v>
      </c>
      <c r="AF20" s="1">
        <f t="shared" si="6"/>
        <v>3.0303030303030304E-2</v>
      </c>
      <c r="AG20" s="1">
        <f t="shared" si="7"/>
        <v>0.26759432165255242</v>
      </c>
      <c r="AH20" s="1">
        <f t="shared" si="8"/>
        <v>0</v>
      </c>
      <c r="AI20" s="1">
        <f t="shared" si="9"/>
        <v>0</v>
      </c>
      <c r="AJ20">
        <v>21</v>
      </c>
      <c r="AK20" s="1">
        <f t="shared" si="10"/>
        <v>0</v>
      </c>
      <c r="AL20" s="1">
        <f t="shared" si="11"/>
        <v>0</v>
      </c>
      <c r="AM20" s="1">
        <f>2/9</f>
        <v>0.22222222222222221</v>
      </c>
      <c r="AN20" s="1">
        <f>(4/10)+(3/13)*2+(1/8)*3</f>
        <v>1.2365384615384616</v>
      </c>
      <c r="AO20" s="1">
        <f>IF(AR20="y",     (X20*10+AB20*6+AG20+AI20+AL20+(J20*0.7+L20*0.02+M20-N20*0.5+O20+P20*0.5-Q20*1.5)/E20)*(AP20/90)+(AM20-AVERAGE($AM$2:$AM55))*10,      (X20*10+AB20*6+AG20+AI20+AL20+(J20*0.7+L20*0.02+M20-N20*0.5+O20+P20*0.5-Q20*1.5)/E20)*(AQ20/90)+(AM20-AVERAGE($AM$2:$AM$37))*10)</f>
        <v>2.4518087322794342</v>
      </c>
      <c r="AP20">
        <v>69</v>
      </c>
      <c r="AQ20">
        <f>(10+45)/2</f>
        <v>27.5</v>
      </c>
      <c r="AR20" t="s">
        <v>82</v>
      </c>
    </row>
    <row r="21" spans="1:44" x14ac:dyDescent="0.2">
      <c r="A21" t="s">
        <v>52</v>
      </c>
      <c r="B21" t="s">
        <v>62</v>
      </c>
      <c r="C21" t="s">
        <v>83</v>
      </c>
      <c r="D21">
        <v>4000</v>
      </c>
      <c r="E21" s="1">
        <v>0.15555555555555556</v>
      </c>
      <c r="F21">
        <v>0</v>
      </c>
      <c r="G21">
        <v>0</v>
      </c>
      <c r="H21">
        <v>1</v>
      </c>
      <c r="I21">
        <v>0</v>
      </c>
      <c r="J21">
        <v>1</v>
      </c>
      <c r="K21">
        <v>0</v>
      </c>
      <c r="L21">
        <v>4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 s="1">
        <f t="shared" si="0"/>
        <v>21.085714285714285</v>
      </c>
      <c r="T21" s="1">
        <f t="shared" si="1"/>
        <v>21.085714285714285</v>
      </c>
      <c r="U21">
        <v>0.3</v>
      </c>
      <c r="V21">
        <v>5.3</v>
      </c>
      <c r="W21" s="1">
        <f t="shared" si="2"/>
        <v>5.6603773584905662E-2</v>
      </c>
      <c r="X21" s="1">
        <f t="shared" si="3"/>
        <v>0.10969614682335316</v>
      </c>
      <c r="Y21">
        <v>0</v>
      </c>
      <c r="Z21">
        <v>3.2</v>
      </c>
      <c r="AA21" s="1">
        <f t="shared" si="4"/>
        <v>0</v>
      </c>
      <c r="AB21" s="1">
        <f t="shared" si="5"/>
        <v>0</v>
      </c>
      <c r="AC21" s="2">
        <v>16.976726543709699</v>
      </c>
      <c r="AD21" s="2">
        <v>4.8553437915009896</v>
      </c>
      <c r="AE21">
        <v>40</v>
      </c>
      <c r="AF21" s="1">
        <f t="shared" si="6"/>
        <v>2.5000000000000001E-2</v>
      </c>
      <c r="AG21" s="1">
        <f t="shared" si="7"/>
        <v>0.42441816359274248</v>
      </c>
      <c r="AH21" s="1">
        <f t="shared" si="8"/>
        <v>0</v>
      </c>
      <c r="AI21" s="1">
        <f t="shared" si="9"/>
        <v>0</v>
      </c>
      <c r="AJ21">
        <v>22</v>
      </c>
      <c r="AK21" s="1">
        <f t="shared" si="10"/>
        <v>0</v>
      </c>
      <c r="AL21" s="1">
        <f t="shared" si="11"/>
        <v>0</v>
      </c>
      <c r="AM21" s="1">
        <f>4/7</f>
        <v>0.5714285714285714</v>
      </c>
      <c r="AN21" s="1">
        <f>(10/31)+(4/13)*2+(1/3)*3</f>
        <v>1.9379652605459057</v>
      </c>
      <c r="AO21" s="1">
        <f>IF(AR21="y",     (X21*10+AB21*6+AG21+AI21+AL21+(J21*0.7+L21*0.02+M21-N21*0.5+O21+P21*0.5-Q21*1.5)/E21)*(AP21/90)+(AM21-AVERAGE($AM$2:$AM56))*10,      (X21*10+AB21*6+AG21+AI21+AL21+(J21*0.7+L21*0.02+M21-N21*0.5+O21+P21*0.5-Q21*1.5)/E21)*(AQ21/90)+(AM21-AVERAGE($AM$2:$AM$37))*10)</f>
        <v>2.3751965094916598</v>
      </c>
      <c r="AQ21">
        <f>(4+10)/4</f>
        <v>3.5</v>
      </c>
    </row>
    <row r="22" spans="1:44" x14ac:dyDescent="0.2">
      <c r="A22" t="s">
        <v>80</v>
      </c>
      <c r="B22" t="s">
        <v>81</v>
      </c>
      <c r="C22" t="s">
        <v>83</v>
      </c>
      <c r="D22">
        <v>3800</v>
      </c>
      <c r="E22" s="1">
        <v>2.7555555555555555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121</v>
      </c>
      <c r="M22">
        <v>1</v>
      </c>
      <c r="N22">
        <v>6</v>
      </c>
      <c r="O22">
        <v>8</v>
      </c>
      <c r="P22">
        <v>6</v>
      </c>
      <c r="Q22">
        <v>0</v>
      </c>
      <c r="R22">
        <v>0</v>
      </c>
      <c r="S22" s="1">
        <f t="shared" si="0"/>
        <v>4.5072580645161286</v>
      </c>
      <c r="T22" s="1">
        <f t="shared" si="1"/>
        <v>4.5072580645161286</v>
      </c>
      <c r="U22">
        <v>0</v>
      </c>
      <c r="V22">
        <v>2.6</v>
      </c>
      <c r="W22" s="1">
        <f t="shared" si="2"/>
        <v>0</v>
      </c>
      <c r="X22" s="1">
        <f t="shared" si="3"/>
        <v>0</v>
      </c>
      <c r="Y22">
        <v>0</v>
      </c>
      <c r="Z22">
        <v>1.3</v>
      </c>
      <c r="AA22" s="1">
        <f t="shared" si="4"/>
        <v>0</v>
      </c>
      <c r="AB22" s="1">
        <f t="shared" si="5"/>
        <v>0</v>
      </c>
      <c r="AC22" s="2">
        <v>8.8306126145342301</v>
      </c>
      <c r="AD22" s="2">
        <v>2.8169654240364199</v>
      </c>
      <c r="AE22">
        <v>33</v>
      </c>
      <c r="AF22" s="1">
        <f t="shared" si="6"/>
        <v>3.0303030303030304E-2</v>
      </c>
      <c r="AG22" s="1">
        <f t="shared" si="7"/>
        <v>0.26759432165255242</v>
      </c>
      <c r="AH22" s="1">
        <f t="shared" si="8"/>
        <v>0</v>
      </c>
      <c r="AI22" s="1">
        <f t="shared" si="9"/>
        <v>0</v>
      </c>
      <c r="AJ22">
        <v>21</v>
      </c>
      <c r="AK22" s="1">
        <f t="shared" si="10"/>
        <v>0</v>
      </c>
      <c r="AL22" s="1">
        <f t="shared" si="11"/>
        <v>0</v>
      </c>
      <c r="AM22" s="1">
        <f>2/9</f>
        <v>0.22222222222222221</v>
      </c>
      <c r="AN22" s="1">
        <f>(4/10)+(3/13)*2+(1/8)*3</f>
        <v>1.2365384615384616</v>
      </c>
      <c r="AO22" s="1">
        <f>IF(AR22="y",     (X22*10+AB22*6+AG22+AI22+AL22+(J22*0.7+L22*0.02+M22-N22*0.5+O22+P22*0.5-Q22*1.5)/E22)*(AP22/90)+(AM22-AVERAGE($AM$2:$AM57))*10,      (X22*10+AB22*6+AG22+AI22+AL22+(J22*0.7+L22*0.02+M22-N22*0.5+O22+P22*0.5-Q22*1.5)/E22)*(AQ22/90)+(AM22-AVERAGE($AM$2:$AM$37))*10)</f>
        <v>2.306425260523195</v>
      </c>
      <c r="AP22">
        <f>(90+68+90)/3</f>
        <v>82.666666666666671</v>
      </c>
      <c r="AR22" t="s">
        <v>82</v>
      </c>
    </row>
    <row r="23" spans="1:44" x14ac:dyDescent="0.2">
      <c r="A23" t="s">
        <v>73</v>
      </c>
      <c r="B23" t="s">
        <v>81</v>
      </c>
      <c r="C23" t="s">
        <v>85</v>
      </c>
      <c r="D23">
        <v>3000</v>
      </c>
      <c r="E23" s="1">
        <v>3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149</v>
      </c>
      <c r="M23">
        <v>1</v>
      </c>
      <c r="N23">
        <v>5</v>
      </c>
      <c r="O23">
        <v>8</v>
      </c>
      <c r="P23">
        <v>5</v>
      </c>
      <c r="Q23">
        <v>1</v>
      </c>
      <c r="R23">
        <v>0</v>
      </c>
      <c r="S23" s="1">
        <f t="shared" si="0"/>
        <v>4.66</v>
      </c>
      <c r="T23" s="1">
        <f t="shared" si="1"/>
        <v>4.16</v>
      </c>
      <c r="U23">
        <v>0</v>
      </c>
      <c r="V23">
        <v>2.6</v>
      </c>
      <c r="W23" s="1">
        <f t="shared" si="2"/>
        <v>0</v>
      </c>
      <c r="X23" s="1">
        <f t="shared" si="3"/>
        <v>0</v>
      </c>
      <c r="Y23">
        <v>0</v>
      </c>
      <c r="Z23">
        <v>1.3</v>
      </c>
      <c r="AA23" s="1">
        <f t="shared" si="4"/>
        <v>0</v>
      </c>
      <c r="AB23" s="1">
        <f t="shared" si="5"/>
        <v>0</v>
      </c>
      <c r="AC23" s="2">
        <v>8.8306126145342301</v>
      </c>
      <c r="AD23" s="2">
        <v>2.8169654240364199</v>
      </c>
      <c r="AE23">
        <v>33</v>
      </c>
      <c r="AF23" s="1">
        <f t="shared" si="6"/>
        <v>3.0303030303030304E-2</v>
      </c>
      <c r="AG23" s="1">
        <f t="shared" si="7"/>
        <v>0.26759432165255242</v>
      </c>
      <c r="AH23" s="1">
        <f t="shared" si="8"/>
        <v>0</v>
      </c>
      <c r="AI23" s="1">
        <f t="shared" si="9"/>
        <v>0</v>
      </c>
      <c r="AJ23">
        <v>21</v>
      </c>
      <c r="AK23" s="1">
        <f t="shared" si="10"/>
        <v>4.7619047619047616E-2</v>
      </c>
      <c r="AL23" s="1">
        <f t="shared" si="11"/>
        <v>0.26759432165255242</v>
      </c>
      <c r="AM23" s="1">
        <f>2/9</f>
        <v>0.22222222222222221</v>
      </c>
      <c r="AN23" s="1">
        <f>(4/10)+(3/13)*2+(1/8)*3</f>
        <v>1.2365384615384616</v>
      </c>
      <c r="AO23" s="1">
        <f>IF(AR23="y",     (X23*10+AB23*6+AG23+AI23+AL23+(J23*0.7+L23*0.02+M23-N23*0.5+O23+P23*0.5-Q23*1.5)/E23)*(AP23/90)+(AM23-AVERAGE($AM$2:$AM58))*10,      (X23*10+AB23*6+AG23+AI23+AL23+(J23*0.7+L23*0.02+M23-N23*0.5+O23+P23*0.5-Q23*1.5)/E23)*(AQ23/90)+(AM23-AVERAGE($AM$2:$AM$37))*10)</f>
        <v>2.2824902306066956</v>
      </c>
      <c r="AP23">
        <v>90</v>
      </c>
      <c r="AR23" t="s">
        <v>82</v>
      </c>
    </row>
    <row r="24" spans="1:44" x14ac:dyDescent="0.2">
      <c r="A24" t="s">
        <v>54</v>
      </c>
      <c r="B24" t="s">
        <v>62</v>
      </c>
      <c r="C24" t="s">
        <v>83</v>
      </c>
      <c r="D24">
        <v>5400</v>
      </c>
      <c r="E24" s="1">
        <v>1.1000000000000001</v>
      </c>
      <c r="F24">
        <v>0</v>
      </c>
      <c r="G24">
        <v>1</v>
      </c>
      <c r="H24">
        <v>0</v>
      </c>
      <c r="I24">
        <v>0</v>
      </c>
      <c r="J24">
        <v>4</v>
      </c>
      <c r="K24">
        <v>1</v>
      </c>
      <c r="L24">
        <v>32</v>
      </c>
      <c r="M24">
        <v>0</v>
      </c>
      <c r="N24">
        <v>3</v>
      </c>
      <c r="O24">
        <v>3</v>
      </c>
      <c r="P24">
        <v>1</v>
      </c>
      <c r="Q24">
        <v>0</v>
      </c>
      <c r="R24">
        <v>0</v>
      </c>
      <c r="S24" s="1">
        <f t="shared" si="0"/>
        <v>5.8545454545454536</v>
      </c>
      <c r="T24" s="1">
        <f t="shared" si="1"/>
        <v>11.309090909090909</v>
      </c>
      <c r="U24">
        <v>0</v>
      </c>
      <c r="V24">
        <v>5.3</v>
      </c>
      <c r="W24" s="1">
        <f t="shared" si="2"/>
        <v>0</v>
      </c>
      <c r="X24" s="1">
        <f t="shared" si="3"/>
        <v>0</v>
      </c>
      <c r="Y24">
        <v>0.1</v>
      </c>
      <c r="Z24">
        <v>3.2</v>
      </c>
      <c r="AA24" s="1">
        <f t="shared" si="4"/>
        <v>3.125E-2</v>
      </c>
      <c r="AB24" s="1">
        <f t="shared" si="5"/>
        <v>6.0561414392059552E-2</v>
      </c>
      <c r="AC24" s="2">
        <v>16.976726543709699</v>
      </c>
      <c r="AD24" s="2">
        <v>4.8553437915009896</v>
      </c>
      <c r="AE24">
        <v>40</v>
      </c>
      <c r="AF24" s="1">
        <f t="shared" si="6"/>
        <v>0</v>
      </c>
      <c r="AG24" s="1">
        <f t="shared" si="7"/>
        <v>0</v>
      </c>
      <c r="AH24" s="1">
        <f t="shared" si="8"/>
        <v>0</v>
      </c>
      <c r="AI24" s="1">
        <f t="shared" si="9"/>
        <v>0</v>
      </c>
      <c r="AJ24">
        <v>22</v>
      </c>
      <c r="AK24" s="1">
        <f t="shared" si="10"/>
        <v>4.5454545454545456E-2</v>
      </c>
      <c r="AL24" s="1">
        <f t="shared" si="11"/>
        <v>0.42441816359274254</v>
      </c>
      <c r="AM24" s="1">
        <f>4/7</f>
        <v>0.5714285714285714</v>
      </c>
      <c r="AN24" s="1">
        <f>(10/31)+(4/13)*2+(1/3)*3</f>
        <v>1.9379652605459057</v>
      </c>
      <c r="AO24" s="1">
        <f>IF(AR24="y",     (X24*10+AB24*6+AG24+AI24+AL24+(J24*0.7+L24*0.02+M24-N24*0.5+O24+P24*0.5-Q24*1.5)/E24)*(AP24/90)+(AM24-AVERAGE($AM$2:$AM59))*10,      (X24*10+AB24*6+AG24+AI24+AL24+(J24*0.7+L24*0.02+M24-N24*0.5+O24+P24*0.5-Q24*1.5)/E24)*(AQ24/90)+(AM24-AVERAGE($AM$2:$AM$37))*10)</f>
        <v>2.1070135990754304</v>
      </c>
      <c r="AP24">
        <v>82</v>
      </c>
      <c r="AQ24">
        <f>(4+13)/3</f>
        <v>5.666666666666667</v>
      </c>
    </row>
    <row r="25" spans="1:44" x14ac:dyDescent="0.2">
      <c r="A25" t="s">
        <v>61</v>
      </c>
      <c r="B25" t="s">
        <v>62</v>
      </c>
      <c r="C25" t="s">
        <v>83</v>
      </c>
      <c r="D25">
        <v>5000</v>
      </c>
      <c r="E25" s="1">
        <v>0.74444444444444446</v>
      </c>
      <c r="F25">
        <v>0</v>
      </c>
      <c r="G25">
        <v>0</v>
      </c>
      <c r="H25">
        <v>1</v>
      </c>
      <c r="I25">
        <v>1</v>
      </c>
      <c r="J25">
        <v>1</v>
      </c>
      <c r="K25">
        <v>0</v>
      </c>
      <c r="L25">
        <v>17</v>
      </c>
      <c r="M25">
        <v>1</v>
      </c>
      <c r="N25">
        <v>1</v>
      </c>
      <c r="O25">
        <v>1</v>
      </c>
      <c r="P25">
        <v>0</v>
      </c>
      <c r="Q25">
        <v>0</v>
      </c>
      <c r="R25">
        <v>0</v>
      </c>
      <c r="S25" s="1">
        <f t="shared" si="0"/>
        <v>6.098507462686567</v>
      </c>
      <c r="T25" s="1">
        <f t="shared" si="1"/>
        <v>6.098507462686567</v>
      </c>
      <c r="U25">
        <v>0.1</v>
      </c>
      <c r="V25">
        <v>5.3</v>
      </c>
      <c r="W25" s="1">
        <f t="shared" si="2"/>
        <v>1.886792452830189E-2</v>
      </c>
      <c r="X25" s="1">
        <f t="shared" si="3"/>
        <v>3.6565382274451053E-2</v>
      </c>
      <c r="Y25">
        <v>0</v>
      </c>
      <c r="Z25">
        <v>3.2</v>
      </c>
      <c r="AA25" s="1">
        <f t="shared" si="4"/>
        <v>0</v>
      </c>
      <c r="AB25" s="1">
        <f t="shared" si="5"/>
        <v>0</v>
      </c>
      <c r="AC25" s="2">
        <v>16.976726543709699</v>
      </c>
      <c r="AD25" s="2">
        <v>4.8553437915009896</v>
      </c>
      <c r="AE25">
        <v>40</v>
      </c>
      <c r="AF25" s="1">
        <f t="shared" si="6"/>
        <v>2.5000000000000001E-2</v>
      </c>
      <c r="AG25" s="1">
        <f t="shared" si="7"/>
        <v>0.42441816359274248</v>
      </c>
      <c r="AH25" s="1">
        <f t="shared" si="8"/>
        <v>1</v>
      </c>
      <c r="AI25" s="1">
        <f t="shared" si="9"/>
        <v>0.42441816359274248</v>
      </c>
      <c r="AJ25">
        <v>22</v>
      </c>
      <c r="AK25" s="1">
        <f t="shared" si="10"/>
        <v>0</v>
      </c>
      <c r="AL25" s="1">
        <f t="shared" si="11"/>
        <v>0</v>
      </c>
      <c r="AM25" s="1">
        <f>4/7</f>
        <v>0.5714285714285714</v>
      </c>
      <c r="AN25" s="1">
        <f>(10/31)+(4/13)*2+(1/3)*3</f>
        <v>1.9379652605459057</v>
      </c>
      <c r="AO25" s="1">
        <f>IF(AR25="y",     (X25*10+AB25*6+AG25+AI25+AL25+(J25*0.7+L25*0.02+M25-N25*0.5+O25+P25*0.5-Q25*1.5)/E25)*(AP25/90)+(AM25-AVERAGE($AM$2:$AM60))*10,      (X25*10+AB25*6+AG25+AI25+AL25+(J25*0.7+L25*0.02+M25-N25*0.5+O25+P25*0.5-Q25*1.5)/E25)*(AQ25/90)+(AM25-AVERAGE($AM$2:$AM$37))*10)</f>
        <v>1.951650877073414</v>
      </c>
      <c r="AP25">
        <v>55</v>
      </c>
      <c r="AQ25">
        <f>12/3</f>
        <v>4</v>
      </c>
    </row>
    <row r="26" spans="1:44" x14ac:dyDescent="0.2">
      <c r="A26" t="s">
        <v>44</v>
      </c>
      <c r="B26" t="s">
        <v>62</v>
      </c>
      <c r="C26" t="s">
        <v>85</v>
      </c>
      <c r="D26">
        <v>3600</v>
      </c>
      <c r="E26" s="1">
        <v>1.0555555555555556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21</v>
      </c>
      <c r="M26">
        <v>1</v>
      </c>
      <c r="N26">
        <v>2</v>
      </c>
      <c r="O26">
        <v>1</v>
      </c>
      <c r="P26">
        <v>1</v>
      </c>
      <c r="Q26">
        <v>1</v>
      </c>
      <c r="R26">
        <v>0</v>
      </c>
      <c r="S26" s="1">
        <f t="shared" si="0"/>
        <v>1.8189473684210524</v>
      </c>
      <c r="T26" s="1">
        <f t="shared" si="1"/>
        <v>0.39789473684210519</v>
      </c>
      <c r="U26">
        <v>0</v>
      </c>
      <c r="V26">
        <v>5.3</v>
      </c>
      <c r="W26" s="1">
        <f t="shared" si="2"/>
        <v>0</v>
      </c>
      <c r="X26" s="1">
        <f t="shared" si="3"/>
        <v>0</v>
      </c>
      <c r="Y26">
        <v>0</v>
      </c>
      <c r="Z26">
        <v>3.2</v>
      </c>
      <c r="AA26" s="1">
        <f t="shared" si="4"/>
        <v>0</v>
      </c>
      <c r="AB26" s="1">
        <f t="shared" si="5"/>
        <v>0</v>
      </c>
      <c r="AC26" s="2">
        <v>16.976726543709699</v>
      </c>
      <c r="AD26" s="2">
        <v>4.8553437915009896</v>
      </c>
      <c r="AE26">
        <v>40</v>
      </c>
      <c r="AF26" s="1">
        <f t="shared" si="6"/>
        <v>0</v>
      </c>
      <c r="AG26" s="1">
        <f t="shared" si="7"/>
        <v>0</v>
      </c>
      <c r="AH26" s="1">
        <f t="shared" si="8"/>
        <v>0</v>
      </c>
      <c r="AI26" s="1">
        <f t="shared" si="9"/>
        <v>0</v>
      </c>
      <c r="AJ26">
        <v>22</v>
      </c>
      <c r="AK26" s="1">
        <f t="shared" si="10"/>
        <v>0</v>
      </c>
      <c r="AL26" s="1">
        <f t="shared" si="11"/>
        <v>0</v>
      </c>
      <c r="AM26" s="1">
        <f>4/7</f>
        <v>0.5714285714285714</v>
      </c>
      <c r="AN26" s="1">
        <f>(10/31)+(4/13)*2+(1/3)*3</f>
        <v>1.9379652605459057</v>
      </c>
      <c r="AO26" s="1">
        <f>IF(AR26="y",     (X26*10+AB26*6+AG26+AI26+AL26+(J26*0.7+L26*0.02+M26-N26*0.5+O26+P26*0.5-Q26*1.5)/E26)*(AP26/90)+(AM26-AVERAGE($AM$2:$AM61))*10,      (X26*10+AB26*6+AG26+AI26+AL26+(J26*0.7+L26*0.02+M26-N26*0.5+O26+P26*0.5-Q26*1.5)/E26)*(AQ26/90)+(AM26-AVERAGE($AM$2:$AM$37))*10)</f>
        <v>1.7534001670843806</v>
      </c>
      <c r="AP26">
        <v>90</v>
      </c>
      <c r="AQ26" s="3">
        <f>5/3</f>
        <v>1.6666666666666667</v>
      </c>
    </row>
    <row r="27" spans="1:44" x14ac:dyDescent="0.2">
      <c r="A27" t="s">
        <v>45</v>
      </c>
      <c r="B27" t="s">
        <v>62</v>
      </c>
      <c r="C27" t="s">
        <v>83</v>
      </c>
      <c r="D27">
        <v>4000</v>
      </c>
      <c r="E27" s="1">
        <v>2</v>
      </c>
      <c r="F27">
        <v>0</v>
      </c>
      <c r="G27">
        <v>0</v>
      </c>
      <c r="H27">
        <v>2</v>
      </c>
      <c r="I27">
        <v>0</v>
      </c>
      <c r="J27">
        <v>0</v>
      </c>
      <c r="K27">
        <v>0</v>
      </c>
      <c r="L27">
        <v>91</v>
      </c>
      <c r="M27">
        <v>1</v>
      </c>
      <c r="N27">
        <v>3</v>
      </c>
      <c r="O27">
        <v>6</v>
      </c>
      <c r="P27">
        <v>4</v>
      </c>
      <c r="Q27">
        <v>0</v>
      </c>
      <c r="R27">
        <v>0</v>
      </c>
      <c r="S27" s="1">
        <f t="shared" si="0"/>
        <v>5.66</v>
      </c>
      <c r="T27" s="1">
        <f t="shared" si="1"/>
        <v>5.66</v>
      </c>
      <c r="U27">
        <v>0.1</v>
      </c>
      <c r="V27">
        <v>5.3</v>
      </c>
      <c r="W27" s="1">
        <f t="shared" si="2"/>
        <v>1.886792452830189E-2</v>
      </c>
      <c r="X27" s="1">
        <f t="shared" si="3"/>
        <v>3.6565382274451053E-2</v>
      </c>
      <c r="Y27">
        <v>0</v>
      </c>
      <c r="Z27">
        <v>3.2</v>
      </c>
      <c r="AA27" s="1">
        <f t="shared" si="4"/>
        <v>0</v>
      </c>
      <c r="AB27" s="1">
        <f t="shared" si="5"/>
        <v>0</v>
      </c>
      <c r="AC27" s="2">
        <v>16.976726543709699</v>
      </c>
      <c r="AD27" s="2">
        <v>4.8553437915009896</v>
      </c>
      <c r="AE27">
        <v>40</v>
      </c>
      <c r="AF27" s="1">
        <f t="shared" si="6"/>
        <v>0.05</v>
      </c>
      <c r="AG27" s="1">
        <f t="shared" si="7"/>
        <v>0.84883632718548496</v>
      </c>
      <c r="AH27" s="1">
        <f t="shared" si="8"/>
        <v>0</v>
      </c>
      <c r="AI27" s="1">
        <f t="shared" si="9"/>
        <v>0</v>
      </c>
      <c r="AJ27">
        <v>22</v>
      </c>
      <c r="AK27" s="1">
        <f t="shared" si="10"/>
        <v>0</v>
      </c>
      <c r="AL27" s="1">
        <f t="shared" si="11"/>
        <v>0</v>
      </c>
      <c r="AM27" s="1">
        <f>4/7</f>
        <v>0.5714285714285714</v>
      </c>
      <c r="AN27" s="1">
        <f>(10/31)+(4/13)*2+(1/3)*3</f>
        <v>1.9379652605459057</v>
      </c>
      <c r="AO27" s="1">
        <f>IF(AR27="y",     (X27*10+AB27*6+AG27+AI27+AL27+(J27*0.7+L27*0.02+M27-N27*0.5+O27+P27*0.5-Q27*1.5)/E27)*(AP27/90)+(AM27-AVERAGE($AM$2:$AM62))*10,      (X27*10+AB27*6+AG27+AI27+AL27+(J27*0.7+L27*0.02+M27-N27*0.5+O27+P27*0.5-Q27*1.5)/E27)*(AQ27/90)+(AM27-AVERAGE($AM$2:$AM$37))*10)</f>
        <v>1.7460317460317492</v>
      </c>
      <c r="AP27">
        <v>90</v>
      </c>
      <c r="AQ27">
        <v>0</v>
      </c>
    </row>
    <row r="28" spans="1:44" x14ac:dyDescent="0.2">
      <c r="A28" t="s">
        <v>64</v>
      </c>
      <c r="B28" t="s">
        <v>81</v>
      </c>
      <c r="C28" t="s">
        <v>85</v>
      </c>
      <c r="D28">
        <v>5000</v>
      </c>
      <c r="E28" s="1">
        <v>1.3888888888888888</v>
      </c>
      <c r="F28">
        <v>0</v>
      </c>
      <c r="G28">
        <v>0</v>
      </c>
      <c r="H28">
        <v>0</v>
      </c>
      <c r="I28">
        <v>0</v>
      </c>
      <c r="J28">
        <v>2</v>
      </c>
      <c r="K28">
        <v>4</v>
      </c>
      <c r="L28">
        <v>39</v>
      </c>
      <c r="M28">
        <v>0</v>
      </c>
      <c r="N28">
        <v>2</v>
      </c>
      <c r="O28">
        <v>1</v>
      </c>
      <c r="P28">
        <v>2</v>
      </c>
      <c r="Q28">
        <v>0</v>
      </c>
      <c r="R28">
        <v>0</v>
      </c>
      <c r="S28" s="1">
        <f t="shared" si="0"/>
        <v>5.1696000000000009</v>
      </c>
      <c r="T28" s="1">
        <f t="shared" si="1"/>
        <v>5.1696000000000009</v>
      </c>
      <c r="U28">
        <v>0</v>
      </c>
      <c r="V28">
        <v>2.6</v>
      </c>
      <c r="W28" s="1">
        <f t="shared" si="2"/>
        <v>0</v>
      </c>
      <c r="X28" s="1">
        <f t="shared" si="3"/>
        <v>0</v>
      </c>
      <c r="Y28">
        <v>0.1</v>
      </c>
      <c r="Z28">
        <v>1.3</v>
      </c>
      <c r="AA28" s="1">
        <f t="shared" si="4"/>
        <v>7.6923076923076927E-2</v>
      </c>
      <c r="AB28" s="1">
        <f t="shared" si="5"/>
        <v>9.5118343195266283E-2</v>
      </c>
      <c r="AC28" s="2">
        <v>8.8306126145342301</v>
      </c>
      <c r="AD28" s="2">
        <v>2.8169654240364199</v>
      </c>
      <c r="AE28">
        <v>33</v>
      </c>
      <c r="AF28" s="1">
        <f t="shared" si="6"/>
        <v>0</v>
      </c>
      <c r="AG28" s="1">
        <f t="shared" si="7"/>
        <v>0</v>
      </c>
      <c r="AH28" s="1">
        <f t="shared" si="8"/>
        <v>0</v>
      </c>
      <c r="AI28" s="1">
        <f t="shared" si="9"/>
        <v>0</v>
      </c>
      <c r="AJ28">
        <v>21</v>
      </c>
      <c r="AK28" s="1">
        <f t="shared" si="10"/>
        <v>0.19047619047619047</v>
      </c>
      <c r="AL28" s="1">
        <f t="shared" si="11"/>
        <v>1.0703772866102097</v>
      </c>
      <c r="AM28" s="1">
        <f t="shared" ref="AM28:AM37" si="14">2/9</f>
        <v>0.22222222222222221</v>
      </c>
      <c r="AN28" s="1">
        <f t="shared" ref="AN28:AN37" si="15">(4/10)+(3/13)*2+(1/8)*3</f>
        <v>1.2365384615384616</v>
      </c>
      <c r="AO28" s="1">
        <f>IF(AR28="y",     (X28*10+AB28*6+AG28+AI28+AL28+(J28*0.7+L28*0.02+M28-N28*0.5+O28+P28*0.5-Q28*1.5)/E28)*(AP28/90)+(AM28-AVERAGE($AM$2:$AM63))*10,      (X28*10+AB28*6+AG28+AI28+AL28+(J28*0.7+L28*0.02+M28-N28*0.5+O28+P28*0.5-Q28*1.5)/E28)*(AQ28/90)+(AM28-AVERAGE($AM$2:$AM$37))*10)</f>
        <v>1.7042382574878441</v>
      </c>
      <c r="AP28">
        <v>79</v>
      </c>
      <c r="AQ28">
        <v>23</v>
      </c>
      <c r="AR28" t="s">
        <v>82</v>
      </c>
    </row>
    <row r="29" spans="1:44" x14ac:dyDescent="0.2">
      <c r="A29" t="s">
        <v>75</v>
      </c>
      <c r="B29" t="s">
        <v>81</v>
      </c>
      <c r="C29" t="s">
        <v>84</v>
      </c>
      <c r="D29">
        <v>6000</v>
      </c>
      <c r="E29" s="1">
        <v>2.5111111111111111</v>
      </c>
      <c r="F29">
        <v>0</v>
      </c>
      <c r="G29">
        <v>0</v>
      </c>
      <c r="H29">
        <v>5</v>
      </c>
      <c r="I29">
        <v>1</v>
      </c>
      <c r="J29">
        <v>0</v>
      </c>
      <c r="K29">
        <v>1</v>
      </c>
      <c r="L29">
        <v>48</v>
      </c>
      <c r="M29">
        <v>7</v>
      </c>
      <c r="N29">
        <v>7</v>
      </c>
      <c r="O29">
        <v>0</v>
      </c>
      <c r="P29">
        <v>1</v>
      </c>
      <c r="Q29">
        <v>0</v>
      </c>
      <c r="R29">
        <v>0</v>
      </c>
      <c r="S29" s="1">
        <f t="shared" si="0"/>
        <v>4.7628318584070799</v>
      </c>
      <c r="T29" s="1">
        <f t="shared" si="1"/>
        <v>4.7628318584070799</v>
      </c>
      <c r="U29">
        <v>0.2</v>
      </c>
      <c r="V29">
        <v>2.6</v>
      </c>
      <c r="W29" s="1">
        <f t="shared" si="2"/>
        <v>7.6923076923076927E-2</v>
      </c>
      <c r="X29" s="1">
        <f t="shared" si="3"/>
        <v>9.5118343195266283E-2</v>
      </c>
      <c r="Y29">
        <v>0</v>
      </c>
      <c r="Z29">
        <v>1.3</v>
      </c>
      <c r="AA29" s="1">
        <f t="shared" si="4"/>
        <v>0</v>
      </c>
      <c r="AB29" s="1">
        <f t="shared" si="5"/>
        <v>0</v>
      </c>
      <c r="AC29" s="2">
        <v>8.8306126145342301</v>
      </c>
      <c r="AD29" s="2">
        <v>2.8169654240364199</v>
      </c>
      <c r="AE29">
        <v>33</v>
      </c>
      <c r="AF29" s="1">
        <f t="shared" si="6"/>
        <v>0.15151515151515152</v>
      </c>
      <c r="AG29" s="1">
        <f t="shared" si="7"/>
        <v>1.3379716082627622</v>
      </c>
      <c r="AH29" s="1">
        <f t="shared" si="8"/>
        <v>0.2</v>
      </c>
      <c r="AI29" s="1">
        <f t="shared" si="9"/>
        <v>0.26759432165255242</v>
      </c>
      <c r="AJ29">
        <v>21</v>
      </c>
      <c r="AK29" s="1">
        <f t="shared" si="10"/>
        <v>4.7619047619047616E-2</v>
      </c>
      <c r="AL29" s="1">
        <f t="shared" si="11"/>
        <v>0.26759432165255242</v>
      </c>
      <c r="AM29" s="1">
        <f t="shared" si="14"/>
        <v>0.22222222222222221</v>
      </c>
      <c r="AN29" s="1">
        <f t="shared" si="15"/>
        <v>1.2365384615384616</v>
      </c>
      <c r="AO29" s="1">
        <f>IF(AR29="y",     (X29*10+AB29*6+AG29+AI29+AL29+(J29*0.7+L29*0.02+M29-N29*0.5+O29+P29*0.5-Q29*1.5)/E29)*(AP29/90)+(AM29-AVERAGE($AM$2:$AM64))*10,      (X29*10+AB29*6+AG29+AI29+AL29+(J29*0.7+L29*0.02+M29-N29*0.5+O29+P29*0.5-Q29*1.5)/E29)*(AQ29/90)+(AM29-AVERAGE($AM$2:$AM$37))*10)</f>
        <v>1.2403642057202644</v>
      </c>
      <c r="AP29">
        <v>85</v>
      </c>
      <c r="AQ29">
        <v>56</v>
      </c>
    </row>
    <row r="30" spans="1:44" x14ac:dyDescent="0.2">
      <c r="A30" t="s">
        <v>72</v>
      </c>
      <c r="B30" t="s">
        <v>81</v>
      </c>
      <c r="C30" t="s">
        <v>85</v>
      </c>
      <c r="D30">
        <v>3800</v>
      </c>
      <c r="E30" s="1">
        <v>1.6222222222222222</v>
      </c>
      <c r="F30">
        <v>0</v>
      </c>
      <c r="G30">
        <v>1</v>
      </c>
      <c r="H30">
        <v>1</v>
      </c>
      <c r="I30">
        <v>0</v>
      </c>
      <c r="J30">
        <v>3</v>
      </c>
      <c r="K30">
        <v>2</v>
      </c>
      <c r="L30">
        <v>70</v>
      </c>
      <c r="M30">
        <v>3</v>
      </c>
      <c r="N30">
        <v>1</v>
      </c>
      <c r="O30">
        <v>3</v>
      </c>
      <c r="P30">
        <v>5</v>
      </c>
      <c r="Q30">
        <v>0</v>
      </c>
      <c r="R30">
        <v>0</v>
      </c>
      <c r="S30" s="1">
        <f t="shared" si="0"/>
        <v>8.9383561643835616</v>
      </c>
      <c r="T30" s="1">
        <f t="shared" si="1"/>
        <v>12.636986301369863</v>
      </c>
      <c r="U30">
        <v>0</v>
      </c>
      <c r="V30">
        <v>2.6</v>
      </c>
      <c r="W30" s="1">
        <f t="shared" si="2"/>
        <v>0</v>
      </c>
      <c r="X30" s="1">
        <f t="shared" si="3"/>
        <v>0</v>
      </c>
      <c r="Y30">
        <v>0.5</v>
      </c>
      <c r="Z30">
        <v>1.3</v>
      </c>
      <c r="AA30" s="1">
        <f t="shared" si="4"/>
        <v>0.38461538461538458</v>
      </c>
      <c r="AB30" s="1">
        <f t="shared" si="5"/>
        <v>0.47559171597633132</v>
      </c>
      <c r="AC30" s="2">
        <v>8.8306126145342301</v>
      </c>
      <c r="AD30" s="2">
        <v>2.8169654240364199</v>
      </c>
      <c r="AE30">
        <v>33</v>
      </c>
      <c r="AF30" s="1">
        <f t="shared" si="6"/>
        <v>3.0303030303030304E-2</v>
      </c>
      <c r="AG30" s="1">
        <f t="shared" si="7"/>
        <v>0.26759432165255242</v>
      </c>
      <c r="AH30" s="1">
        <f t="shared" si="8"/>
        <v>0</v>
      </c>
      <c r="AI30" s="1">
        <f t="shared" si="9"/>
        <v>0</v>
      </c>
      <c r="AJ30">
        <v>21</v>
      </c>
      <c r="AK30" s="1">
        <f t="shared" si="10"/>
        <v>9.5238095238095233E-2</v>
      </c>
      <c r="AL30" s="1">
        <f t="shared" si="11"/>
        <v>0.53518864330510485</v>
      </c>
      <c r="AM30" s="1">
        <f t="shared" si="14"/>
        <v>0.22222222222222221</v>
      </c>
      <c r="AN30" s="1">
        <f t="shared" si="15"/>
        <v>1.2365384615384616</v>
      </c>
      <c r="AO30" s="1">
        <f>IF(AR30="y",     (X30*10+AB30*6+AG30+AI30+AL30+(J30*0.7+L30*0.02+M30-N30*0.5+O30+P30*0.5-Q30*1.5)/E30)*(AP30/90)+(AM30-AVERAGE($AM$2:$AM65))*10,      (X30*10+AB30*6+AG30+AI30+AL30+(J30*0.7+L30*0.02+M30-N30*0.5+O30+P30*0.5-Q30*1.5)/E30)*(AQ30/90)+(AM30-AVERAGE($AM$2:$AM$37))*10)</f>
        <v>0.76122227053300406</v>
      </c>
      <c r="AP30">
        <f>(80+45)/2</f>
        <v>62.5</v>
      </c>
      <c r="AQ30">
        <v>21</v>
      </c>
    </row>
    <row r="31" spans="1:44" x14ac:dyDescent="0.2">
      <c r="A31" t="s">
        <v>79</v>
      </c>
      <c r="B31" t="s">
        <v>81</v>
      </c>
      <c r="C31" t="s">
        <v>83</v>
      </c>
      <c r="D31">
        <v>4200</v>
      </c>
      <c r="E31" s="1">
        <v>1.5888888888888888</v>
      </c>
      <c r="F31">
        <v>1</v>
      </c>
      <c r="G31">
        <v>0</v>
      </c>
      <c r="H31">
        <v>4</v>
      </c>
      <c r="I31">
        <v>1</v>
      </c>
      <c r="J31">
        <v>1</v>
      </c>
      <c r="K31">
        <v>3</v>
      </c>
      <c r="L31">
        <v>21</v>
      </c>
      <c r="M31">
        <v>2</v>
      </c>
      <c r="N31">
        <v>3</v>
      </c>
      <c r="O31">
        <v>5</v>
      </c>
      <c r="P31">
        <v>2</v>
      </c>
      <c r="Q31">
        <v>0</v>
      </c>
      <c r="R31">
        <v>0</v>
      </c>
      <c r="S31" s="1">
        <f t="shared" si="0"/>
        <v>9.8307692307692314</v>
      </c>
      <c r="T31" s="1">
        <f t="shared" si="1"/>
        <v>16.124475524475525</v>
      </c>
      <c r="U31">
        <v>0.30000000000000004</v>
      </c>
      <c r="V31">
        <v>2.6</v>
      </c>
      <c r="W31" s="1">
        <f t="shared" si="2"/>
        <v>0.11538461538461539</v>
      </c>
      <c r="X31" s="1">
        <f t="shared" si="3"/>
        <v>0.14267751479289942</v>
      </c>
      <c r="Y31">
        <v>0.1</v>
      </c>
      <c r="Z31">
        <v>1.3</v>
      </c>
      <c r="AA31" s="1">
        <f t="shared" si="4"/>
        <v>7.6923076923076927E-2</v>
      </c>
      <c r="AB31" s="1">
        <f t="shared" si="5"/>
        <v>9.5118343195266283E-2</v>
      </c>
      <c r="AC31" s="2">
        <v>8.8306126145342301</v>
      </c>
      <c r="AD31" s="2">
        <v>2.8169654240364199</v>
      </c>
      <c r="AE31">
        <v>33</v>
      </c>
      <c r="AF31" s="1">
        <f t="shared" si="6"/>
        <v>0.12121212121212122</v>
      </c>
      <c r="AG31" s="1">
        <f t="shared" si="7"/>
        <v>1.0703772866102097</v>
      </c>
      <c r="AH31" s="1">
        <f t="shared" si="8"/>
        <v>0.25</v>
      </c>
      <c r="AI31" s="1">
        <f t="shared" si="9"/>
        <v>0.26759432165255242</v>
      </c>
      <c r="AJ31">
        <v>21</v>
      </c>
      <c r="AK31" s="1">
        <f t="shared" si="10"/>
        <v>0.14285714285714285</v>
      </c>
      <c r="AL31" s="1">
        <f t="shared" si="11"/>
        <v>0.80278296495765722</v>
      </c>
      <c r="AM31" s="1">
        <f t="shared" si="14"/>
        <v>0.22222222222222221</v>
      </c>
      <c r="AN31" s="1">
        <f t="shared" si="15"/>
        <v>1.2365384615384616</v>
      </c>
      <c r="AO31" s="1">
        <f>IF(AR31="y",     (X31*10+AB31*6+AG31+AI31+AL31+(J31*0.7+L31*0.02+M31-N31*0.5+O31+P31*0.5-Q31*1.5)/E31)*(AP31/90)+(AM31-AVERAGE($AM$2:$AM66))*10,      (X31*10+AB31*6+AG31+AI31+AL31+(J31*0.7+L31*0.02+M31-N31*0.5+O31+P31*0.5-Q31*1.5)/E31)*(AQ31/90)+(AM31-AVERAGE($AM$2:$AM$37))*10)</f>
        <v>0.33857851506413894</v>
      </c>
      <c r="AP31">
        <f>(66+56)/2</f>
        <v>61</v>
      </c>
      <c r="AQ31">
        <v>21</v>
      </c>
    </row>
    <row r="32" spans="1:44" x14ac:dyDescent="0.2">
      <c r="A32" t="s">
        <v>66</v>
      </c>
      <c r="B32" t="s">
        <v>81</v>
      </c>
      <c r="C32" t="s">
        <v>84</v>
      </c>
      <c r="D32">
        <v>5600</v>
      </c>
      <c r="E32" s="1">
        <v>0.85555555555555551</v>
      </c>
      <c r="F32">
        <v>1</v>
      </c>
      <c r="G32">
        <v>0</v>
      </c>
      <c r="H32">
        <v>2</v>
      </c>
      <c r="I32">
        <v>1</v>
      </c>
      <c r="J32">
        <v>0</v>
      </c>
      <c r="K32">
        <v>0</v>
      </c>
      <c r="L32">
        <v>11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 s="1">
        <f t="shared" si="0"/>
        <v>4.9324675324675331</v>
      </c>
      <c r="T32" s="1">
        <f t="shared" si="1"/>
        <v>16.620779220779223</v>
      </c>
      <c r="U32">
        <v>0.1</v>
      </c>
      <c r="V32">
        <v>2.6</v>
      </c>
      <c r="W32" s="1">
        <f t="shared" si="2"/>
        <v>3.8461538461538464E-2</v>
      </c>
      <c r="X32" s="1">
        <f t="shared" si="3"/>
        <v>4.7559171597633142E-2</v>
      </c>
      <c r="Y32">
        <v>0</v>
      </c>
      <c r="Z32">
        <v>1.3</v>
      </c>
      <c r="AA32" s="1">
        <f t="shared" si="4"/>
        <v>0</v>
      </c>
      <c r="AB32" s="1">
        <f t="shared" si="5"/>
        <v>0</v>
      </c>
      <c r="AC32" s="2">
        <v>8.8306126145342301</v>
      </c>
      <c r="AD32" s="2">
        <v>2.8169654240364199</v>
      </c>
      <c r="AE32">
        <v>33</v>
      </c>
      <c r="AF32" s="1">
        <f t="shared" si="6"/>
        <v>6.0606060606060608E-2</v>
      </c>
      <c r="AG32" s="1">
        <f t="shared" si="7"/>
        <v>0.53518864330510485</v>
      </c>
      <c r="AH32" s="1">
        <f t="shared" si="8"/>
        <v>0.5</v>
      </c>
      <c r="AI32" s="1">
        <f t="shared" si="9"/>
        <v>0.26759432165255242</v>
      </c>
      <c r="AJ32">
        <v>21</v>
      </c>
      <c r="AK32" s="1">
        <f t="shared" si="10"/>
        <v>0</v>
      </c>
      <c r="AL32" s="1">
        <f t="shared" si="11"/>
        <v>0</v>
      </c>
      <c r="AM32" s="1">
        <f t="shared" si="14"/>
        <v>0.22222222222222221</v>
      </c>
      <c r="AN32" s="1">
        <f t="shared" si="15"/>
        <v>1.2365384615384616</v>
      </c>
      <c r="AO32" s="1">
        <f>IF(AR32="y",     (X32*10+AB32*6+AG32+AI32+AL32+(J32*0.7+L32*0.02+M32-N32*0.5+O32+P32*0.5-Q32*1.5)/E32)*(AP32/90)+(AM32-AVERAGE($AM$2:$AM67))*10,      (X32*10+AB32*6+AG32+AI32+AL32+(J32*0.7+L32*0.02+M32-N32*0.5+O32+P32*0.5-Q32*1.5)/E32)*(AQ32/90)+(AM32-AVERAGE($AM$2:$AM$37))*10)</f>
        <v>0.20710898673515699</v>
      </c>
      <c r="AP32">
        <v>65</v>
      </c>
      <c r="AQ32">
        <f>(34+9)/2</f>
        <v>21.5</v>
      </c>
      <c r="AR32" t="s">
        <v>82</v>
      </c>
    </row>
    <row r="33" spans="1:44" x14ac:dyDescent="0.2">
      <c r="A33" t="s">
        <v>71</v>
      </c>
      <c r="B33" t="s">
        <v>81</v>
      </c>
      <c r="C33" t="s">
        <v>86</v>
      </c>
      <c r="D33">
        <v>4600</v>
      </c>
      <c r="E33" s="1">
        <v>3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86</v>
      </c>
      <c r="M33">
        <v>2</v>
      </c>
      <c r="N33">
        <v>0</v>
      </c>
      <c r="O33">
        <v>0</v>
      </c>
      <c r="P33">
        <v>1</v>
      </c>
      <c r="Q33">
        <v>0</v>
      </c>
      <c r="R33">
        <v>0</v>
      </c>
      <c r="S33" s="1">
        <f t="shared" si="0"/>
        <v>1.4066666666666665</v>
      </c>
      <c r="T33" s="1">
        <f t="shared" si="1"/>
        <v>1.4066666666666665</v>
      </c>
      <c r="U33">
        <v>0</v>
      </c>
      <c r="V33">
        <v>2.6</v>
      </c>
      <c r="W33" s="1">
        <f t="shared" si="2"/>
        <v>0</v>
      </c>
      <c r="X33" s="1">
        <f t="shared" si="3"/>
        <v>0</v>
      </c>
      <c r="Y33">
        <v>0</v>
      </c>
      <c r="Z33">
        <v>1.3</v>
      </c>
      <c r="AA33" s="1">
        <f t="shared" si="4"/>
        <v>0</v>
      </c>
      <c r="AB33" s="1">
        <f t="shared" si="5"/>
        <v>0</v>
      </c>
      <c r="AC33" s="2">
        <v>8.8306126145342301</v>
      </c>
      <c r="AD33" s="2">
        <v>2.8169654240364199</v>
      </c>
      <c r="AE33">
        <v>33</v>
      </c>
      <c r="AF33" s="1">
        <f t="shared" si="6"/>
        <v>0</v>
      </c>
      <c r="AG33" s="1">
        <f t="shared" si="7"/>
        <v>0</v>
      </c>
      <c r="AH33" s="1">
        <f t="shared" si="8"/>
        <v>0</v>
      </c>
      <c r="AI33" s="1">
        <f t="shared" si="9"/>
        <v>0</v>
      </c>
      <c r="AJ33">
        <v>21</v>
      </c>
      <c r="AK33" s="1">
        <f t="shared" si="10"/>
        <v>0</v>
      </c>
      <c r="AL33" s="1">
        <f t="shared" si="11"/>
        <v>0</v>
      </c>
      <c r="AM33" s="1">
        <f t="shared" si="14"/>
        <v>0.22222222222222221</v>
      </c>
      <c r="AN33" s="1">
        <f t="shared" si="15"/>
        <v>1.2365384615384616</v>
      </c>
      <c r="AO33" s="1">
        <f>IF(AR33="y",     (X33*10+AB33*6+AG33+AI33+AL33+(J33*0.7+L33*0.02+M33-N33*0.5+O33+P33*0.5-Q33*1.5)/E33)*(AP33/90)+(AM33-AVERAGE($AM$2:$AM68))*10,      (X33*10+AB33*6+AG33+AI33+AL33+(J33*0.7+L33*0.02+M33-N33*0.5+O33+P33*0.5-Q33*1.5)/E33)*(AQ33/90)+(AM33-AVERAGE($AM$2:$AM$37))*10)</f>
        <v>-0.33936507936507598</v>
      </c>
      <c r="AP33">
        <v>90</v>
      </c>
      <c r="AR33" t="s">
        <v>82</v>
      </c>
    </row>
    <row r="34" spans="1:44" x14ac:dyDescent="0.2">
      <c r="A34" t="s">
        <v>68</v>
      </c>
      <c r="B34" t="s">
        <v>81</v>
      </c>
      <c r="C34" t="s">
        <v>87</v>
      </c>
      <c r="D34">
        <v>8400</v>
      </c>
      <c r="E34" s="1">
        <v>1.7777777777777777</v>
      </c>
      <c r="F34">
        <v>1</v>
      </c>
      <c r="G34">
        <v>1</v>
      </c>
      <c r="H34">
        <v>2</v>
      </c>
      <c r="I34">
        <v>2</v>
      </c>
      <c r="J34">
        <v>0</v>
      </c>
      <c r="K34">
        <v>2</v>
      </c>
      <c r="L34">
        <v>38</v>
      </c>
      <c r="M34">
        <v>3</v>
      </c>
      <c r="N34">
        <v>0</v>
      </c>
      <c r="O34">
        <v>2</v>
      </c>
      <c r="P34">
        <v>1</v>
      </c>
      <c r="Q34">
        <v>0</v>
      </c>
      <c r="R34">
        <v>0</v>
      </c>
      <c r="S34" s="1">
        <f t="shared" si="0"/>
        <v>6.8962500000000002</v>
      </c>
      <c r="T34" s="1">
        <f t="shared" si="1"/>
        <v>15.896250000000002</v>
      </c>
      <c r="U34">
        <v>0.5</v>
      </c>
      <c r="V34">
        <v>2.6</v>
      </c>
      <c r="W34" s="1">
        <f t="shared" si="2"/>
        <v>0.19230769230769229</v>
      </c>
      <c r="X34" s="1">
        <f t="shared" si="3"/>
        <v>0.23779585798816566</v>
      </c>
      <c r="Y34">
        <v>0.1</v>
      </c>
      <c r="Z34">
        <v>1.3</v>
      </c>
      <c r="AA34" s="1">
        <f t="shared" si="4"/>
        <v>7.6923076923076927E-2</v>
      </c>
      <c r="AB34" s="1">
        <f t="shared" si="5"/>
        <v>9.5118343195266283E-2</v>
      </c>
      <c r="AC34" s="2">
        <v>8.8306126145342301</v>
      </c>
      <c r="AD34" s="2">
        <v>2.8169654240364199</v>
      </c>
      <c r="AE34">
        <v>33</v>
      </c>
      <c r="AF34" s="1">
        <f t="shared" si="6"/>
        <v>6.0606060606060608E-2</v>
      </c>
      <c r="AG34" s="1">
        <f t="shared" si="7"/>
        <v>0.53518864330510485</v>
      </c>
      <c r="AH34" s="1">
        <f t="shared" si="8"/>
        <v>1</v>
      </c>
      <c r="AI34" s="1">
        <f t="shared" si="9"/>
        <v>0.53518864330510485</v>
      </c>
      <c r="AJ34">
        <v>21</v>
      </c>
      <c r="AK34" s="1">
        <f t="shared" si="10"/>
        <v>9.5238095238095233E-2</v>
      </c>
      <c r="AL34" s="1">
        <f t="shared" si="11"/>
        <v>0.53518864330510485</v>
      </c>
      <c r="AM34" s="1">
        <f t="shared" si="14"/>
        <v>0.22222222222222221</v>
      </c>
      <c r="AN34" s="1">
        <f t="shared" si="15"/>
        <v>1.2365384615384616</v>
      </c>
      <c r="AO34" s="1">
        <f>IF(AR34="y",     (X34*10+AB34*6+AG34+AI34+AL34+(J34*0.7+L34*0.02+M34-N34*0.5+O34+P34*0.5-Q34*1.5)/E34)*(AP34/90)+(AM34-AVERAGE($AM$2:$AM69))*10,      (X34*10+AB34*6+AG34+AI34+AL34+(J34*0.7+L34*0.02+M34-N34*0.5+O34+P34*0.5-Q34*1.5)/E34)*(AQ34/90)+(AM34-AVERAGE($AM$2:$AM$37))*10)</f>
        <v>-0.75902807649113957</v>
      </c>
      <c r="AP34">
        <f>(81+68)/2</f>
        <v>74.5</v>
      </c>
      <c r="AQ34">
        <v>11</v>
      </c>
    </row>
    <row r="35" spans="1:44" x14ac:dyDescent="0.2">
      <c r="A35" t="s">
        <v>76</v>
      </c>
      <c r="B35" t="s">
        <v>81</v>
      </c>
      <c r="C35" t="s">
        <v>83</v>
      </c>
      <c r="D35">
        <v>3200</v>
      </c>
      <c r="E35" s="1">
        <v>0.24444444444444444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10</v>
      </c>
      <c r="M35">
        <v>0</v>
      </c>
      <c r="N35">
        <v>2</v>
      </c>
      <c r="O35">
        <v>0</v>
      </c>
      <c r="P35">
        <v>2</v>
      </c>
      <c r="Q35">
        <v>0</v>
      </c>
      <c r="R35">
        <v>0</v>
      </c>
      <c r="S35" s="1">
        <f t="shared" si="0"/>
        <v>0.81818181818181801</v>
      </c>
      <c r="T35" s="1">
        <f t="shared" si="1"/>
        <v>0.81818181818181801</v>
      </c>
      <c r="U35">
        <v>0</v>
      </c>
      <c r="V35">
        <v>2.6</v>
      </c>
      <c r="W35" s="1">
        <f t="shared" si="2"/>
        <v>0</v>
      </c>
      <c r="X35" s="1">
        <f t="shared" si="3"/>
        <v>0</v>
      </c>
      <c r="Y35">
        <v>0</v>
      </c>
      <c r="Z35">
        <v>1.3</v>
      </c>
      <c r="AA35" s="1">
        <f t="shared" si="4"/>
        <v>0</v>
      </c>
      <c r="AB35" s="1">
        <f t="shared" si="5"/>
        <v>0</v>
      </c>
      <c r="AC35" s="2">
        <v>8.8306126145342301</v>
      </c>
      <c r="AD35" s="2">
        <v>2.8169654240364199</v>
      </c>
      <c r="AE35">
        <v>33</v>
      </c>
      <c r="AF35" s="1">
        <f t="shared" si="6"/>
        <v>0</v>
      </c>
      <c r="AG35" s="1">
        <f t="shared" si="7"/>
        <v>0</v>
      </c>
      <c r="AH35" s="1">
        <f t="shared" si="8"/>
        <v>0</v>
      </c>
      <c r="AI35" s="1">
        <f t="shared" si="9"/>
        <v>0</v>
      </c>
      <c r="AJ35">
        <v>21</v>
      </c>
      <c r="AK35" s="1">
        <f t="shared" si="10"/>
        <v>0</v>
      </c>
      <c r="AL35" s="1">
        <f t="shared" si="11"/>
        <v>0</v>
      </c>
      <c r="AM35" s="1">
        <f t="shared" si="14"/>
        <v>0.22222222222222221</v>
      </c>
      <c r="AN35" s="1">
        <f t="shared" si="15"/>
        <v>1.2365384615384616</v>
      </c>
      <c r="AO35" s="1">
        <f>IF(AR35="y",     (X35*10+AB35*6+AG35+AI35+AL35+(J35*0.7+L35*0.02+M35-N35*0.5+O35+P35*0.5-Q35*1.5)/E35)*(AP35/90)+(AM35-AVERAGE($AM$2:$AM70))*10,      (X35*10+AB35*6+AG35+AI35+AL35+(J35*0.7+L35*0.02+M35-N35*0.5+O35+P35*0.5-Q35*1.5)/E35)*(AQ35/90)+(AM35-AVERAGE($AM$2:$AM$37))*10)</f>
        <v>-1.6793650793650758</v>
      </c>
      <c r="AQ35">
        <f>22/3</f>
        <v>7.333333333333333</v>
      </c>
    </row>
    <row r="36" spans="1:44" x14ac:dyDescent="0.2">
      <c r="A36" t="s">
        <v>74</v>
      </c>
      <c r="B36" t="s">
        <v>81</v>
      </c>
      <c r="C36" t="s">
        <v>85</v>
      </c>
      <c r="D36">
        <v>4200</v>
      </c>
      <c r="E36" s="1">
        <v>1.5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55</v>
      </c>
      <c r="M36">
        <v>1</v>
      </c>
      <c r="N36">
        <v>1</v>
      </c>
      <c r="O36">
        <v>2</v>
      </c>
      <c r="P36">
        <v>5</v>
      </c>
      <c r="Q36">
        <v>0</v>
      </c>
      <c r="R36">
        <v>0</v>
      </c>
      <c r="S36" s="1">
        <f t="shared" si="0"/>
        <v>4.5333333333333332</v>
      </c>
      <c r="T36" s="1">
        <f t="shared" si="1"/>
        <v>4.5333333333333332</v>
      </c>
      <c r="U36">
        <v>0</v>
      </c>
      <c r="V36">
        <v>2.6</v>
      </c>
      <c r="W36" s="1">
        <f t="shared" si="2"/>
        <v>0</v>
      </c>
      <c r="X36" s="1">
        <f t="shared" si="3"/>
        <v>0</v>
      </c>
      <c r="Y36">
        <v>0</v>
      </c>
      <c r="Z36">
        <v>1.3</v>
      </c>
      <c r="AA36" s="1">
        <f t="shared" si="4"/>
        <v>0</v>
      </c>
      <c r="AB36" s="1">
        <f t="shared" si="5"/>
        <v>0</v>
      </c>
      <c r="AC36" s="2">
        <v>8.8306126145342301</v>
      </c>
      <c r="AD36" s="2">
        <v>2.8169654240364199</v>
      </c>
      <c r="AE36">
        <v>33</v>
      </c>
      <c r="AF36" s="1">
        <f t="shared" si="6"/>
        <v>0</v>
      </c>
      <c r="AG36" s="1">
        <f t="shared" si="7"/>
        <v>0</v>
      </c>
      <c r="AH36" s="1">
        <f t="shared" si="8"/>
        <v>0</v>
      </c>
      <c r="AI36" s="1">
        <f t="shared" si="9"/>
        <v>0</v>
      </c>
      <c r="AJ36">
        <v>21</v>
      </c>
      <c r="AK36" s="1">
        <f t="shared" si="10"/>
        <v>0</v>
      </c>
      <c r="AL36" s="1">
        <f t="shared" si="11"/>
        <v>0</v>
      </c>
      <c r="AM36" s="1">
        <f t="shared" si="14"/>
        <v>0.22222222222222221</v>
      </c>
      <c r="AN36" s="1">
        <f t="shared" si="15"/>
        <v>1.2365384615384616</v>
      </c>
      <c r="AO36" s="1">
        <f>IF(AR36="y",     (X36*10+AB36*6+AG36+AI36+AL36+(J36*0.7+L36*0.02+M36-N36*0.5+O36+P36*0.5-Q36*1.5)/E36)*(AP36/90)+(AM36-AVERAGE($AM$2:$AM71))*10,      (X36*10+AB36*6+AG36+AI36+AL36+(J36*0.7+L36*0.02+M36-N36*0.5+O36+P36*0.5-Q36*1.5)/E36)*(AQ36/90)+(AM36-AVERAGE($AM$2:$AM$37))*10)</f>
        <v>-1.7460317460317425</v>
      </c>
      <c r="AP36">
        <f>(90+45)/2</f>
        <v>67.5</v>
      </c>
      <c r="AQ36">
        <v>0</v>
      </c>
    </row>
    <row r="37" spans="1:44" x14ac:dyDescent="0.2">
      <c r="A37" t="s">
        <v>70</v>
      </c>
      <c r="B37" t="s">
        <v>81</v>
      </c>
      <c r="C37" t="s">
        <v>85</v>
      </c>
      <c r="D37">
        <v>3000</v>
      </c>
      <c r="E37" s="1">
        <v>2</v>
      </c>
      <c r="F37">
        <v>0</v>
      </c>
      <c r="G37">
        <v>0</v>
      </c>
      <c r="H37">
        <v>2</v>
      </c>
      <c r="I37">
        <v>0</v>
      </c>
      <c r="J37">
        <v>0</v>
      </c>
      <c r="K37">
        <v>0</v>
      </c>
      <c r="L37">
        <v>73</v>
      </c>
      <c r="M37">
        <v>1</v>
      </c>
      <c r="N37">
        <v>1</v>
      </c>
      <c r="O37">
        <v>2</v>
      </c>
      <c r="P37">
        <v>4</v>
      </c>
      <c r="Q37">
        <v>0</v>
      </c>
      <c r="R37">
        <v>0</v>
      </c>
      <c r="S37" s="1">
        <f t="shared" si="0"/>
        <v>3.98</v>
      </c>
      <c r="T37" s="1">
        <f t="shared" si="1"/>
        <v>3.98</v>
      </c>
      <c r="U37">
        <v>0</v>
      </c>
      <c r="V37">
        <v>2.6</v>
      </c>
      <c r="W37" s="1">
        <f t="shared" si="2"/>
        <v>0</v>
      </c>
      <c r="X37" s="1">
        <f t="shared" si="3"/>
        <v>0</v>
      </c>
      <c r="Y37">
        <v>0</v>
      </c>
      <c r="Z37">
        <v>1.3</v>
      </c>
      <c r="AA37" s="1">
        <f t="shared" si="4"/>
        <v>0</v>
      </c>
      <c r="AB37" s="1">
        <f t="shared" si="5"/>
        <v>0</v>
      </c>
      <c r="AC37" s="2">
        <v>8.8306126145342301</v>
      </c>
      <c r="AD37" s="2">
        <v>2.8169654240364199</v>
      </c>
      <c r="AE37">
        <v>33</v>
      </c>
      <c r="AF37" s="1">
        <f t="shared" si="6"/>
        <v>6.0606060606060608E-2</v>
      </c>
      <c r="AG37" s="1">
        <f t="shared" si="7"/>
        <v>0.53518864330510485</v>
      </c>
      <c r="AH37" s="1">
        <f t="shared" si="8"/>
        <v>0</v>
      </c>
      <c r="AI37" s="1">
        <f t="shared" si="9"/>
        <v>0</v>
      </c>
      <c r="AJ37">
        <v>21</v>
      </c>
      <c r="AK37" s="1">
        <f t="shared" si="10"/>
        <v>0</v>
      </c>
      <c r="AL37" s="1">
        <f t="shared" si="11"/>
        <v>0</v>
      </c>
      <c r="AM37" s="1">
        <f t="shared" si="14"/>
        <v>0.22222222222222221</v>
      </c>
      <c r="AN37" s="1">
        <f t="shared" si="15"/>
        <v>1.2365384615384616</v>
      </c>
      <c r="AO37" s="1">
        <f>IF(AR37="y",     (X37*10+AB37*6+AG37+AI37+AL37+(J37*0.7+L37*0.02+M37-N37*0.5+O37+P37*0.5-Q37*1.5)/E37)*(AP37/90)+(AM37-AVERAGE($AM$2:$AM72))*10,      (X37*10+AB37*6+AG37+AI37+AL37+(J37*0.7+L37*0.02+M37-N37*0.5+O37+P37*0.5-Q37*1.5)/E37)*(AQ37/90)+(AM37-AVERAGE($AM$2:$AM$37))*10)</f>
        <v>-1.7460317460317425</v>
      </c>
      <c r="AP37">
        <v>90</v>
      </c>
      <c r="AQ37">
        <v>0</v>
      </c>
    </row>
  </sheetData>
  <sortState xmlns:xlrd2="http://schemas.microsoft.com/office/spreadsheetml/2017/richdata2" ref="AK40:AR46">
    <sortCondition descending="1" ref="AL40:AL46"/>
  </sortState>
  <conditionalFormatting sqref="S2:S37">
    <cfRule type="colorScale" priority="7">
      <colorScale>
        <cfvo type="min"/>
        <cfvo type="max"/>
        <color rgb="FFFCFCFF"/>
        <color rgb="FF63BE7B"/>
      </colorScale>
    </cfRule>
  </conditionalFormatting>
  <conditionalFormatting sqref="T2:T37">
    <cfRule type="colorScale" priority="6">
      <colorScale>
        <cfvo type="min"/>
        <cfvo type="max"/>
        <color rgb="FFFCFCFF"/>
        <color rgb="FF63BE7B"/>
      </colorScale>
    </cfRule>
  </conditionalFormatting>
  <conditionalFormatting sqref="X2:X37">
    <cfRule type="colorScale" priority="5">
      <colorScale>
        <cfvo type="min"/>
        <cfvo type="max"/>
        <color rgb="FFFCFCFF"/>
        <color rgb="FF63BE7B"/>
      </colorScale>
    </cfRule>
  </conditionalFormatting>
  <conditionalFormatting sqref="AB2:AB37">
    <cfRule type="colorScale" priority="4">
      <colorScale>
        <cfvo type="min"/>
        <cfvo type="max"/>
        <color rgb="FFFCFCFF"/>
        <color rgb="FF63BE7B"/>
      </colorScale>
    </cfRule>
  </conditionalFormatting>
  <conditionalFormatting sqref="AG2:AG37 AI2:AI37">
    <cfRule type="colorScale" priority="3">
      <colorScale>
        <cfvo type="min"/>
        <cfvo type="max"/>
        <color rgb="FFFCFCFF"/>
        <color rgb="FF63BE7B"/>
      </colorScale>
    </cfRule>
  </conditionalFormatting>
  <conditionalFormatting sqref="AL2:AL37">
    <cfRule type="colorScale" priority="2">
      <colorScale>
        <cfvo type="min"/>
        <cfvo type="max"/>
        <color rgb="FFFCFCFF"/>
        <color rgb="FF63BE7B"/>
      </colorScale>
    </cfRule>
  </conditionalFormatting>
  <conditionalFormatting sqref="AO2:AO3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2020-09-10T01:02:45Z</dcterms:created>
  <dcterms:modified xsi:type="dcterms:W3CDTF">2020-09-12T22:07:48Z</dcterms:modified>
</cp:coreProperties>
</file>