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Unilever Cost Model/2. Models/Rigid Models/"/>
    </mc:Choice>
  </mc:AlternateContent>
  <xr:revisionPtr revIDLastSave="48" documentId="8_{C753A586-924A-4362-90F8-71706356F592}" xr6:coauthVersionLast="47" xr6:coauthVersionMax="47" xr10:uidLastSave="{A167D6A9-3D8B-44C9-AC59-37AF24B3470C}"/>
  <bookViews>
    <workbookView xWindow="-98" yWindow="-98" windowWidth="21795" windowHeight="12975" activeTab="5" xr2:uid="{82AC6144-4BBE-4816-B0D3-69A504E7C218}"/>
  </bookViews>
  <sheets>
    <sheet name="summary" sheetId="10" r:id="rId1"/>
    <sheet name="Summary-old" sheetId="7" state="hidden" r:id="rId2"/>
    <sheet name="input" sheetId="2" r:id="rId3"/>
    <sheet name="material" sheetId="3" r:id="rId4"/>
    <sheet name="Input-old" sheetId="11" state="hidden" r:id="rId5"/>
    <sheet name="regrind" sheetId="12" r:id="rId6"/>
    <sheet name="conversion" sheetId="6" r:id="rId7"/>
    <sheet name="backup" sheetId="9" r:id="rId8"/>
    <sheet name="Database" sheetId="13" r:id="rId9"/>
    <sheet name="Log" sheetId="14" r:id="rId10"/>
    <sheet name="rational_sheet" sheetId="1" r:id="rId11"/>
  </sheets>
  <externalReferences>
    <externalReference r:id="rId12"/>
  </externalReferences>
  <definedNames>
    <definedName name="_xlnm._FilterDatabase" localSheetId="6" hidden="1">conversion!$B$347:$D$396</definedName>
    <definedName name="Ancillary">backup!$B$20:$C$39</definedName>
    <definedName name="Area_EBM">backup!$B$4:$C$17</definedName>
    <definedName name="_xlnm.Database">Database!$A$3:$V$38</definedName>
    <definedName name="Dep_Sch_Others">conversion!$A$301:$D$336</definedName>
    <definedName name="Depreciation_Schedule">conversion!$A$199:$D$234</definedName>
    <definedName name="Input">'Input-old'!$A$1:$C$150</definedName>
    <definedName name="Interest_Sch_Others">conversion!$A$340:$D$396</definedName>
    <definedName name="Interest_Schedule">conversion!$A$239:$D$296</definedName>
    <definedName name="Machine_details">backup!$B$1:$H$110</definedName>
    <definedName name="Machines">backup!$D$42:$K$52</definedName>
    <definedName name="SKU_Data">input!$A$11:$C$126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3" l="1" a="1"/>
  <c r="P19" i="13" s="1"/>
  <c r="P18" i="13" a="1"/>
  <c r="P18" i="13" s="1"/>
  <c r="P17" i="13" a="1"/>
  <c r="P17" i="13" s="1"/>
  <c r="P16" i="13" a="1"/>
  <c r="P16" i="13" s="1"/>
  <c r="P15" i="13" a="1"/>
  <c r="P15" i="13" s="1"/>
  <c r="P14" i="13" a="1"/>
  <c r="P14" i="13" s="1"/>
  <c r="P13" i="13" a="1"/>
  <c r="P13" i="13" s="1"/>
  <c r="P12" i="13" a="1"/>
  <c r="P12" i="13" s="1"/>
  <c r="P11" i="13" a="1"/>
  <c r="P11" i="13" s="1"/>
  <c r="P10" i="13" a="1"/>
  <c r="P10" i="13" s="1"/>
  <c r="P9" i="13" a="1"/>
  <c r="P9" i="13" s="1"/>
  <c r="P8" i="13" a="1"/>
  <c r="P8" i="13" s="1"/>
  <c r="P7" i="13" a="1"/>
  <c r="P7" i="13" s="1"/>
  <c r="P6" i="13" a="1"/>
  <c r="P6" i="13" s="1"/>
  <c r="P5" i="13" a="1"/>
  <c r="P5" i="13" s="1"/>
  <c r="O19" i="13" a="1"/>
  <c r="O19" i="13" s="1"/>
  <c r="O18" i="13" a="1"/>
  <c r="O18" i="13" s="1"/>
  <c r="O17" i="13" a="1"/>
  <c r="O17" i="13" s="1"/>
  <c r="O16" i="13" a="1"/>
  <c r="O16" i="13" s="1"/>
  <c r="O15" i="13" a="1"/>
  <c r="O15" i="13" s="1"/>
  <c r="O14" i="13" a="1"/>
  <c r="O14" i="13" s="1"/>
  <c r="O13" i="13" a="1"/>
  <c r="O13" i="13" s="1"/>
  <c r="O12" i="13" a="1"/>
  <c r="O12" i="13" s="1"/>
  <c r="O11" i="13" a="1"/>
  <c r="O11" i="13" s="1"/>
  <c r="O10" i="13" a="1"/>
  <c r="O10" i="13" s="1"/>
  <c r="O9" i="13" a="1"/>
  <c r="O9" i="13" s="1"/>
  <c r="O8" i="13" a="1"/>
  <c r="O8" i="13" s="1"/>
  <c r="O7" i="13" a="1"/>
  <c r="O7" i="13" s="1"/>
  <c r="O6" i="13" a="1"/>
  <c r="O6" i="13" s="1"/>
  <c r="O5" i="13" a="1"/>
  <c r="O5" i="13" s="1"/>
  <c r="N19" i="13" a="1"/>
  <c r="N19" i="13" s="1"/>
  <c r="N18" i="13" a="1"/>
  <c r="N18" i="13" s="1"/>
  <c r="N17" i="13" a="1"/>
  <c r="N17" i="13" s="1"/>
  <c r="N16" i="13" a="1"/>
  <c r="N16" i="13" s="1"/>
  <c r="N15" i="13" a="1"/>
  <c r="N15" i="13" s="1"/>
  <c r="N14" i="13" a="1"/>
  <c r="N14" i="13" s="1"/>
  <c r="N13" i="13" a="1"/>
  <c r="N13" i="13" s="1"/>
  <c r="N12" i="13" a="1"/>
  <c r="N12" i="13" s="1"/>
  <c r="N11" i="13" a="1"/>
  <c r="N11" i="13" s="1"/>
  <c r="N10" i="13" a="1"/>
  <c r="N10" i="13" s="1"/>
  <c r="N9" i="13" a="1"/>
  <c r="N9" i="13" s="1"/>
  <c r="N8" i="13" a="1"/>
  <c r="N8" i="13" s="1"/>
  <c r="N7" i="13" a="1"/>
  <c r="N7" i="13" s="1"/>
  <c r="N6" i="13" a="1"/>
  <c r="N6" i="13" s="1"/>
  <c r="N5" i="13" a="1"/>
  <c r="N5" i="13" s="1"/>
  <c r="M19" i="13" a="1"/>
  <c r="M19" i="13" s="1"/>
  <c r="M18" i="13" a="1"/>
  <c r="M18" i="13" s="1"/>
  <c r="M17" i="13" a="1"/>
  <c r="M17" i="13" s="1"/>
  <c r="M16" i="13" a="1"/>
  <c r="M16" i="13" s="1"/>
  <c r="M15" i="13" a="1"/>
  <c r="M15" i="13" s="1"/>
  <c r="M14" i="13" a="1"/>
  <c r="M14" i="13" s="1"/>
  <c r="M13" i="13" a="1"/>
  <c r="M13" i="13" s="1"/>
  <c r="M12" i="13" a="1"/>
  <c r="M12" i="13" s="1"/>
  <c r="M11" i="13" a="1"/>
  <c r="M11" i="13" s="1"/>
  <c r="M10" i="13" a="1"/>
  <c r="M10" i="13" s="1"/>
  <c r="M9" i="13" a="1"/>
  <c r="M9" i="13" s="1"/>
  <c r="M8" i="13" a="1"/>
  <c r="M8" i="13" s="1"/>
  <c r="M7" i="13" a="1"/>
  <c r="M7" i="13" s="1"/>
  <c r="M6" i="13" a="1"/>
  <c r="M6" i="13" s="1"/>
  <c r="M5" i="13" a="1"/>
  <c r="M5" i="13" s="1"/>
  <c r="L19" i="13" a="1"/>
  <c r="L19" i="13" s="1"/>
  <c r="L18" i="13" a="1"/>
  <c r="L18" i="13" s="1"/>
  <c r="L17" i="13" a="1"/>
  <c r="L17" i="13" s="1"/>
  <c r="L16" i="13" a="1"/>
  <c r="L16" i="13" s="1"/>
  <c r="L15" i="13" a="1"/>
  <c r="L15" i="13" s="1"/>
  <c r="L14" i="13" a="1"/>
  <c r="L14" i="13" s="1"/>
  <c r="L13" i="13" a="1"/>
  <c r="L13" i="13" s="1"/>
  <c r="L12" i="13" a="1"/>
  <c r="L12" i="13" s="1"/>
  <c r="L11" i="13" a="1"/>
  <c r="L11" i="13" s="1"/>
  <c r="L10" i="13" a="1"/>
  <c r="L10" i="13" s="1"/>
  <c r="L9" i="13" a="1"/>
  <c r="L9" i="13" s="1"/>
  <c r="L8" i="13" a="1"/>
  <c r="L8" i="13" s="1"/>
  <c r="L7" i="13" a="1"/>
  <c r="L7" i="13" s="1"/>
  <c r="L6" i="13" a="1"/>
  <c r="L6" i="13" s="1"/>
  <c r="L5" i="13" a="1"/>
  <c r="L5" i="13" s="1"/>
  <c r="K19" i="13" a="1"/>
  <c r="K19" i="13" s="1"/>
  <c r="K18" i="13" a="1"/>
  <c r="K18" i="13" s="1"/>
  <c r="K17" i="13" a="1"/>
  <c r="K17" i="13" s="1"/>
  <c r="K16" i="13" a="1"/>
  <c r="K16" i="13" s="1"/>
  <c r="K15" i="13" a="1"/>
  <c r="K15" i="13" s="1"/>
  <c r="K14" i="13" a="1"/>
  <c r="K14" i="13" s="1"/>
  <c r="K13" i="13" a="1"/>
  <c r="K13" i="13" s="1"/>
  <c r="K12" i="13" a="1"/>
  <c r="K12" i="13" s="1"/>
  <c r="K11" i="13" a="1"/>
  <c r="K11" i="13" s="1"/>
  <c r="K10" i="13" a="1"/>
  <c r="K10" i="13" s="1"/>
  <c r="K9" i="13" a="1"/>
  <c r="K9" i="13" s="1"/>
  <c r="K8" i="13" a="1"/>
  <c r="K8" i="13" s="1"/>
  <c r="K7" i="13" a="1"/>
  <c r="K7" i="13" s="1"/>
  <c r="K6" i="13" a="1"/>
  <c r="K6" i="13" s="1"/>
  <c r="K5" i="13" a="1"/>
  <c r="K5" i="13" s="1"/>
  <c r="J19" i="13" a="1"/>
  <c r="J19" i="13" s="1"/>
  <c r="J18" i="13" a="1"/>
  <c r="J18" i="13" s="1"/>
  <c r="J17" i="13" a="1"/>
  <c r="J17" i="13" s="1"/>
  <c r="J16" i="13" a="1"/>
  <c r="J16" i="13" s="1"/>
  <c r="J15" i="13" a="1"/>
  <c r="J15" i="13" s="1"/>
  <c r="J14" i="13" a="1"/>
  <c r="J14" i="13" s="1"/>
  <c r="J13" i="13" a="1"/>
  <c r="J13" i="13" s="1"/>
  <c r="J12" i="13" a="1"/>
  <c r="J12" i="13" s="1"/>
  <c r="J11" i="13" a="1"/>
  <c r="J11" i="13" s="1"/>
  <c r="J10" i="13" a="1"/>
  <c r="J10" i="13" s="1"/>
  <c r="J9" i="13" a="1"/>
  <c r="J9" i="13" s="1"/>
  <c r="J8" i="13" a="1"/>
  <c r="J8" i="13" s="1"/>
  <c r="J7" i="13" a="1"/>
  <c r="J7" i="13" s="1"/>
  <c r="J6" i="13" a="1"/>
  <c r="J6" i="13" s="1"/>
  <c r="J5" i="13" a="1"/>
  <c r="J5" i="13" s="1"/>
  <c r="I19" i="13" a="1"/>
  <c r="I19" i="13" s="1"/>
  <c r="I18" i="13" a="1"/>
  <c r="I18" i="13" s="1"/>
  <c r="I17" i="13" a="1"/>
  <c r="I17" i="13" s="1"/>
  <c r="I16" i="13" a="1"/>
  <c r="I16" i="13" s="1"/>
  <c r="I15" i="13" a="1"/>
  <c r="I15" i="13" s="1"/>
  <c r="I14" i="13" a="1"/>
  <c r="I14" i="13" s="1"/>
  <c r="I13" i="13" a="1"/>
  <c r="I13" i="13" s="1"/>
  <c r="I12" i="13" a="1"/>
  <c r="I12" i="13" s="1"/>
  <c r="I11" i="13" a="1"/>
  <c r="I11" i="13" s="1"/>
  <c r="I10" i="13" a="1"/>
  <c r="I10" i="13" s="1"/>
  <c r="I9" i="13" a="1"/>
  <c r="I9" i="13" s="1"/>
  <c r="I8" i="13" a="1"/>
  <c r="I8" i="13" s="1"/>
  <c r="I7" i="13" a="1"/>
  <c r="I7" i="13" s="1"/>
  <c r="I6" i="13" a="1"/>
  <c r="I6" i="13" s="1"/>
  <c r="I5" i="13" a="1"/>
  <c r="I5" i="13" s="1"/>
  <c r="H19" i="13" a="1"/>
  <c r="H19" i="13" s="1"/>
  <c r="H18" i="13" a="1"/>
  <c r="H18" i="13" s="1"/>
  <c r="H17" i="13" a="1"/>
  <c r="H17" i="13" s="1"/>
  <c r="H16" i="13" a="1"/>
  <c r="H16" i="13" s="1"/>
  <c r="H15" i="13" a="1"/>
  <c r="H15" i="13" s="1"/>
  <c r="H14" i="13" a="1"/>
  <c r="H14" i="13" s="1"/>
  <c r="H13" i="13" a="1"/>
  <c r="H13" i="13" s="1"/>
  <c r="H12" i="13" a="1"/>
  <c r="H12" i="13" s="1"/>
  <c r="H11" i="13" a="1"/>
  <c r="H11" i="13" s="1"/>
  <c r="H10" i="13" a="1"/>
  <c r="H10" i="13" s="1"/>
  <c r="H9" i="13" a="1"/>
  <c r="H9" i="13" s="1"/>
  <c r="H8" i="13" a="1"/>
  <c r="H8" i="13" s="1"/>
  <c r="H7" i="13" a="1"/>
  <c r="H7" i="13" s="1"/>
  <c r="H6" i="13" a="1"/>
  <c r="H6" i="13" s="1"/>
  <c r="H5" i="13" a="1"/>
  <c r="H5" i="13" s="1"/>
  <c r="G19" i="13" a="1"/>
  <c r="G19" i="13" s="1"/>
  <c r="G18" i="13" a="1"/>
  <c r="G18" i="13" s="1"/>
  <c r="G17" i="13" a="1"/>
  <c r="G17" i="13" s="1"/>
  <c r="G16" i="13" a="1"/>
  <c r="G16" i="13" s="1"/>
  <c r="G15" i="13" a="1"/>
  <c r="G15" i="13" s="1"/>
  <c r="G14" i="13" a="1"/>
  <c r="G14" i="13" s="1"/>
  <c r="G13" i="13" a="1"/>
  <c r="G13" i="13" s="1"/>
  <c r="G12" i="13" a="1"/>
  <c r="G12" i="13" s="1"/>
  <c r="G11" i="13" a="1"/>
  <c r="G11" i="13" s="1"/>
  <c r="G10" i="13" a="1"/>
  <c r="G10" i="13" s="1"/>
  <c r="G9" i="13" a="1"/>
  <c r="G9" i="13" s="1"/>
  <c r="G8" i="13" a="1"/>
  <c r="G8" i="13" s="1"/>
  <c r="G7" i="13" a="1"/>
  <c r="G7" i="13" s="1"/>
  <c r="G6" i="13" a="1"/>
  <c r="G6" i="13" s="1"/>
  <c r="G5" i="13" a="1"/>
  <c r="G5" i="13" s="1"/>
  <c r="F19" i="13" a="1"/>
  <c r="F19" i="13" s="1"/>
  <c r="F18" i="13" a="1"/>
  <c r="F18" i="13" s="1"/>
  <c r="F17" i="13" a="1"/>
  <c r="F17" i="13" s="1"/>
  <c r="F16" i="13" a="1"/>
  <c r="F16" i="13" s="1"/>
  <c r="F15" i="13" a="1"/>
  <c r="F15" i="13" s="1"/>
  <c r="F14" i="13" a="1"/>
  <c r="F14" i="13" s="1"/>
  <c r="F13" i="13" a="1"/>
  <c r="F13" i="13" s="1"/>
  <c r="F12" i="13" a="1"/>
  <c r="F12" i="13" s="1"/>
  <c r="F11" i="13" a="1"/>
  <c r="F11" i="13" s="1"/>
  <c r="F10" i="13" a="1"/>
  <c r="F10" i="13" s="1"/>
  <c r="F9" i="13" a="1"/>
  <c r="F9" i="13" s="1"/>
  <c r="F8" i="13" a="1"/>
  <c r="F8" i="13" s="1"/>
  <c r="F7" i="13" a="1"/>
  <c r="F7" i="13" s="1"/>
  <c r="F6" i="13" a="1"/>
  <c r="F6" i="13" s="1"/>
  <c r="F5" i="13" a="1"/>
  <c r="F5" i="13" s="1"/>
  <c r="E19" i="13" a="1"/>
  <c r="E19" i="13" s="1"/>
  <c r="E18" i="13" a="1"/>
  <c r="E18" i="13" s="1"/>
  <c r="E17" i="13" a="1"/>
  <c r="E17" i="13" s="1"/>
  <c r="E16" i="13" a="1"/>
  <c r="E16" i="13" s="1"/>
  <c r="E15" i="13" a="1"/>
  <c r="E15" i="13" s="1"/>
  <c r="E14" i="13" a="1"/>
  <c r="E14" i="13" s="1"/>
  <c r="E13" i="13" a="1"/>
  <c r="E13" i="13" s="1"/>
  <c r="E12" i="13" a="1"/>
  <c r="E12" i="13" s="1"/>
  <c r="E11" i="13" a="1"/>
  <c r="E11" i="13" s="1"/>
  <c r="E10" i="13" a="1"/>
  <c r="E10" i="13" s="1"/>
  <c r="E9" i="13" a="1"/>
  <c r="E9" i="13" s="1"/>
  <c r="E8" i="13" a="1"/>
  <c r="E8" i="13" s="1"/>
  <c r="E7" i="13" a="1"/>
  <c r="E7" i="13" s="1"/>
  <c r="E6" i="13" a="1"/>
  <c r="E6" i="13" s="1"/>
  <c r="E5" i="13" a="1"/>
  <c r="E5" i="13" s="1"/>
  <c r="D19" i="13" a="1"/>
  <c r="D19" i="13" s="1"/>
  <c r="D18" i="13" a="1"/>
  <c r="D18" i="13" s="1"/>
  <c r="D17" i="13" a="1"/>
  <c r="D17" i="13" s="1"/>
  <c r="D16" i="13" a="1"/>
  <c r="D16" i="13" s="1"/>
  <c r="D15" i="13" a="1"/>
  <c r="D15" i="13" s="1"/>
  <c r="D14" i="13" a="1"/>
  <c r="D14" i="13" s="1"/>
  <c r="D13" i="13" a="1"/>
  <c r="D13" i="13" s="1"/>
  <c r="D12" i="13" a="1"/>
  <c r="D12" i="13" s="1"/>
  <c r="D11" i="13" a="1"/>
  <c r="D11" i="13" s="1"/>
  <c r="D10" i="13" a="1"/>
  <c r="D10" i="13" s="1"/>
  <c r="D9" i="13" a="1"/>
  <c r="D9" i="13" s="1"/>
  <c r="D8" i="13" a="1"/>
  <c r="D8" i="13" s="1"/>
  <c r="D7" i="13" a="1"/>
  <c r="D7" i="13" s="1"/>
  <c r="D6" i="13" a="1"/>
  <c r="D6" i="13" s="1"/>
  <c r="D5" i="13" a="1"/>
  <c r="D5" i="13" s="1"/>
  <c r="P4" i="13" a="1"/>
  <c r="P4" i="13" s="1"/>
  <c r="O4" i="13" a="1"/>
  <c r="O4" i="13" s="1"/>
  <c r="N4" i="13" a="1"/>
  <c r="N4" i="13" s="1"/>
  <c r="M4" i="13" a="1"/>
  <c r="M4" i="13" s="1"/>
  <c r="L4" i="13" a="1"/>
  <c r="L4" i="13" s="1"/>
  <c r="K4" i="13" a="1"/>
  <c r="K4" i="13" s="1"/>
  <c r="J4" i="13" a="1"/>
  <c r="J4" i="13" s="1"/>
  <c r="I4" i="13" a="1"/>
  <c r="I4" i="13" s="1"/>
  <c r="H4" i="13" a="1"/>
  <c r="H4" i="13" s="1"/>
  <c r="G4" i="13" a="1"/>
  <c r="G4" i="13" s="1"/>
  <c r="F4" i="13" a="1"/>
  <c r="F4" i="13" s="1"/>
  <c r="E4" i="13" a="1"/>
  <c r="E4" i="13" s="1"/>
  <c r="D4" i="13" a="1"/>
  <c r="D4" i="13" s="1"/>
  <c r="A1" i="13" l="1"/>
  <c r="D5" i="14"/>
  <c r="D27" i="6" l="1"/>
  <c r="V19" i="13"/>
  <c r="U19" i="13"/>
  <c r="T19" i="13"/>
  <c r="S19" i="13"/>
  <c r="R19" i="13"/>
  <c r="Q19" i="13"/>
  <c r="V18" i="13"/>
  <c r="U18" i="13"/>
  <c r="T18" i="13"/>
  <c r="S18" i="13"/>
  <c r="R18" i="13"/>
  <c r="Q18" i="13"/>
  <c r="V17" i="13"/>
  <c r="U17" i="13"/>
  <c r="T17" i="13"/>
  <c r="S17" i="13"/>
  <c r="R17" i="13"/>
  <c r="Q17" i="13"/>
  <c r="V16" i="13"/>
  <c r="U16" i="13"/>
  <c r="T16" i="13"/>
  <c r="S16" i="13"/>
  <c r="R16" i="13"/>
  <c r="Q16" i="13"/>
  <c r="V15" i="13"/>
  <c r="U15" i="13"/>
  <c r="T15" i="13"/>
  <c r="S15" i="13"/>
  <c r="R15" i="13"/>
  <c r="Q15" i="13"/>
  <c r="V14" i="13"/>
  <c r="U14" i="13"/>
  <c r="T14" i="13"/>
  <c r="S14" i="13"/>
  <c r="R14" i="13"/>
  <c r="Q14" i="13"/>
  <c r="V13" i="13"/>
  <c r="U13" i="13"/>
  <c r="T13" i="13"/>
  <c r="S13" i="13"/>
  <c r="R13" i="13"/>
  <c r="Q13" i="13"/>
  <c r="V12" i="13"/>
  <c r="U12" i="13"/>
  <c r="T12" i="13"/>
  <c r="S12" i="13"/>
  <c r="R12" i="13"/>
  <c r="Q12" i="13"/>
  <c r="V11" i="13"/>
  <c r="U11" i="13"/>
  <c r="T11" i="13"/>
  <c r="S11" i="13"/>
  <c r="R11" i="13"/>
  <c r="Q11" i="13"/>
  <c r="V8" i="13"/>
  <c r="U8" i="13"/>
  <c r="T8" i="13"/>
  <c r="S8" i="13"/>
  <c r="R8" i="13"/>
  <c r="Q8" i="13"/>
  <c r="Q6" i="13"/>
  <c r="V6" i="13"/>
  <c r="U6" i="13"/>
  <c r="T6" i="13"/>
  <c r="S6" i="13"/>
  <c r="R6" i="13"/>
  <c r="Q5" i="13"/>
  <c r="V5" i="13"/>
  <c r="U5" i="13"/>
  <c r="T5" i="13"/>
  <c r="S5" i="13"/>
  <c r="R5" i="13"/>
  <c r="Q4" i="13"/>
  <c r="V4" i="13"/>
  <c r="U4" i="13"/>
  <c r="T4" i="13"/>
  <c r="S4" i="13"/>
  <c r="R4" i="13"/>
  <c r="V9" i="13"/>
  <c r="U9" i="13"/>
  <c r="T9" i="13"/>
  <c r="S9" i="13"/>
  <c r="R9" i="13"/>
  <c r="Q9" i="13"/>
  <c r="V10" i="13"/>
  <c r="U10" i="13"/>
  <c r="T10" i="13"/>
  <c r="S10" i="13"/>
  <c r="R10" i="13"/>
  <c r="Q10" i="13"/>
  <c r="C19" i="2" s="1"/>
  <c r="E43" i="9"/>
  <c r="C76" i="2" l="1"/>
  <c r="C75" i="2"/>
  <c r="C71" i="2"/>
  <c r="C70" i="2"/>
  <c r="C69" i="2"/>
  <c r="C65" i="2"/>
  <c r="C64" i="2"/>
  <c r="C57" i="2"/>
  <c r="C56" i="2"/>
  <c r="C55" i="2"/>
  <c r="C52" i="2"/>
  <c r="C5" i="2"/>
  <c r="K42" i="9" s="1"/>
  <c r="E20" i="9" s="1"/>
  <c r="B71" i="2" l="1"/>
  <c r="B70" i="2"/>
  <c r="B69" i="2"/>
  <c r="AE3" i="13"/>
  <c r="D34" i="6"/>
  <c r="D22" i="6" s="1"/>
  <c r="D30" i="6"/>
  <c r="D32" i="6"/>
  <c r="D21" i="6" s="1"/>
  <c r="D133" i="6"/>
  <c r="D132" i="6"/>
  <c r="A45" i="3"/>
  <c r="A33" i="3"/>
  <c r="A17" i="3"/>
  <c r="A41" i="3"/>
  <c r="A29" i="3"/>
  <c r="A13" i="3"/>
  <c r="A51" i="3"/>
  <c r="A48" i="3"/>
  <c r="A37" i="3"/>
  <c r="A25" i="3"/>
  <c r="A21" i="3"/>
  <c r="A9" i="3"/>
  <c r="C3" i="10"/>
  <c r="C196" i="6"/>
  <c r="B195" i="6"/>
  <c r="D195" i="6" s="1"/>
  <c r="B193" i="6"/>
  <c r="B192" i="6"/>
  <c r="D178" i="6"/>
  <c r="D177" i="6"/>
  <c r="C191" i="6"/>
  <c r="C190" i="6"/>
  <c r="B196" i="6" l="1"/>
  <c r="E154" i="6" l="1"/>
  <c r="C186" i="6"/>
  <c r="C179" i="6"/>
  <c r="C185" i="6"/>
  <c r="C178" i="6"/>
  <c r="C177" i="6"/>
  <c r="D182" i="6"/>
  <c r="D185" i="6"/>
  <c r="D183" i="6"/>
  <c r="D176" i="6"/>
  <c r="D175" i="6"/>
  <c r="D179" i="6" s="1"/>
  <c r="B30" i="10" s="1"/>
  <c r="D184" i="6" l="1"/>
  <c r="D186" i="6" s="1"/>
  <c r="M36" i="10" l="1"/>
  <c r="B36" i="10" s="1"/>
  <c r="B31" i="10"/>
  <c r="C33" i="10" l="1"/>
  <c r="C171" i="6"/>
  <c r="C54" i="12" l="1"/>
  <c r="C40" i="12"/>
  <c r="C36" i="12"/>
  <c r="C32" i="12"/>
  <c r="C28" i="12"/>
  <c r="C24" i="12"/>
  <c r="C20" i="12"/>
  <c r="C16" i="12"/>
  <c r="C12" i="12"/>
  <c r="C8" i="12"/>
  <c r="C53" i="12"/>
  <c r="C51" i="12"/>
  <c r="C49" i="12"/>
  <c r="C47" i="12"/>
  <c r="C44" i="12"/>
  <c r="C41" i="12"/>
  <c r="C37" i="12"/>
  <c r="C33" i="12"/>
  <c r="C29" i="12"/>
  <c r="C25" i="12"/>
  <c r="C21" i="12"/>
  <c r="C17" i="12"/>
  <c r="C13" i="12"/>
  <c r="C9" i="12"/>
  <c r="C44" i="6"/>
  <c r="C43" i="6"/>
  <c r="C42" i="6"/>
  <c r="C41" i="3"/>
  <c r="C40" i="3"/>
  <c r="C37" i="3"/>
  <c r="C36" i="3"/>
  <c r="C33" i="3"/>
  <c r="C32" i="3"/>
  <c r="D32" i="3"/>
  <c r="D31" i="3"/>
  <c r="D28" i="3"/>
  <c r="D27" i="3"/>
  <c r="D23" i="3"/>
  <c r="D20" i="3"/>
  <c r="D19" i="3"/>
  <c r="D16" i="3"/>
  <c r="D15" i="3"/>
  <c r="D12" i="3"/>
  <c r="D11" i="3"/>
  <c r="C26" i="9"/>
  <c r="C25" i="9"/>
  <c r="C24" i="9"/>
  <c r="C33" i="1"/>
  <c r="C33" i="9"/>
  <c r="C37" i="1"/>
  <c r="C38" i="1"/>
  <c r="D43" i="3"/>
  <c r="C39" i="1"/>
  <c r="C48" i="6"/>
  <c r="C49" i="6"/>
  <c r="D51" i="6"/>
  <c r="C52" i="6"/>
  <c r="C53" i="6"/>
  <c r="C44" i="3"/>
  <c r="D44" i="3"/>
  <c r="C45" i="3"/>
  <c r="C48" i="3"/>
  <c r="D134" i="6"/>
  <c r="C168" i="6" l="1"/>
  <c r="D117" i="6" l="1"/>
  <c r="D40" i="12"/>
  <c r="D39" i="12"/>
  <c r="D36" i="12"/>
  <c r="D35" i="12"/>
  <c r="D32" i="12"/>
  <c r="D31" i="12"/>
  <c r="D28" i="12"/>
  <c r="D27" i="12"/>
  <c r="D24" i="12"/>
  <c r="D23" i="12"/>
  <c r="D20" i="12"/>
  <c r="D19" i="12"/>
  <c r="D16" i="12"/>
  <c r="D15" i="12"/>
  <c r="D12" i="12"/>
  <c r="D11" i="12"/>
  <c r="D8" i="12"/>
  <c r="D7" i="12"/>
  <c r="D5" i="12"/>
  <c r="D4" i="12"/>
  <c r="D3" i="12"/>
  <c r="D33" i="12" l="1"/>
  <c r="D17" i="12"/>
  <c r="D29" i="12"/>
  <c r="D41" i="12"/>
  <c r="D37" i="12"/>
  <c r="D25" i="12"/>
  <c r="D13" i="12"/>
  <c r="D21" i="12"/>
  <c r="D9" i="12"/>
  <c r="D44" i="12" l="1"/>
  <c r="D56" i="6"/>
  <c r="D119" i="6"/>
  <c r="D118" i="6"/>
  <c r="D103" i="6"/>
  <c r="B52" i="2"/>
  <c r="C79" i="6"/>
  <c r="C78" i="6"/>
  <c r="C135" i="6"/>
  <c r="C134" i="6"/>
  <c r="C133" i="6"/>
  <c r="C132" i="6"/>
  <c r="C131" i="6"/>
  <c r="C17" i="3"/>
  <c r="C13" i="3"/>
  <c r="C9" i="3"/>
  <c r="E139" i="6"/>
  <c r="E132" i="6"/>
  <c r="E133" i="6"/>
  <c r="E131" i="6"/>
  <c r="E150" i="6"/>
  <c r="E149" i="6"/>
  <c r="E148" i="6"/>
  <c r="E147" i="6"/>
  <c r="E146" i="6"/>
  <c r="E145" i="6"/>
  <c r="E144" i="6"/>
  <c r="E143" i="6"/>
  <c r="E142" i="6"/>
  <c r="E141" i="6"/>
  <c r="E140" i="6"/>
  <c r="E151" i="6" l="1"/>
  <c r="D120" i="6"/>
  <c r="E134" i="6" l="1"/>
  <c r="E135" i="6" s="1"/>
  <c r="D131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11" i="6"/>
  <c r="C110" i="6"/>
  <c r="C94" i="6"/>
  <c r="C93" i="6"/>
  <c r="C92" i="6"/>
  <c r="C87" i="6"/>
  <c r="C85" i="6"/>
  <c r="C83" i="6"/>
  <c r="C81" i="6"/>
  <c r="C69" i="6"/>
  <c r="C65" i="6"/>
  <c r="C59" i="6"/>
  <c r="C58" i="6"/>
  <c r="C57" i="6"/>
  <c r="C396" i="6"/>
  <c r="C395" i="6"/>
  <c r="C394" i="6"/>
  <c r="C393" i="6"/>
  <c r="C391" i="6"/>
  <c r="C390" i="6"/>
  <c r="C389" i="6"/>
  <c r="C388" i="6"/>
  <c r="C386" i="6"/>
  <c r="C385" i="6"/>
  <c r="C384" i="6"/>
  <c r="C383" i="6"/>
  <c r="C381" i="6"/>
  <c r="C380" i="6"/>
  <c r="C379" i="6"/>
  <c r="C378" i="6"/>
  <c r="C376" i="6"/>
  <c r="C375" i="6"/>
  <c r="C374" i="6"/>
  <c r="C373" i="6"/>
  <c r="C371" i="6"/>
  <c r="C370" i="6"/>
  <c r="C369" i="6"/>
  <c r="C368" i="6"/>
  <c r="C366" i="6"/>
  <c r="C365" i="6"/>
  <c r="C364" i="6"/>
  <c r="C363" i="6"/>
  <c r="C361" i="6"/>
  <c r="C360" i="6"/>
  <c r="C359" i="6"/>
  <c r="C358" i="6"/>
  <c r="C356" i="6"/>
  <c r="C355" i="6"/>
  <c r="C354" i="6"/>
  <c r="C353" i="6"/>
  <c r="C351" i="6"/>
  <c r="C350" i="6"/>
  <c r="C349" i="6"/>
  <c r="C348" i="6"/>
  <c r="C346" i="6"/>
  <c r="C341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2" i="6"/>
  <c r="C296" i="6"/>
  <c r="C295" i="6"/>
  <c r="C294" i="6"/>
  <c r="C293" i="6"/>
  <c r="C291" i="6"/>
  <c r="C290" i="6"/>
  <c r="C289" i="6"/>
  <c r="C288" i="6"/>
  <c r="C286" i="6"/>
  <c r="C285" i="6"/>
  <c r="C284" i="6"/>
  <c r="C283" i="6"/>
  <c r="C281" i="6"/>
  <c r="C280" i="6"/>
  <c r="C279" i="6"/>
  <c r="C278" i="6"/>
  <c r="C276" i="6"/>
  <c r="C275" i="6"/>
  <c r="C274" i="6"/>
  <c r="C273" i="6"/>
  <c r="C271" i="6"/>
  <c r="C270" i="6"/>
  <c r="C269" i="6"/>
  <c r="C268" i="6"/>
  <c r="C266" i="6"/>
  <c r="C265" i="6"/>
  <c r="C264" i="6"/>
  <c r="C263" i="6"/>
  <c r="C261" i="6"/>
  <c r="C260" i="6"/>
  <c r="C259" i="6"/>
  <c r="C258" i="6"/>
  <c r="C256" i="6"/>
  <c r="C255" i="6"/>
  <c r="C254" i="6"/>
  <c r="C253" i="6"/>
  <c r="C251" i="6"/>
  <c r="C250" i="6"/>
  <c r="C249" i="6"/>
  <c r="C248" i="6"/>
  <c r="C246" i="6"/>
  <c r="C241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170" i="6"/>
  <c r="C167" i="6"/>
  <c r="C166" i="6"/>
  <c r="C165" i="6"/>
  <c r="C164" i="6"/>
  <c r="C162" i="6"/>
  <c r="C160" i="6"/>
  <c r="C159" i="6"/>
  <c r="C158" i="6"/>
  <c r="C80" i="6"/>
  <c r="C68" i="6"/>
  <c r="C64" i="6"/>
  <c r="C45" i="6"/>
  <c r="C28" i="3"/>
  <c r="C24" i="3"/>
  <c r="C20" i="3"/>
  <c r="C16" i="3"/>
  <c r="C12" i="3"/>
  <c r="C8" i="3"/>
  <c r="C53" i="3"/>
  <c r="C51" i="3"/>
  <c r="C29" i="3"/>
  <c r="C25" i="3"/>
  <c r="C21" i="3"/>
  <c r="D33" i="10" l="1"/>
  <c r="B4" i="10"/>
  <c r="B33" i="10" s="1"/>
  <c r="A3" i="10"/>
  <c r="D2" i="10"/>
  <c r="B2" i="10"/>
  <c r="A2" i="10"/>
  <c r="C1" i="10"/>
  <c r="B1" i="10"/>
  <c r="A1" i="10"/>
  <c r="D10" i="6"/>
  <c r="B13" i="6"/>
  <c r="D13" i="6" s="1"/>
  <c r="C13" i="6"/>
  <c r="C14" i="6" s="1"/>
  <c r="B3" i="10"/>
  <c r="D40" i="3"/>
  <c r="D39" i="3"/>
  <c r="D36" i="3"/>
  <c r="D35" i="3"/>
  <c r="D8" i="3"/>
  <c r="D7" i="3"/>
  <c r="D4" i="3"/>
  <c r="D343" i="6"/>
  <c r="D304" i="6"/>
  <c r="D243" i="6"/>
  <c r="D203" i="6"/>
  <c r="D78" i="6"/>
  <c r="D67" i="6"/>
  <c r="D63" i="6"/>
  <c r="D47" i="6"/>
  <c r="D155" i="6"/>
  <c r="D161" i="6" s="1"/>
  <c r="D18" i="6"/>
  <c r="D17" i="6"/>
  <c r="D16" i="6"/>
  <c r="D11" i="6"/>
  <c r="C102" i="2"/>
  <c r="C101" i="2"/>
  <c r="B57" i="2"/>
  <c r="B56" i="2"/>
  <c r="B55" i="2"/>
  <c r="B5" i="3"/>
  <c r="D5" i="3" s="1"/>
  <c r="D21" i="3" s="1"/>
  <c r="B29" i="2"/>
  <c r="B27" i="2"/>
  <c r="B19" i="2"/>
  <c r="B17" i="2"/>
  <c r="K44" i="9" l="1"/>
  <c r="K45" i="9"/>
  <c r="E34" i="9"/>
  <c r="E35" i="9"/>
  <c r="K49" i="9"/>
  <c r="K46" i="9"/>
  <c r="K47" i="9"/>
  <c r="E36" i="9"/>
  <c r="K48" i="9"/>
  <c r="K50" i="9"/>
  <c r="K43" i="9"/>
  <c r="E26" i="9"/>
  <c r="K51" i="9"/>
  <c r="E24" i="9"/>
  <c r="E25" i="9"/>
  <c r="E27" i="9"/>
  <c r="E30" i="9"/>
  <c r="E31" i="9"/>
  <c r="E33" i="9"/>
  <c r="E28" i="9"/>
  <c r="E29" i="9"/>
  <c r="E32" i="9"/>
  <c r="D14" i="6"/>
  <c r="C36" i="10"/>
  <c r="C31" i="10"/>
  <c r="C30" i="10"/>
  <c r="D20" i="6"/>
  <c r="D19" i="6"/>
  <c r="D13" i="3"/>
  <c r="D9" i="3"/>
  <c r="D17" i="3" s="1"/>
  <c r="D192" i="6"/>
  <c r="D193" i="6"/>
  <c r="D121" i="6"/>
  <c r="D104" i="6"/>
  <c r="D3" i="3"/>
  <c r="D49" i="12"/>
  <c r="D33" i="3"/>
  <c r="D29" i="3"/>
  <c r="D36" i="6"/>
  <c r="D45" i="3"/>
  <c r="D24" i="6" l="1"/>
  <c r="D25" i="6" s="1"/>
  <c r="D194" i="6"/>
  <c r="B15" i="10"/>
  <c r="B55" i="11"/>
  <c r="B54" i="11"/>
  <c r="B13" i="11"/>
  <c r="B12" i="11"/>
  <c r="B11" i="11"/>
  <c r="C51" i="11"/>
  <c r="B51" i="11"/>
  <c r="B50" i="11"/>
  <c r="C45" i="11"/>
  <c r="B45" i="11"/>
  <c r="B43" i="11"/>
  <c r="B33" i="11"/>
  <c r="B32" i="11"/>
  <c r="B31" i="11"/>
  <c r="B21" i="11"/>
  <c r="B20" i="11"/>
  <c r="B19" i="11"/>
  <c r="B16" i="11"/>
  <c r="D42" i="6" l="1"/>
  <c r="A354" i="6"/>
  <c r="A359" i="6" s="1"/>
  <c r="A364" i="6" s="1"/>
  <c r="A369" i="6" s="1"/>
  <c r="A374" i="6" s="1"/>
  <c r="A379" i="6" s="1"/>
  <c r="A384" i="6" s="1"/>
  <c r="A389" i="6" s="1"/>
  <c r="A394" i="6" s="1"/>
  <c r="A309" i="6"/>
  <c r="A311" i="6" s="1"/>
  <c r="A313" i="6" s="1"/>
  <c r="A315" i="6" s="1"/>
  <c r="A317" i="6" s="1"/>
  <c r="A319" i="6" s="1"/>
  <c r="A321" i="6" s="1"/>
  <c r="A323" i="6" s="1"/>
  <c r="A325" i="6" s="1"/>
  <c r="A327" i="6" s="1"/>
  <c r="A329" i="6" s="1"/>
  <c r="A331" i="6" s="1"/>
  <c r="A333" i="6" s="1"/>
  <c r="A335" i="6" s="1"/>
  <c r="A254" i="6" l="1"/>
  <c r="A259" i="6" s="1"/>
  <c r="A264" i="6" s="1"/>
  <c r="A269" i="6" s="1"/>
  <c r="A274" i="6" s="1"/>
  <c r="A279" i="6" s="1"/>
  <c r="A284" i="6" s="1"/>
  <c r="A289" i="6" s="1"/>
  <c r="A294" i="6" s="1"/>
  <c r="A208" i="6"/>
  <c r="A210" i="6" s="1"/>
  <c r="A212" i="6" s="1"/>
  <c r="A214" i="6" s="1"/>
  <c r="A216" i="6" s="1"/>
  <c r="A218" i="6" s="1"/>
  <c r="A220" i="6" s="1"/>
  <c r="A222" i="6" s="1"/>
  <c r="A224" i="6" s="1"/>
  <c r="A226" i="6" s="1"/>
  <c r="A228" i="6" s="1"/>
  <c r="A230" i="6" s="1"/>
  <c r="A232" i="6" s="1"/>
  <c r="A234" i="6" s="1"/>
  <c r="B9" i="10"/>
  <c r="C9" i="10" s="1"/>
  <c r="B8" i="10"/>
  <c r="C8" i="10" s="1"/>
  <c r="M38" i="10"/>
  <c r="C29" i="10"/>
  <c r="B29" i="10"/>
  <c r="M39" i="10" l="1"/>
  <c r="C32" i="9"/>
  <c r="C31" i="9"/>
  <c r="C30" i="9"/>
  <c r="C29" i="9"/>
  <c r="C28" i="9"/>
  <c r="C27" i="9"/>
  <c r="C71" i="9" l="1"/>
  <c r="F57" i="9"/>
  <c r="F56" i="9"/>
  <c r="F55" i="9"/>
  <c r="F58" i="9" s="1"/>
  <c r="F51" i="9"/>
  <c r="F50" i="9"/>
  <c r="F49" i="9"/>
  <c r="E46" i="9" l="1"/>
  <c r="E48" i="9"/>
  <c r="E44" i="9"/>
  <c r="E45" i="9"/>
  <c r="E47" i="9"/>
  <c r="E49" i="9"/>
  <c r="E50" i="9"/>
  <c r="E51" i="9"/>
  <c r="D109" i="6" l="1"/>
  <c r="D27" i="7"/>
  <c r="D26" i="7"/>
  <c r="D25" i="7"/>
  <c r="D24" i="7"/>
  <c r="D23" i="7"/>
  <c r="D22" i="7"/>
  <c r="D20" i="7"/>
  <c r="D19" i="7"/>
  <c r="D18" i="7"/>
  <c r="D17" i="7"/>
  <c r="D16" i="7"/>
  <c r="D13" i="7"/>
  <c r="D12" i="7"/>
  <c r="D11" i="7"/>
  <c r="C98" i="2"/>
  <c r="D7" i="7"/>
  <c r="D199" i="6" l="1"/>
  <c r="D239" i="6"/>
  <c r="D200" i="6"/>
  <c r="D240" i="6"/>
  <c r="D73" i="6" l="1"/>
  <c r="D74" i="6" s="1"/>
  <c r="D37" i="6"/>
  <c r="D26" i="6"/>
  <c r="D23" i="6"/>
  <c r="D96" i="6" l="1"/>
  <c r="D105" i="6" s="1"/>
  <c r="D92" i="6" s="1"/>
  <c r="D57" i="6" s="1"/>
  <c r="D75" i="6"/>
  <c r="D77" i="6" s="1"/>
  <c r="D79" i="6" s="1"/>
  <c r="D31" i="6"/>
  <c r="D38" i="6" s="1"/>
  <c r="D40" i="6" s="1"/>
  <c r="F134" i="6"/>
  <c r="D47" i="3" l="1"/>
  <c r="D106" i="6"/>
  <c r="C6" i="9" s="1"/>
  <c r="F132" i="6"/>
  <c r="F133" i="6"/>
  <c r="F131" i="6"/>
  <c r="C21" i="9"/>
  <c r="C5" i="9" s="1"/>
  <c r="D122" i="6"/>
  <c r="D123" i="6" s="1"/>
  <c r="C7" i="9" s="1"/>
  <c r="D80" i="6"/>
  <c r="D81" i="6" s="1"/>
  <c r="C23" i="9" l="1"/>
  <c r="E23" i="9" s="1"/>
  <c r="C37" i="9"/>
  <c r="E37" i="9" s="1"/>
  <c r="F135" i="6"/>
  <c r="F136" i="6" s="1"/>
  <c r="D83" i="6" s="1"/>
  <c r="F35" i="10"/>
  <c r="B18" i="10"/>
  <c r="C22" i="9"/>
  <c r="E22" i="9" s="1"/>
  <c r="E17" i="7"/>
  <c r="F38" i="10" l="1"/>
  <c r="F39" i="10" s="1"/>
  <c r="C10" i="9"/>
  <c r="C38" i="9"/>
  <c r="B19" i="10"/>
  <c r="C19" i="10" s="1"/>
  <c r="C11" i="9"/>
  <c r="C13" i="9"/>
  <c r="C12" i="9"/>
  <c r="C9" i="9"/>
  <c r="C8" i="9"/>
  <c r="C18" i="10"/>
  <c r="C39" i="9" l="1"/>
  <c r="G39" i="9" s="1"/>
  <c r="E38" i="9"/>
  <c r="E39" i="9" s="1"/>
  <c r="C15" i="9"/>
  <c r="C17" i="9" s="1"/>
  <c r="D167" i="6" s="1"/>
  <c r="E167" i="6" s="1"/>
  <c r="D21" i="1"/>
  <c r="D20" i="1"/>
  <c r="D19" i="1"/>
  <c r="B20" i="10" l="1"/>
  <c r="C20" i="10" s="1"/>
  <c r="G35" i="10"/>
  <c r="D157" i="6"/>
  <c r="D159" i="6" s="1"/>
  <c r="D302" i="6" s="1"/>
  <c r="D160" i="6"/>
  <c r="D44" i="6"/>
  <c r="D45" i="6" s="1"/>
  <c r="D156" i="6"/>
  <c r="D37" i="3"/>
  <c r="D41" i="3"/>
  <c r="B14" i="10" s="1"/>
  <c r="D241" i="6" l="1"/>
  <c r="D248" i="6" s="1"/>
  <c r="D249" i="6" s="1"/>
  <c r="D201" i="6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48" i="6" s="1"/>
  <c r="D49" i="6" s="1"/>
  <c r="G38" i="10"/>
  <c r="G39" i="10" s="1"/>
  <c r="D158" i="6"/>
  <c r="D168" i="6"/>
  <c r="E168" i="6" s="1"/>
  <c r="D68" i="6"/>
  <c r="D69" i="6" s="1"/>
  <c r="D64" i="6"/>
  <c r="D65" i="6" s="1"/>
  <c r="C15" i="10"/>
  <c r="D305" i="6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164" i="6" s="1"/>
  <c r="E164" i="6" s="1"/>
  <c r="E25" i="7"/>
  <c r="C14" i="10"/>
  <c r="E24" i="7"/>
  <c r="D125" i="6"/>
  <c r="D94" i="6" s="1"/>
  <c r="D59" i="6" s="1"/>
  <c r="B24" i="10" l="1"/>
  <c r="K35" i="10"/>
  <c r="K38" i="10" s="1"/>
  <c r="D246" i="6"/>
  <c r="D250" i="6" s="1"/>
  <c r="D251" i="6" s="1"/>
  <c r="D253" i="6" s="1"/>
  <c r="D254" i="6" s="1"/>
  <c r="D255" i="6" s="1"/>
  <c r="D166" i="6"/>
  <c r="E166" i="6" s="1"/>
  <c r="D171" i="6"/>
  <c r="D162" i="6"/>
  <c r="D341" i="6"/>
  <c r="D348" i="6" s="1"/>
  <c r="D349" i="6" s="1"/>
  <c r="B21" i="10"/>
  <c r="C21" i="10" s="1"/>
  <c r="H35" i="10"/>
  <c r="I35" i="10"/>
  <c r="I38" i="10" s="1"/>
  <c r="B22" i="10"/>
  <c r="C22" i="10" s="1"/>
  <c r="E26" i="7"/>
  <c r="D215" i="6"/>
  <c r="D216" i="6" s="1"/>
  <c r="D217" i="6" s="1"/>
  <c r="D218" i="6" s="1"/>
  <c r="D219" i="6" s="1"/>
  <c r="D220" i="6" s="1"/>
  <c r="D221" i="6" s="1"/>
  <c r="D316" i="6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E19" i="7"/>
  <c r="I39" i="10" l="1"/>
  <c r="K39" i="10"/>
  <c r="B23" i="10"/>
  <c r="C23" i="10" s="1"/>
  <c r="J35" i="10"/>
  <c r="J38" i="10" s="1"/>
  <c r="H38" i="10"/>
  <c r="H39" i="10" s="1"/>
  <c r="D346" i="6"/>
  <c r="D350" i="6" s="1"/>
  <c r="D351" i="6" s="1"/>
  <c r="D353" i="6" s="1"/>
  <c r="D354" i="6" s="1"/>
  <c r="D355" i="6" s="1"/>
  <c r="D356" i="6" s="1"/>
  <c r="D358" i="6" s="1"/>
  <c r="D359" i="6" s="1"/>
  <c r="D360" i="6" s="1"/>
  <c r="D361" i="6" s="1"/>
  <c r="D363" i="6" s="1"/>
  <c r="D364" i="6" s="1"/>
  <c r="D365" i="6" s="1"/>
  <c r="D366" i="6" s="1"/>
  <c r="D368" i="6" s="1"/>
  <c r="D369" i="6" s="1"/>
  <c r="D165" i="6" s="1"/>
  <c r="E165" i="6" s="1"/>
  <c r="C24" i="10"/>
  <c r="D256" i="6"/>
  <c r="D258" i="6" s="1"/>
  <c r="D259" i="6" s="1"/>
  <c r="D260" i="6" s="1"/>
  <c r="D222" i="6"/>
  <c r="D223" i="6" s="1"/>
  <c r="D370" i="6" l="1"/>
  <c r="D371" i="6" s="1"/>
  <c r="D373" i="6" s="1"/>
  <c r="D374" i="6" s="1"/>
  <c r="D375" i="6" s="1"/>
  <c r="D376" i="6" s="1"/>
  <c r="D378" i="6" s="1"/>
  <c r="D379" i="6" s="1"/>
  <c r="D380" i="6" s="1"/>
  <c r="D381" i="6" s="1"/>
  <c r="D383" i="6" s="1"/>
  <c r="D384" i="6" s="1"/>
  <c r="D385" i="6" s="1"/>
  <c r="D386" i="6" s="1"/>
  <c r="D388" i="6" s="1"/>
  <c r="D389" i="6" s="1"/>
  <c r="D390" i="6" s="1"/>
  <c r="D391" i="6" s="1"/>
  <c r="D393" i="6" s="1"/>
  <c r="D394" i="6" s="1"/>
  <c r="D395" i="6" s="1"/>
  <c r="D396" i="6" s="1"/>
  <c r="D170" i="6"/>
  <c r="D85" i="6" s="1"/>
  <c r="D261" i="6"/>
  <c r="D263" i="6" s="1"/>
  <c r="D264" i="6" s="1"/>
  <c r="D265" i="6" s="1"/>
  <c r="D266" i="6" s="1"/>
  <c r="D224" i="6"/>
  <c r="D225" i="6" s="1"/>
  <c r="D268" i="6" l="1"/>
  <c r="D269" i="6" s="1"/>
  <c r="D52" i="6" s="1"/>
  <c r="D53" i="6" s="1"/>
  <c r="D191" i="6" s="1"/>
  <c r="D226" i="6"/>
  <c r="D227" i="6" s="1"/>
  <c r="L35" i="10" l="1"/>
  <c r="N35" i="10" s="1"/>
  <c r="D270" i="6"/>
  <c r="D271" i="6" s="1"/>
  <c r="D273" i="6" s="1"/>
  <c r="D274" i="6" s="1"/>
  <c r="D275" i="6" s="1"/>
  <c r="D276" i="6" s="1"/>
  <c r="D228" i="6"/>
  <c r="D229" i="6" s="1"/>
  <c r="D51" i="12" l="1"/>
  <c r="D53" i="12" s="1"/>
  <c r="D54" i="12" s="1"/>
  <c r="D24" i="3" s="1"/>
  <c r="D111" i="6"/>
  <c r="D278" i="6"/>
  <c r="D279" i="6" s="1"/>
  <c r="D280" i="6" s="1"/>
  <c r="D281" i="6" s="1"/>
  <c r="D230" i="6"/>
  <c r="D231" i="6" s="1"/>
  <c r="B35" i="10" l="1"/>
  <c r="D283" i="6"/>
  <c r="D284" i="6" s="1"/>
  <c r="D285" i="6" s="1"/>
  <c r="D286" i="6" s="1"/>
  <c r="D232" i="6"/>
  <c r="D233" i="6" s="1"/>
  <c r="D234" i="6" s="1"/>
  <c r="D288" i="6" l="1"/>
  <c r="D289" i="6" s="1"/>
  <c r="D290" i="6" s="1"/>
  <c r="D291" i="6" s="1"/>
  <c r="D293" i="6" s="1"/>
  <c r="D294" i="6" s="1"/>
  <c r="D295" i="6" s="1"/>
  <c r="D296" i="6" s="1"/>
  <c r="C35" i="10" l="1"/>
  <c r="D25" i="3" l="1"/>
  <c r="D48" i="3" l="1"/>
  <c r="B13" i="10" s="1"/>
  <c r="C13" i="10" l="1"/>
  <c r="C12" i="10" s="1"/>
  <c r="B12" i="10"/>
  <c r="E34" i="10"/>
  <c r="D53" i="3"/>
  <c r="E23" i="7"/>
  <c r="E11" i="7" l="1"/>
  <c r="E22" i="7" s="1"/>
  <c r="D110" i="6"/>
  <c r="D93" i="6" s="1"/>
  <c r="D58" i="6" s="1"/>
  <c r="D87" i="6" s="1"/>
  <c r="E12" i="7" s="1"/>
  <c r="B5" i="10"/>
  <c r="D190" i="6" s="1"/>
  <c r="D196" i="6" s="1"/>
  <c r="E38" i="10"/>
  <c r="L34" i="10" l="1"/>
  <c r="B25" i="10"/>
  <c r="E39" i="10"/>
  <c r="C5" i="10"/>
  <c r="B17" i="10" l="1"/>
  <c r="C25" i="10"/>
  <c r="C17" i="10" s="1"/>
  <c r="N34" i="10"/>
  <c r="N38" i="10" s="1"/>
  <c r="L38" i="10"/>
  <c r="L39" i="10" s="1"/>
  <c r="B34" i="10" l="1"/>
  <c r="C34" i="10" s="1"/>
  <c r="C38" i="10" s="1"/>
  <c r="B6" i="10"/>
  <c r="B27" i="10"/>
  <c r="B38" i="10" l="1"/>
  <c r="D34" i="10" s="1"/>
  <c r="C27" i="10"/>
  <c r="B7" i="10"/>
  <c r="B10" i="10" s="1"/>
  <c r="D6" i="10" s="1"/>
  <c r="C6" i="10"/>
  <c r="N39" i="10"/>
  <c r="D36" i="10" l="1"/>
  <c r="D35" i="10"/>
  <c r="D38" i="10"/>
  <c r="D20" i="10"/>
  <c r="D30" i="10"/>
  <c r="D14" i="10"/>
  <c r="D13" i="10"/>
  <c r="D12" i="10"/>
  <c r="D24" i="10"/>
  <c r="D15" i="10"/>
  <c r="D21" i="10"/>
  <c r="D23" i="10"/>
  <c r="D25" i="10"/>
  <c r="D17" i="10"/>
  <c r="D10" i="10"/>
  <c r="D9" i="10"/>
  <c r="D29" i="10"/>
  <c r="D8" i="10"/>
  <c r="D19" i="10"/>
  <c r="D18" i="10"/>
  <c r="D31" i="10"/>
  <c r="D5" i="10"/>
  <c r="D22" i="10"/>
  <c r="D27" i="10"/>
  <c r="C7" i="10"/>
  <c r="C10" i="10" s="1"/>
  <c r="C39" i="10" s="1"/>
  <c r="D7" i="10"/>
  <c r="B39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<sst xmlns="http://schemas.openxmlformats.org/spreadsheetml/2006/main" count="1136" uniqueCount="566">
  <si>
    <t>Details</t>
  </si>
  <si>
    <t>Unit</t>
  </si>
  <si>
    <t>Assumption</t>
  </si>
  <si>
    <t>Rationale</t>
  </si>
  <si>
    <t>Source</t>
  </si>
  <si>
    <t>Screenshot</t>
  </si>
  <si>
    <t>Financials</t>
  </si>
  <si>
    <t>Land Area</t>
  </si>
  <si>
    <t>SQM</t>
  </si>
  <si>
    <t>Building Area</t>
  </si>
  <si>
    <t>Land Cost</t>
  </si>
  <si>
    <t>₹/SQM</t>
  </si>
  <si>
    <t xml:space="preserve"> - Cost for Industrial land in the area of supplier</t>
  </si>
  <si>
    <t>Industrial Land for sale in Silvassa | Buy 88+ Industrial Plots in Silvassa</t>
  </si>
  <si>
    <t>2177 SQFT  = ₹ 30 lakhs
1 SQFT  = ₹ 1378.04 
0.0929 SQM = ₹ 1378.04
1 SQM = 1378.04 / 0.0929 = ₹ 14,833.58</t>
  </si>
  <si>
    <t>Building Cost</t>
  </si>
  <si>
    <t xml:space="preserve"> - Cost of Constructing Building &amp; Industrial Shed in the area of supplier</t>
  </si>
  <si>
    <t>Factory for sale in Silvassa | Buy 165+ Industrial Building in Silvassa</t>
  </si>
  <si>
    <t>16140 SQFT  = ₹ 5.5cr
1 SQFT  = ₹ 3407.68 
0.0929 SQM = ₹ 3407.68
1 SQM = 3407.68 / 0.0929 = ₹ 36,681.16</t>
  </si>
  <si>
    <t>Lease Cost</t>
  </si>
  <si>
    <t xml:space="preserve"> - Cost of leasing factory Land &amp; Building in area of supplier</t>
  </si>
  <si>
    <t>Factory for Rent in Silvassa | Rental Factory in Silvassa</t>
  </si>
  <si>
    <t>26900 SQFT  = ₹ 39 lakhs
1 SQFT  = ₹ 144.98 
0.0929 SQM = ₹ 144.98
1 SQM = 144.98 / 0.0929 = ₹ 1,560.60</t>
  </si>
  <si>
    <t>Type of Premises</t>
  </si>
  <si>
    <t>Option to select whether factory is leased or owned</t>
  </si>
  <si>
    <t>Depreciation on Building</t>
  </si>
  <si>
    <t>%</t>
  </si>
  <si>
    <t xml:space="preserve"> - As per Income Tax Act
 - Compensates the company for utilizing the building in production activities &amp; ensures its upkeep. </t>
  </si>
  <si>
    <t>https://incometaxindia.gov.in/charts%20%20tables/depreciation%20rates.htm</t>
  </si>
  <si>
    <t>Depreciation on Plant and Machinery</t>
  </si>
  <si>
    <t xml:space="preserve"> - Applied on a reducing balance basis over a period of up to 15 years
 - Accounts for ongoing wear &amp; tear caused by extreme operating conditions, with certain components requiring replacement every 5 to 10 years</t>
  </si>
  <si>
    <t>Interest on Long Term Loan</t>
  </si>
  <si>
    <t xml:space="preserve"> - based on prevailing banking interest rates in the country
 - Calculated basis Simple Interest
 - Assumption that all assets &amp; replacements are fully financed through bank loans</t>
  </si>
  <si>
    <t>Business Loan Interest Rates, Fees &amp; Charges (October 2025) | HDFC Bank</t>
  </si>
  <si>
    <t>Interest on Working Capital</t>
  </si>
  <si>
    <t xml:space="preserve"> - Based on prevailing banking interest rates in the country</t>
  </si>
  <si>
    <t>Bill Discounting Scheme - NSIC : National Small Industries Corporation Ltd.</t>
  </si>
  <si>
    <t>Electricity</t>
  </si>
  <si>
    <t>₹/KWH</t>
  </si>
  <si>
    <t xml:space="preserve"> - Rate assumed for the industrial use as prevalent in the specific area of the country.</t>
  </si>
  <si>
    <t>Rpair &amp; Maintenance</t>
  </si>
  <si>
    <t xml:space="preserve"> - Regular Maintenance for wear &amp; tear of Machines</t>
  </si>
  <si>
    <t>Other Overheads</t>
  </si>
  <si>
    <t xml:space="preserve"> - Cover any costs like Administrative costs, Office space, Travel &amp; Logistics, IT, communication, HR &amp; Training Costs, Compliance &amp; Certifications, etc</t>
  </si>
  <si>
    <t>Manpower Details</t>
  </si>
  <si>
    <t>Skilled Labour</t>
  </si>
  <si>
    <t>₹/ Annum</t>
  </si>
  <si>
    <t>Annual Salary + Benefits
 - Employer’s contributions to Provident Fund(12%)
 - Employer’s Pension (4.81%)
 - Bonus - 10%</t>
  </si>
  <si>
    <t>Machine operator salary in Silvassa, Dadra and Nagar Haveli</t>
  </si>
  <si>
    <t>Engineer</t>
  </si>
  <si>
    <t>Engineer salary in Silvassa, Dadra and Nagar Haveli</t>
  </si>
  <si>
    <t>Production Manager</t>
  </si>
  <si>
    <t>Production manager salary in Silvassa, Dadra and Nagar Haveli</t>
  </si>
  <si>
    <t>No of Shifts</t>
  </si>
  <si>
    <t>Currency</t>
  </si>
  <si>
    <t>INR</t>
  </si>
  <si>
    <t>Annual Volume</t>
  </si>
  <si>
    <t>% of Total Cost</t>
  </si>
  <si>
    <t>Material</t>
  </si>
  <si>
    <t>Conversion</t>
  </si>
  <si>
    <t>Margin</t>
  </si>
  <si>
    <t>Packaging</t>
  </si>
  <si>
    <t xml:space="preserve">Freight </t>
  </si>
  <si>
    <t>Total</t>
  </si>
  <si>
    <t>Material Cost</t>
  </si>
  <si>
    <t>Resin</t>
  </si>
  <si>
    <t>Masterbatch</t>
  </si>
  <si>
    <t>Additives</t>
  </si>
  <si>
    <t>Conversion Cost</t>
  </si>
  <si>
    <t>Depreciation</t>
  </si>
  <si>
    <t>Interest</t>
  </si>
  <si>
    <t>Energy</t>
  </si>
  <si>
    <t>Overheads</t>
  </si>
  <si>
    <t>Distribution</t>
  </si>
  <si>
    <t>Packgaging</t>
  </si>
  <si>
    <t>Freight</t>
  </si>
  <si>
    <t>Process Costing</t>
  </si>
  <si>
    <t>Labour</t>
  </si>
  <si>
    <t>Repairs</t>
  </si>
  <si>
    <t>Other OH</t>
  </si>
  <si>
    <t>Shipping</t>
  </si>
  <si>
    <t>Extrusion</t>
  </si>
  <si>
    <t>Dispatch</t>
  </si>
  <si>
    <t>PLM</t>
  </si>
  <si>
    <t>Description</t>
  </si>
  <si>
    <t>Model Type</t>
  </si>
  <si>
    <t>Model</t>
  </si>
  <si>
    <t>Time Period</t>
  </si>
  <si>
    <t>Legend</t>
  </si>
  <si>
    <t>User Inputs (Can Change)</t>
  </si>
  <si>
    <t>Calculated / Formula (Cannot Change)</t>
  </si>
  <si>
    <t>Country</t>
  </si>
  <si>
    <t>₹</t>
  </si>
  <si>
    <t>Final Cost</t>
  </si>
  <si>
    <t xml:space="preserve">Annual Volume </t>
  </si>
  <si>
    <t>Mn Pcs</t>
  </si>
  <si>
    <t>Final Cost Breakdown</t>
  </si>
  <si>
    <t xml:space="preserve">Material Cost </t>
  </si>
  <si>
    <t xml:space="preserve">Conversion Cost </t>
  </si>
  <si>
    <t xml:space="preserve">Margin </t>
  </si>
  <si>
    <t>Conversion Cost Breakdown</t>
  </si>
  <si>
    <t>Material Cost &amp; Scrap</t>
  </si>
  <si>
    <t xml:space="preserve">Direct Materials </t>
  </si>
  <si>
    <t xml:space="preserve">Scrap </t>
  </si>
  <si>
    <t>Material Cost Breakdown</t>
  </si>
  <si>
    <t>Wastage</t>
  </si>
  <si>
    <t>SKU Description</t>
  </si>
  <si>
    <t xml:space="preserve">Comfort 220ml </t>
  </si>
  <si>
    <t>India</t>
  </si>
  <si>
    <t>Supplier</t>
  </si>
  <si>
    <t>Costing Period</t>
  </si>
  <si>
    <t>SKU Code</t>
  </si>
  <si>
    <t>Material Details</t>
  </si>
  <si>
    <t>Weight</t>
  </si>
  <si>
    <t>g</t>
  </si>
  <si>
    <t>Layer 1 Ratio</t>
  </si>
  <si>
    <t>Layer 1 Polymer Type</t>
  </si>
  <si>
    <t>* Please select from Drop down list</t>
  </si>
  <si>
    <t>HDPE</t>
  </si>
  <si>
    <t>Layer 1 Polymer Grade</t>
  </si>
  <si>
    <t>B56003</t>
  </si>
  <si>
    <t>Layer 1 Polymer Rate</t>
  </si>
  <si>
    <t>Layer 1 Masterbatch Dosage</t>
  </si>
  <si>
    <t>Layer 1 Masterbatch Rate</t>
  </si>
  <si>
    <t>Layer 1 Additive Dosage</t>
  </si>
  <si>
    <t>Layer 1 Additive Rate</t>
  </si>
  <si>
    <t>Layer 2 Ratio</t>
  </si>
  <si>
    <t>Layer 2 Regrind Ratio</t>
  </si>
  <si>
    <t>Layer 2 Polymer Type</t>
  </si>
  <si>
    <t>Layer 2 Polymer Grade</t>
  </si>
  <si>
    <t>Layer 2 Polymer Rate</t>
  </si>
  <si>
    <t>Layer 2 Masterbatch Dosage</t>
  </si>
  <si>
    <t>Layer 2 Masterbatch Rate</t>
  </si>
  <si>
    <t>Layer 2 Additive Dosage</t>
  </si>
  <si>
    <t>Layer 2 Additive Rate</t>
  </si>
  <si>
    <t>Layer 3 Ratio</t>
  </si>
  <si>
    <t>Layer 3 Polymer Type</t>
  </si>
  <si>
    <t>Layer 3 Polymer Grade</t>
  </si>
  <si>
    <t>Layer 3 Polymer Rate</t>
  </si>
  <si>
    <t>Layer 3 Masterbatch Dosage</t>
  </si>
  <si>
    <t>Layer 3 Masterbatch Rate</t>
  </si>
  <si>
    <t>Layer 3 Additive Dosage</t>
  </si>
  <si>
    <t>Layer 3 Additive Rate</t>
  </si>
  <si>
    <t>Regrind Ratio</t>
  </si>
  <si>
    <t xml:space="preserve">Mould </t>
  </si>
  <si>
    <t>Mould Cavitation</t>
  </si>
  <si>
    <t>Nos</t>
  </si>
  <si>
    <t>Mould Cycle Time</t>
  </si>
  <si>
    <t>Secs</t>
  </si>
  <si>
    <t>Machine Model &amp; Tonnage</t>
  </si>
  <si>
    <t>Jomar 65</t>
  </si>
  <si>
    <t>Electricity Rate</t>
  </si>
  <si>
    <t>Manpower Cost</t>
  </si>
  <si>
    <t>Repair &amp; Maintainance</t>
  </si>
  <si>
    <t>Machine Value</t>
  </si>
  <si>
    <t>Completed life of asset</t>
  </si>
  <si>
    <t>Years</t>
  </si>
  <si>
    <t>Margin Calculation</t>
  </si>
  <si>
    <t>% of Conversion Cost</t>
  </si>
  <si>
    <t>Owned</t>
  </si>
  <si>
    <t>No of Orders / Year</t>
  </si>
  <si>
    <t>Packing</t>
  </si>
  <si>
    <t>Bottles Per Box</t>
  </si>
  <si>
    <t>Boxes Per Pallet</t>
  </si>
  <si>
    <t>Pallet Type</t>
  </si>
  <si>
    <t>Standard Pallet</t>
  </si>
  <si>
    <t>Type of Container</t>
  </si>
  <si>
    <t>22 feet / 24 feet</t>
  </si>
  <si>
    <t>Days per Year</t>
  </si>
  <si>
    <t>Shifts per Day</t>
  </si>
  <si>
    <t>Hours per Day</t>
  </si>
  <si>
    <t>Efficiency</t>
  </si>
  <si>
    <t>Available hours per year</t>
  </si>
  <si>
    <t>Exchange Rates</t>
  </si>
  <si>
    <t>Layer 1 Resin Cost</t>
  </si>
  <si>
    <t>Layer 1 Masterbatch Cost</t>
  </si>
  <si>
    <t>Layer 1 Additive Cost</t>
  </si>
  <si>
    <t>Layer 2 Resin Cost</t>
  </si>
  <si>
    <t>Regrind Polymer Rate</t>
  </si>
  <si>
    <t>Regrind Resin Cost</t>
  </si>
  <si>
    <t>Layer 2 Masterbatch Cost</t>
  </si>
  <si>
    <t>Layer 2 Additive Cost</t>
  </si>
  <si>
    <t>Layer 3 Resin Cost</t>
  </si>
  <si>
    <t>Layer 3 Masterbatch Cost</t>
  </si>
  <si>
    <t>Layer 3 Additive Cost</t>
  </si>
  <si>
    <t>Other Costs</t>
  </si>
  <si>
    <t>Label Cost</t>
  </si>
  <si>
    <t>Leased</t>
  </si>
  <si>
    <t>% of Material &amp; Conversion Cost</t>
  </si>
  <si>
    <t>Payment Terms</t>
  </si>
  <si>
    <t>Annual Volume (Tons)</t>
  </si>
  <si>
    <t>* Bale + Local Freight</t>
  </si>
  <si>
    <t>How is your depreciatioin being calculated</t>
  </si>
  <si>
    <t>Completed Life of Asset</t>
  </si>
  <si>
    <t>* Pre-Engineered Buildings (PEB)</t>
  </si>
  <si>
    <t>LT Debt - Equity Ratio</t>
  </si>
  <si>
    <t>Woven Sack</t>
  </si>
  <si>
    <t>Weight per Box</t>
  </si>
  <si>
    <t>kg</t>
  </si>
  <si>
    <t>Packing Cost</t>
  </si>
  <si>
    <t>Logistics</t>
  </si>
  <si>
    <t>Container Type</t>
  </si>
  <si>
    <t>22 Feet Container</t>
  </si>
  <si>
    <t>Weight per container</t>
  </si>
  <si>
    <t>Freight Cost</t>
  </si>
  <si>
    <t>Delivery Cost</t>
  </si>
  <si>
    <t>Euro to INR</t>
  </si>
  <si>
    <t>USD to INR</t>
  </si>
  <si>
    <t>RM</t>
  </si>
  <si>
    <t>No of days</t>
  </si>
  <si>
    <t>FG</t>
  </si>
  <si>
    <t>Production</t>
  </si>
  <si>
    <t>Capacity Required</t>
  </si>
  <si>
    <t>Output / Hour</t>
  </si>
  <si>
    <t>Output / Annum</t>
  </si>
  <si>
    <t>Capacity Utilized</t>
  </si>
  <si>
    <t>No of Machines Required</t>
  </si>
  <si>
    <t>Actual Production Hours / Annum</t>
  </si>
  <si>
    <t>Hours</t>
  </si>
  <si>
    <t>Production Hours / Annum Allocated</t>
  </si>
  <si>
    <t>Set Up &amp; Ramp Up</t>
  </si>
  <si>
    <t>Average Order Size</t>
  </si>
  <si>
    <t>Mins</t>
  </si>
  <si>
    <t>Machine Speed at Ramp Up</t>
  </si>
  <si>
    <t>Pcs/ Min</t>
  </si>
  <si>
    <t>No of Component Wasted</t>
  </si>
  <si>
    <t>Process Wastage</t>
  </si>
  <si>
    <t>Burning Wastage</t>
  </si>
  <si>
    <t>Machine Cost</t>
  </si>
  <si>
    <t>Robotic Arm</t>
  </si>
  <si>
    <t>Ancilliary Equipments</t>
  </si>
  <si>
    <t>Total Investment</t>
  </si>
  <si>
    <t>Warehouse</t>
  </si>
  <si>
    <t>cz</t>
  </si>
  <si>
    <t>Power</t>
  </si>
  <si>
    <t>Consumption</t>
  </si>
  <si>
    <t xml:space="preserve">  Main</t>
  </si>
  <si>
    <t>KWH</t>
  </si>
  <si>
    <t xml:space="preserve">  Ancilliary</t>
  </si>
  <si>
    <t xml:space="preserve">  Total</t>
  </si>
  <si>
    <t>Electricity Cost</t>
  </si>
  <si>
    <t>Electricity Cost / Annum</t>
  </si>
  <si>
    <t>Direct Manpower</t>
  </si>
  <si>
    <t>Indirect Conversion Cost</t>
  </si>
  <si>
    <t>Working Capital Calculations</t>
  </si>
  <si>
    <t>Inventory Holding Cost</t>
  </si>
  <si>
    <t>Warehousing Cost</t>
  </si>
  <si>
    <t>RM Inventory</t>
  </si>
  <si>
    <t>Silo Size</t>
  </si>
  <si>
    <t xml:space="preserve">  Dia</t>
  </si>
  <si>
    <t>Ft</t>
  </si>
  <si>
    <t xml:space="preserve">  Height</t>
  </si>
  <si>
    <t>Capacity of Silo in Tons</t>
  </si>
  <si>
    <t>Tons</t>
  </si>
  <si>
    <t>Area Required + Gang ways</t>
  </si>
  <si>
    <t>Days</t>
  </si>
  <si>
    <t>Resin Inventory</t>
  </si>
  <si>
    <t>Area required for RM inventory</t>
  </si>
  <si>
    <t xml:space="preserve">For FG Holding Cost Purpose only </t>
  </si>
  <si>
    <t xml:space="preserve">Weight </t>
  </si>
  <si>
    <t>FG Inventory</t>
  </si>
  <si>
    <t>Rack Size (LxDxH)</t>
  </si>
  <si>
    <t>Mtrs</t>
  </si>
  <si>
    <t>Boxes per Pallet</t>
  </si>
  <si>
    <t>No of stacks on pallet  rack</t>
  </si>
  <si>
    <t>Total boxes per rack height</t>
  </si>
  <si>
    <t>Rack Size + Gangway</t>
  </si>
  <si>
    <t>Bottles per box</t>
  </si>
  <si>
    <t>Components per rack vertically</t>
  </si>
  <si>
    <t>Total FG Inventory (pcs)</t>
  </si>
  <si>
    <t>Area required for FG Inventory</t>
  </si>
  <si>
    <t>Total area required for inventory</t>
  </si>
  <si>
    <t>Annual Salary</t>
  </si>
  <si>
    <t>Average Hourly Rate</t>
  </si>
  <si>
    <t>Indirect Manpower</t>
  </si>
  <si>
    <t>Security</t>
  </si>
  <si>
    <t>General Manager</t>
  </si>
  <si>
    <t>Common Investment Allocation</t>
  </si>
  <si>
    <t>Common Investment</t>
  </si>
  <si>
    <t>Area of Land</t>
  </si>
  <si>
    <t>Area of Building</t>
  </si>
  <si>
    <t>Total Common Cost</t>
  </si>
  <si>
    <t>Investment Cost</t>
  </si>
  <si>
    <t>Salvage Value</t>
  </si>
  <si>
    <t>Net Assets for Year 1</t>
  </si>
  <si>
    <t>Depreciation for Year 1</t>
  </si>
  <si>
    <t>Net Assets for Year 2</t>
  </si>
  <si>
    <t>Depreciation for Year 2</t>
  </si>
  <si>
    <t>Net Assets for Year 3</t>
  </si>
  <si>
    <t>Depreciation for Year 3</t>
  </si>
  <si>
    <t>Net Assets for Year 4</t>
  </si>
  <si>
    <t>Depreciation for Year 4</t>
  </si>
  <si>
    <t>Net Assets for Year 5</t>
  </si>
  <si>
    <t>Depreciation for Year 5</t>
  </si>
  <si>
    <t>Net Assets for Year 6</t>
  </si>
  <si>
    <t>Depreciation for Year 6</t>
  </si>
  <si>
    <t>Net Assets for Year 7</t>
  </si>
  <si>
    <t>Depreciation for Year 7</t>
  </si>
  <si>
    <t>Net Assets for Year 8</t>
  </si>
  <si>
    <t>Depreciation for Year 8</t>
  </si>
  <si>
    <t>Net Assets for Year 9</t>
  </si>
  <si>
    <t>Depreciation for Year 9</t>
  </si>
  <si>
    <t>Net Assets for Year 10</t>
  </si>
  <si>
    <t>Depreciation for Year 10</t>
  </si>
  <si>
    <t>Net Assets for Year 11</t>
  </si>
  <si>
    <t>Depreciation for Year 11</t>
  </si>
  <si>
    <t>Net Assets for Year 12</t>
  </si>
  <si>
    <t>Depreciation for Year 12</t>
  </si>
  <si>
    <t>Net Assets for Year 13</t>
  </si>
  <si>
    <t>Depreciation for Year 13</t>
  </si>
  <si>
    <t>Net Assets for Year 14</t>
  </si>
  <si>
    <t>Depreciation for Year 14</t>
  </si>
  <si>
    <t>Net Assets for Year 15</t>
  </si>
  <si>
    <t>Depreciation for Year 15</t>
  </si>
  <si>
    <t>Interest Schedule - Main</t>
  </si>
  <si>
    <t>Investment</t>
  </si>
  <si>
    <t>Loan Tenure</t>
  </si>
  <si>
    <t>No of Payments / Year</t>
  </si>
  <si>
    <t>EMI</t>
  </si>
  <si>
    <t>Beginning Balance</t>
  </si>
  <si>
    <t>Principal</t>
  </si>
  <si>
    <t>Ending Balance</t>
  </si>
  <si>
    <t xml:space="preserve">Depreciation Schedule - Building </t>
  </si>
  <si>
    <t>Common Cost</t>
  </si>
  <si>
    <t>Net Asset for Year 1</t>
  </si>
  <si>
    <t>Net Asset for Year 2</t>
  </si>
  <si>
    <t>Net Asset for Year 3</t>
  </si>
  <si>
    <t>Net Asset for Year 4</t>
  </si>
  <si>
    <t>Net Asset for Year 5</t>
  </si>
  <si>
    <t>Net Asset for Year 6</t>
  </si>
  <si>
    <t>Net Asset for Year 7</t>
  </si>
  <si>
    <t>Net Asset for Year 8</t>
  </si>
  <si>
    <t>Net Asset for Year 9</t>
  </si>
  <si>
    <t>Net Asset for Year 10</t>
  </si>
  <si>
    <t>Net Asset for Year 11</t>
  </si>
  <si>
    <t>Net Asset for Year 12</t>
  </si>
  <si>
    <t>Net Asset for Year 13</t>
  </si>
  <si>
    <t>Net Asset for Year 14</t>
  </si>
  <si>
    <t>Net Asset for Year 15</t>
  </si>
  <si>
    <t>EBM Facility Area</t>
  </si>
  <si>
    <t>EBM</t>
  </si>
  <si>
    <t>Area Type</t>
  </si>
  <si>
    <t>Recommended Size (SQM)</t>
  </si>
  <si>
    <t>Notes</t>
  </si>
  <si>
    <t xml:space="preserve"> IMM Production Hall</t>
  </si>
  <si>
    <t>Including space between machines, operator walkways</t>
  </si>
  <si>
    <t xml:space="preserve"> Raw Material Storage</t>
  </si>
  <si>
    <t>Silo + bag storage, covered with material loaders, fire safety</t>
  </si>
  <si>
    <t>Finished Goods Warehouse</t>
  </si>
  <si>
    <t>3–5 days buffer stock, stacked pallets, racking possible</t>
  </si>
  <si>
    <t xml:space="preserve"> Tool Room &amp; Mould Storage</t>
  </si>
  <si>
    <t>For in-use and spare moulds; includes EOT crane space</t>
  </si>
  <si>
    <t xml:space="preserve"> QA, Testing &amp; Lab</t>
  </si>
  <si>
    <t>QC, testing, documentation</t>
  </si>
  <si>
    <t xml:space="preserve"> Maintenance + Utility Block</t>
  </si>
  <si>
    <t>Compressor, pump room, electrical panels, workshop</t>
  </si>
  <si>
    <t>Office/Admin Block</t>
  </si>
  <si>
    <t>Planning, HR, finance, customer service, etc.</t>
  </si>
  <si>
    <t>Canteen &amp; Washrooms</t>
  </si>
  <si>
    <t>Based on workforce (~150–200 people)</t>
  </si>
  <si>
    <t>Loading/Unloading Bays</t>
  </si>
  <si>
    <t>5 Bays - Dock-level bays for raw/finished goods</t>
  </si>
  <si>
    <t>Future Expansion</t>
  </si>
  <si>
    <t>Total Built Up Area</t>
  </si>
  <si>
    <t>FSI</t>
  </si>
  <si>
    <t>List of Auxillary Equipments</t>
  </si>
  <si>
    <t>Equipment List</t>
  </si>
  <si>
    <t>No of Machines</t>
  </si>
  <si>
    <t>Hopper Dryer</t>
  </si>
  <si>
    <t>Hopper Loader</t>
  </si>
  <si>
    <t>Industrial Chiller</t>
  </si>
  <si>
    <t>* check Volume &amp; change number of chillers needed</t>
  </si>
  <si>
    <t>Plastic Granulator</t>
  </si>
  <si>
    <t>Doser Unit</t>
  </si>
  <si>
    <t>Lab Equipment</t>
  </si>
  <si>
    <t>Forklift</t>
  </si>
  <si>
    <t>* 4 Numbers</t>
  </si>
  <si>
    <t>Generator for Power</t>
  </si>
  <si>
    <t>* estimate</t>
  </si>
  <si>
    <t>Water &amp; Air Pipe lines</t>
  </si>
  <si>
    <t>Stabilizer &amp; Electric connections</t>
  </si>
  <si>
    <t>Fire Safety Equipment</t>
  </si>
  <si>
    <t>PLC + HMI + basic sensorization + simple reject + wiring for Spray coating Automation</t>
  </si>
  <si>
    <t>Dehumidifier</t>
  </si>
  <si>
    <t>Compressors / Silos / Utilities</t>
  </si>
  <si>
    <t xml:space="preserve">Supply Chain Capex </t>
  </si>
  <si>
    <t>Air Conditioning</t>
  </si>
  <si>
    <t>* 2350 per 1500 SQFT</t>
  </si>
  <si>
    <t>Contingencies</t>
  </si>
  <si>
    <t>* contingencies</t>
  </si>
  <si>
    <t>Total Cost</t>
  </si>
  <si>
    <t>Machine Details</t>
  </si>
  <si>
    <t>Type</t>
  </si>
  <si>
    <t>Make</t>
  </si>
  <si>
    <t>Power Consumption KWH</t>
  </si>
  <si>
    <t>Speed</t>
  </si>
  <si>
    <t>Machine Footprint SQM</t>
  </si>
  <si>
    <t>Jomar</t>
  </si>
  <si>
    <t>Jomar 135</t>
  </si>
  <si>
    <t>Uniloy</t>
  </si>
  <si>
    <t>Sika</t>
  </si>
  <si>
    <t>Speedex</t>
  </si>
  <si>
    <t>Magic</t>
  </si>
  <si>
    <t>Magic 10</t>
  </si>
  <si>
    <t>BMU</t>
  </si>
  <si>
    <t>BMU 70</t>
  </si>
  <si>
    <t>BMU 100</t>
  </si>
  <si>
    <t>SEB</t>
  </si>
  <si>
    <t>SEB 820</t>
  </si>
  <si>
    <t>Shrink Film</t>
  </si>
  <si>
    <t>Pallet Size</t>
  </si>
  <si>
    <t>L in mm</t>
  </si>
  <si>
    <t>LW</t>
  </si>
  <si>
    <t>W in mm</t>
  </si>
  <si>
    <t>WH</t>
  </si>
  <si>
    <t>H in mm</t>
  </si>
  <si>
    <t>LH</t>
  </si>
  <si>
    <t>Cubic Metre</t>
  </si>
  <si>
    <t>Break Up of charges on Machine Imported</t>
  </si>
  <si>
    <t>** Import Duty not added as usually it is allowable as deduction from Local authorities for business development</t>
  </si>
  <si>
    <t>Import Duty</t>
  </si>
  <si>
    <t>International Freight</t>
  </si>
  <si>
    <t>Insurance</t>
  </si>
  <si>
    <t>Shipping line &amp; Port charges</t>
  </si>
  <si>
    <t>Detention charges</t>
  </si>
  <si>
    <t>CHA charegs</t>
  </si>
  <si>
    <t>Local Freight</t>
  </si>
  <si>
    <t>Installation &amp; Commissioning</t>
  </si>
  <si>
    <t>Bank Charges</t>
  </si>
  <si>
    <t>Resin Type</t>
  </si>
  <si>
    <t>PP</t>
  </si>
  <si>
    <t>rPP</t>
  </si>
  <si>
    <t>rHDPE</t>
  </si>
  <si>
    <t>LLDPE</t>
  </si>
  <si>
    <t>LDPE</t>
  </si>
  <si>
    <t>Euro Pallet</t>
  </si>
  <si>
    <t>19 Feet</t>
  </si>
  <si>
    <t>26 feet</t>
  </si>
  <si>
    <t>32 feet</t>
  </si>
  <si>
    <t>20 Feet Container</t>
  </si>
  <si>
    <t>40 Feet Container</t>
  </si>
  <si>
    <t>Type of Pallet</t>
  </si>
  <si>
    <t>₹/kg</t>
  </si>
  <si>
    <t>$/kg</t>
  </si>
  <si>
    <r>
      <t xml:space="preserve"> </t>
    </r>
    <r>
      <rPr>
        <sz val="9"/>
        <color theme="1"/>
        <rFont val="Aptos Narrow"/>
        <family val="2"/>
      </rPr>
      <t>€</t>
    </r>
    <r>
      <rPr>
        <sz val="9"/>
        <color theme="1"/>
        <rFont val="Calibri"/>
        <family val="2"/>
      </rPr>
      <t>/kg</t>
    </r>
  </si>
  <si>
    <t>Premises</t>
  </si>
  <si>
    <t>pcs</t>
  </si>
  <si>
    <t>Freight cost per container</t>
  </si>
  <si>
    <t>EUR</t>
  </si>
  <si>
    <t>Depreciation Schedule - Machinery &amp;Anciliary</t>
  </si>
  <si>
    <t>EUR/1000</t>
  </si>
  <si>
    <t>Sep25</t>
  </si>
  <si>
    <t>Labour-Direct</t>
  </si>
  <si>
    <t>Labour-Indirect</t>
  </si>
  <si>
    <t>Repair &amp; Maintenance</t>
  </si>
  <si>
    <t>Lease</t>
  </si>
  <si>
    <t>Material Handler</t>
  </si>
  <si>
    <t>**1 Operator for 4 Machines per shift</t>
  </si>
  <si>
    <t>**1 Handler for 4 Machine per shift</t>
  </si>
  <si>
    <t>**1 Engineer for 15 Machine per shift</t>
  </si>
  <si>
    <t>Tool Room Machinist</t>
  </si>
  <si>
    <t>Tool Room Manager</t>
  </si>
  <si>
    <t>Procurement</t>
  </si>
  <si>
    <t>Logistics Manager</t>
  </si>
  <si>
    <t>Safety Manager</t>
  </si>
  <si>
    <t>Safety Asst</t>
  </si>
  <si>
    <t>Quality Manager</t>
  </si>
  <si>
    <t>Asst Quality Manager</t>
  </si>
  <si>
    <t>Housekeeping</t>
  </si>
  <si>
    <t>Mover &amp; Loader</t>
  </si>
  <si>
    <t>No.</t>
  </si>
  <si>
    <t>Total Salary</t>
  </si>
  <si>
    <t xml:space="preserve">Time Required for Set Up </t>
  </si>
  <si>
    <t>Time required Ramp Up</t>
  </si>
  <si>
    <t xml:space="preserve"> 2.5x1x6</t>
  </si>
  <si>
    <t>Regrind Cost</t>
  </si>
  <si>
    <t>** 1 Machinist for Tool room; 2 shifts only</t>
  </si>
  <si>
    <t>** 1 Manager for Tool room; 2 shifts only</t>
  </si>
  <si>
    <t>** 3 per shift</t>
  </si>
  <si>
    <t>Assumption- Area of land (SQM)</t>
  </si>
  <si>
    <t>Actual usage</t>
  </si>
  <si>
    <t>Running Load</t>
  </si>
  <si>
    <t>**1 Production Manager for Morning Shift &amp; Night shift for full factory</t>
  </si>
  <si>
    <t>Inventory Holding</t>
  </si>
  <si>
    <t>RM Inventory Holding</t>
  </si>
  <si>
    <t>FG Inventory Holding</t>
  </si>
  <si>
    <t>Packing &amp; Delivery</t>
  </si>
  <si>
    <t xml:space="preserve">Packing </t>
  </si>
  <si>
    <t>Delivery</t>
  </si>
  <si>
    <t>Boxes Per Container</t>
  </si>
  <si>
    <t>Shipper Cost</t>
  </si>
  <si>
    <t>Polybag Cost</t>
  </si>
  <si>
    <t>Total Packing Cost</t>
  </si>
  <si>
    <t>Bottles Per Container</t>
  </si>
  <si>
    <t>Note</t>
  </si>
  <si>
    <t>Net cash gap</t>
  </si>
  <si>
    <t>RM Payment term</t>
  </si>
  <si>
    <t>FG Payment term</t>
  </si>
  <si>
    <t>xxxxx</t>
  </si>
  <si>
    <t>Interest Schedule - Land &amp; Building</t>
  </si>
  <si>
    <t>Feedstock</t>
  </si>
  <si>
    <t>Hours Required for Set up</t>
  </si>
  <si>
    <t>Hours Required for Ramp Up</t>
  </si>
  <si>
    <t>Hours Required for Production</t>
  </si>
  <si>
    <t>No of Set Up / Year</t>
  </si>
  <si>
    <t>No of Ramp Ups/Year</t>
  </si>
  <si>
    <t>Currency Symbol</t>
  </si>
  <si>
    <t>Exchange rate with Euro</t>
  </si>
  <si>
    <t>Exchange rate with USD</t>
  </si>
  <si>
    <t>Vietnam</t>
  </si>
  <si>
    <t>Vietnamese Dong</t>
  </si>
  <si>
    <t>VND</t>
  </si>
  <si>
    <t>Philippines</t>
  </si>
  <si>
    <t>Philippines Pesos</t>
  </si>
  <si>
    <t>PHP</t>
  </si>
  <si>
    <t>China</t>
  </si>
  <si>
    <t>Chinese Yuan</t>
  </si>
  <si>
    <t>CNY</t>
  </si>
  <si>
    <t>kWH</t>
  </si>
  <si>
    <t>per sqm</t>
  </si>
  <si>
    <t>KM</t>
  </si>
  <si>
    <t>Argentina</t>
  </si>
  <si>
    <t>Argentinian Pesos</t>
  </si>
  <si>
    <t>ARS</t>
  </si>
  <si>
    <t>Brazil</t>
  </si>
  <si>
    <t>Brazilian Reals</t>
  </si>
  <si>
    <t>BRL</t>
  </si>
  <si>
    <t>France</t>
  </si>
  <si>
    <t xml:space="preserve">Euros </t>
  </si>
  <si>
    <t>Germany</t>
  </si>
  <si>
    <t>Hungary</t>
  </si>
  <si>
    <t>Hungarian Forints</t>
  </si>
  <si>
    <t>HUF</t>
  </si>
  <si>
    <t>Indian Rupees</t>
  </si>
  <si>
    <t>Indonesia</t>
  </si>
  <si>
    <t>Indonesian Rupiah</t>
  </si>
  <si>
    <t>IDR</t>
  </si>
  <si>
    <t>Mexico</t>
  </si>
  <si>
    <t>Mexican Pesos</t>
  </si>
  <si>
    <t>MXN</t>
  </si>
  <si>
    <t>Pakistan</t>
  </si>
  <si>
    <t>Pakistani Rupees</t>
  </si>
  <si>
    <t>PKR</t>
  </si>
  <si>
    <t>South Africa</t>
  </si>
  <si>
    <t>South African Rand</t>
  </si>
  <si>
    <t>ZAR</t>
  </si>
  <si>
    <t>Turkey</t>
  </si>
  <si>
    <t>Turkish Lira</t>
  </si>
  <si>
    <t>TRY</t>
  </si>
  <si>
    <t>United Kingdom</t>
  </si>
  <si>
    <t>British Pounds</t>
  </si>
  <si>
    <t>GBP</t>
  </si>
  <si>
    <t>United States</t>
  </si>
  <si>
    <t>U.S. Dollars</t>
  </si>
  <si>
    <t>USD</t>
  </si>
  <si>
    <t>Euro</t>
  </si>
  <si>
    <t>Silvassa</t>
  </si>
  <si>
    <t>* User may input as required</t>
  </si>
  <si>
    <t>Sl No</t>
  </si>
  <si>
    <t>Date</t>
  </si>
  <si>
    <t>Cost INR/ TH</t>
  </si>
  <si>
    <t>Change</t>
  </si>
  <si>
    <t>Reason</t>
  </si>
  <si>
    <t>17thDec25</t>
  </si>
  <si>
    <t>Depreciation on P&amp;M</t>
  </si>
  <si>
    <t>Due to change in land, building and labour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</si>
</sst>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0.0%"/>
    <numFmt numFmtId="168" formatCode="_([$€-2]\ * #,##0.00_);_([$€-2]\ * \(#,##0.00\);_([$€-2]\ * &quot;-&quot;??_);_(@_)"/>
    <numFmt numFmtId="169" formatCode="_(* #,##0.0_);_(* \(#,##0.0\);_(* &quot;-&quot;??_);_(@_)"/>
    <numFmt numFmtId="170" formatCode="_(* #,##0_);_(* \(#,##0\);_(* &quot;-&quot;??_);_(@_)"/>
    <numFmt numFmtId="171" formatCode="0.0"/>
    <numFmt numFmtId="172" formatCode="_ * #,##0_ ;_ * \-#,##0_ ;_ * &quot;-&quot;?_ ;_ @_ "/>
    <numFmt numFmtId="173" formatCode="_(* #,##0.0_);_(* \(#,##0.0\);_(* &quot;-&quot;?_);_(@_)"/>
    <numFmt numFmtId="174" formatCode="_ * #,##0.0_ ;_ * \-#,##0.0_ ;_ * &quot;-&quot;?_ ;_ @_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"/>
      <family val="2"/>
    </font>
    <font>
      <b/>
      <u/>
      <sz val="9"/>
      <color theme="1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u/>
      <sz val="9"/>
      <color theme="10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theme="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9"/>
      <color rgb="FF0070C0"/>
      <name val="Calibri"/>
      <family val="2"/>
    </font>
    <font>
      <b/>
      <i/>
      <sz val="9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Aptos Narrow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</fills>
  <borders count="29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165" fontId="5" fillId="0" borderId="1" xfId="1" applyNumberFormat="1" applyFont="1" applyBorder="1" applyAlignment="1">
      <alignment vertical="center" wrapText="1"/>
    </xf>
    <xf numFmtId="43" fontId="5" fillId="0" borderId="1" xfId="1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9" fontId="5" fillId="0" borderId="1" xfId="2" applyFont="1" applyBorder="1" applyAlignment="1">
      <alignment vertical="center" wrapText="1"/>
    </xf>
    <xf numFmtId="10" fontId="5" fillId="0" borderId="1" xfId="2" applyNumberFormat="1" applyFont="1" applyBorder="1" applyAlignment="1">
      <alignment vertical="center" wrapText="1"/>
    </xf>
    <xf numFmtId="10" fontId="5" fillId="0" borderId="1" xfId="1" applyNumberFormat="1" applyFont="1" applyBorder="1" applyAlignment="1">
      <alignment vertical="center" wrapText="1"/>
    </xf>
    <xf numFmtId="0" fontId="7" fillId="0" borderId="0" xfId="3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3" applyFont="1" applyBorder="1" applyAlignment="1">
      <alignment vertical="top" wrapText="1"/>
    </xf>
    <xf numFmtId="0" fontId="7" fillId="0" borderId="0" xfId="3" applyFont="1" applyAlignment="1">
      <alignment vertical="top"/>
    </xf>
    <xf numFmtId="0" fontId="8" fillId="0" borderId="0" xfId="0" applyFont="1" applyAlignment="1">
      <alignment wrapText="1"/>
    </xf>
    <xf numFmtId="0" fontId="3" fillId="0" borderId="0" xfId="0" applyFont="1"/>
    <xf numFmtId="43" fontId="5" fillId="3" borderId="1" xfId="1" applyFont="1" applyFill="1" applyBorder="1"/>
    <xf numFmtId="43" fontId="5" fillId="4" borderId="1" xfId="1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5" fontId="5" fillId="4" borderId="1" xfId="1" applyNumberFormat="1" applyFont="1" applyFill="1" applyBorder="1"/>
    <xf numFmtId="9" fontId="5" fillId="4" borderId="1" xfId="2" applyFont="1" applyFill="1" applyBorder="1"/>
    <xf numFmtId="166" fontId="5" fillId="4" borderId="1" xfId="1" applyNumberFormat="1" applyFont="1" applyFill="1" applyBorder="1"/>
    <xf numFmtId="166" fontId="5" fillId="4" borderId="1" xfId="0" applyNumberFormat="1" applyFont="1" applyFill="1" applyBorder="1"/>
    <xf numFmtId="167" fontId="5" fillId="4" borderId="1" xfId="2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4" borderId="1" xfId="1" applyNumberFormat="1" applyFont="1" applyFill="1" applyBorder="1"/>
    <xf numFmtId="43" fontId="3" fillId="2" borderId="1" xfId="1" applyFont="1" applyFill="1" applyBorder="1" applyAlignment="1">
      <alignment horizontal="center"/>
    </xf>
    <xf numFmtId="43" fontId="5" fillId="0" borderId="0" xfId="0" applyNumberFormat="1" applyFont="1"/>
    <xf numFmtId="168" fontId="5" fillId="0" borderId="1" xfId="0" applyNumberFormat="1" applyFont="1" applyBorder="1" applyAlignment="1">
      <alignment horizontal="left"/>
    </xf>
    <xf numFmtId="0" fontId="4" fillId="0" borderId="0" xfId="0" applyFont="1"/>
    <xf numFmtId="0" fontId="5" fillId="5" borderId="3" xfId="0" applyFont="1" applyFill="1" applyBorder="1"/>
    <xf numFmtId="43" fontId="5" fillId="5" borderId="3" xfId="1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/>
    </xf>
    <xf numFmtId="0" fontId="5" fillId="3" borderId="3" xfId="0" applyFont="1" applyFill="1" applyBorder="1"/>
    <xf numFmtId="0" fontId="5" fillId="2" borderId="3" xfId="0" applyFont="1" applyFill="1" applyBorder="1"/>
    <xf numFmtId="0" fontId="5" fillId="3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169" fontId="5" fillId="5" borderId="3" xfId="1" applyNumberFormat="1" applyFont="1" applyFill="1" applyBorder="1"/>
    <xf numFmtId="10" fontId="5" fillId="0" borderId="0" xfId="2" applyNumberFormat="1" applyFont="1"/>
    <xf numFmtId="169" fontId="5" fillId="0" borderId="0" xfId="1" applyNumberFormat="1" applyFont="1"/>
    <xf numFmtId="169" fontId="3" fillId="2" borderId="1" xfId="1" applyNumberFormat="1" applyFont="1" applyFill="1" applyBorder="1" applyAlignment="1">
      <alignment horizontal="right"/>
    </xf>
    <xf numFmtId="169" fontId="5" fillId="0" borderId="0" xfId="1" applyNumberFormat="1" applyFont="1" applyAlignment="1">
      <alignment horizontal="right"/>
    </xf>
    <xf numFmtId="165" fontId="5" fillId="4" borderId="1" xfId="0" applyNumberFormat="1" applyFont="1" applyFill="1" applyBorder="1"/>
    <xf numFmtId="0" fontId="10" fillId="0" borderId="0" xfId="0" applyFont="1"/>
    <xf numFmtId="0" fontId="3" fillId="0" borderId="0" xfId="4" applyFont="1"/>
    <xf numFmtId="0" fontId="12" fillId="0" borderId="0" xfId="4" applyFont="1"/>
    <xf numFmtId="0" fontId="3" fillId="2" borderId="1" xfId="4" applyFont="1" applyFill="1" applyBorder="1" applyAlignment="1">
      <alignment horizontal="center" vertical="center"/>
    </xf>
    <xf numFmtId="0" fontId="3" fillId="2" borderId="7" xfId="4" applyFont="1" applyFill="1" applyBorder="1" applyAlignment="1">
      <alignment vertical="center"/>
    </xf>
    <xf numFmtId="166" fontId="5" fillId="4" borderId="1" xfId="5" applyNumberFormat="1" applyFont="1" applyFill="1" applyBorder="1" applyAlignment="1">
      <alignment vertical="center"/>
    </xf>
    <xf numFmtId="166" fontId="5" fillId="4" borderId="1" xfId="5" applyNumberFormat="1" applyFont="1" applyFill="1" applyBorder="1"/>
    <xf numFmtId="0" fontId="3" fillId="2" borderId="1" xfId="4" applyFont="1" applyFill="1" applyBorder="1"/>
    <xf numFmtId="0" fontId="3" fillId="0" borderId="1" xfId="4" applyFont="1" applyBorder="1"/>
    <xf numFmtId="10" fontId="3" fillId="4" borderId="1" xfId="6" applyNumberFormat="1" applyFont="1" applyFill="1" applyBorder="1" applyAlignment="1"/>
    <xf numFmtId="0" fontId="13" fillId="0" borderId="13" xfId="8" applyFont="1" applyBorder="1"/>
    <xf numFmtId="9" fontId="13" fillId="4" borderId="15" xfId="9" applyFont="1" applyFill="1" applyBorder="1"/>
    <xf numFmtId="0" fontId="0" fillId="0" borderId="12" xfId="8" applyFont="1" applyBorder="1"/>
    <xf numFmtId="1" fontId="0" fillId="0" borderId="12" xfId="8" applyNumberFormat="1" applyFont="1" applyBorder="1"/>
    <xf numFmtId="2" fontId="0" fillId="0" borderId="0" xfId="8" applyNumberFormat="1" applyFont="1"/>
    <xf numFmtId="171" fontId="0" fillId="0" borderId="0" xfId="8" applyNumberFormat="1" applyFont="1"/>
    <xf numFmtId="0" fontId="0" fillId="0" borderId="0" xfId="8" applyFont="1"/>
    <xf numFmtId="2" fontId="0" fillId="0" borderId="11" xfId="8" applyNumberFormat="1" applyFont="1" applyBorder="1"/>
    <xf numFmtId="0" fontId="0" fillId="0" borderId="16" xfId="8" applyFont="1" applyBorder="1"/>
    <xf numFmtId="9" fontId="0" fillId="4" borderId="15" xfId="6" applyFont="1" applyFill="1" applyBorder="1"/>
    <xf numFmtId="1" fontId="0" fillId="0" borderId="0" xfId="8" applyNumberFormat="1" applyFont="1"/>
    <xf numFmtId="43" fontId="0" fillId="4" borderId="14" xfId="1" applyFont="1" applyFill="1" applyBorder="1"/>
    <xf numFmtId="43" fontId="0" fillId="4" borderId="15" xfId="1" applyFont="1" applyFill="1" applyBorder="1"/>
    <xf numFmtId="43" fontId="0" fillId="0" borderId="0" xfId="1" applyFont="1" applyBorder="1"/>
    <xf numFmtId="169" fontId="0" fillId="0" borderId="11" xfId="1" applyNumberFormat="1" applyFont="1" applyBorder="1"/>
    <xf numFmtId="169" fontId="0" fillId="4" borderId="13" xfId="1" applyNumberFormat="1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1" xfId="0" applyBorder="1"/>
    <xf numFmtId="169" fontId="0" fillId="0" borderId="0" xfId="1" applyNumberFormat="1" applyFont="1" applyBorder="1"/>
    <xf numFmtId="167" fontId="0" fillId="0" borderId="11" xfId="2" applyNumberFormat="1" applyFont="1" applyBorder="1"/>
    <xf numFmtId="169" fontId="0" fillId="5" borderId="0" xfId="1" applyNumberFormat="1" applyFont="1" applyFill="1" applyBorder="1"/>
    <xf numFmtId="0" fontId="12" fillId="0" borderId="0" xfId="0" applyFont="1"/>
    <xf numFmtId="0" fontId="0" fillId="0" borderId="1" xfId="0" applyBorder="1"/>
    <xf numFmtId="169" fontId="5" fillId="0" borderId="1" xfId="0" applyNumberFormat="1" applyFont="1" applyBorder="1"/>
    <xf numFmtId="169" fontId="5" fillId="4" borderId="1" xfId="1" applyNumberFormat="1" applyFont="1" applyFill="1" applyBorder="1"/>
    <xf numFmtId="169" fontId="5" fillId="0" borderId="1" xfId="1" applyNumberFormat="1" applyFont="1" applyBorder="1"/>
    <xf numFmtId="0" fontId="14" fillId="0" borderId="0" xfId="8" applyFont="1"/>
    <xf numFmtId="171" fontId="14" fillId="0" borderId="0" xfId="8" applyNumberFormat="1" applyFont="1"/>
    <xf numFmtId="1" fontId="14" fillId="0" borderId="0" xfId="8" applyNumberFormat="1" applyFont="1"/>
    <xf numFmtId="164" fontId="0" fillId="0" borderId="0" xfId="0" applyNumberFormat="1"/>
    <xf numFmtId="0" fontId="15" fillId="0" borderId="0" xfId="8" applyFont="1"/>
    <xf numFmtId="0" fontId="16" fillId="0" borderId="0" xfId="0" applyFont="1"/>
    <xf numFmtId="9" fontId="14" fillId="0" borderId="0" xfId="6" applyFont="1"/>
    <xf numFmtId="0" fontId="17" fillId="0" borderId="0" xfId="0" applyFont="1"/>
    <xf numFmtId="9" fontId="0" fillId="0" borderId="0" xfId="0" applyNumberFormat="1"/>
    <xf numFmtId="2" fontId="14" fillId="0" borderId="0" xfId="8" applyNumberFormat="1" applyFont="1"/>
    <xf numFmtId="169" fontId="14" fillId="0" borderId="0" xfId="1" applyNumberFormat="1" applyFont="1"/>
    <xf numFmtId="0" fontId="5" fillId="0" borderId="17" xfId="0" applyFont="1" applyBorder="1"/>
    <xf numFmtId="10" fontId="14" fillId="0" borderId="0" xfId="2" applyNumberFormat="1" applyFont="1"/>
    <xf numFmtId="43" fontId="3" fillId="2" borderId="1" xfId="1" applyFont="1" applyFill="1" applyBorder="1" applyAlignment="1">
      <alignment horizontal="right"/>
    </xf>
    <xf numFmtId="165" fontId="5" fillId="0" borderId="0" xfId="1" applyNumberFormat="1" applyFont="1" applyFill="1" applyBorder="1" applyAlignment="1">
      <alignment horizontal="right"/>
    </xf>
    <xf numFmtId="170" fontId="5" fillId="0" borderId="0" xfId="1" applyNumberFormat="1" applyFont="1" applyFill="1" applyBorder="1" applyAlignment="1">
      <alignment horizontal="right"/>
    </xf>
    <xf numFmtId="9" fontId="5" fillId="0" borderId="0" xfId="2" applyFont="1" applyFill="1" applyBorder="1" applyAlignment="1">
      <alignment horizontal="right"/>
    </xf>
    <xf numFmtId="0" fontId="0" fillId="0" borderId="18" xfId="0" applyBorder="1"/>
    <xf numFmtId="0" fontId="0" fillId="0" borderId="20" xfId="0" applyBorder="1"/>
    <xf numFmtId="0" fontId="11" fillId="0" borderId="21" xfId="0" applyFont="1" applyBorder="1"/>
    <xf numFmtId="167" fontId="0" fillId="5" borderId="22" xfId="2" applyNumberFormat="1" applyFont="1" applyFill="1" applyBorder="1"/>
    <xf numFmtId="0" fontId="0" fillId="0" borderId="21" xfId="0" applyBorder="1"/>
    <xf numFmtId="167" fontId="0" fillId="0" borderId="22" xfId="2" applyNumberFormat="1" applyFont="1" applyFill="1" applyBorder="1"/>
    <xf numFmtId="0" fontId="0" fillId="0" borderId="22" xfId="0" applyBorder="1"/>
    <xf numFmtId="10" fontId="0" fillId="0" borderId="22" xfId="2" applyNumberFormat="1" applyFont="1" applyBorder="1"/>
    <xf numFmtId="167" fontId="0" fillId="0" borderId="22" xfId="2" applyNumberFormat="1" applyFont="1" applyBorder="1"/>
    <xf numFmtId="0" fontId="0" fillId="0" borderId="23" xfId="0" applyBorder="1"/>
    <xf numFmtId="167" fontId="0" fillId="0" borderId="25" xfId="2" applyNumberFormat="1" applyFont="1" applyBorder="1"/>
    <xf numFmtId="170" fontId="0" fillId="0" borderId="0" xfId="1" applyNumberFormat="1" applyFont="1" applyBorder="1"/>
    <xf numFmtId="167" fontId="0" fillId="0" borderId="11" xfId="9" applyNumberFormat="1" applyFont="1" applyBorder="1"/>
    <xf numFmtId="9" fontId="0" fillId="0" borderId="11" xfId="9" applyFont="1" applyBorder="1"/>
    <xf numFmtId="164" fontId="0" fillId="0" borderId="0" xfId="8" applyNumberFormat="1" applyFont="1"/>
    <xf numFmtId="0" fontId="19" fillId="0" borderId="12" xfId="0" applyFont="1" applyBorder="1"/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right"/>
    </xf>
    <xf numFmtId="0" fontId="5" fillId="0" borderId="0" xfId="0" quotePrefix="1" applyFont="1" applyAlignment="1">
      <alignment horizontal="right"/>
    </xf>
    <xf numFmtId="167" fontId="20" fillId="0" borderId="0" xfId="0" applyNumberFormat="1" applyFont="1" applyAlignment="1">
      <alignment horizontal="right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73" fontId="5" fillId="0" borderId="0" xfId="0" applyNumberFormat="1" applyFont="1"/>
    <xf numFmtId="174" fontId="5" fillId="4" borderId="1" xfId="0" applyNumberFormat="1" applyFont="1" applyFill="1" applyBorder="1"/>
    <xf numFmtId="0" fontId="3" fillId="0" borderId="0" xfId="0" applyFont="1" applyAlignment="1">
      <alignment horizontal="center"/>
    </xf>
    <xf numFmtId="9" fontId="5" fillId="5" borderId="1" xfId="2" applyFont="1" applyFill="1" applyBorder="1" applyAlignment="1">
      <alignment horizontal="right"/>
    </xf>
    <xf numFmtId="0" fontId="18" fillId="0" borderId="0" xfId="0" applyFont="1"/>
    <xf numFmtId="0" fontId="4" fillId="0" borderId="1" xfId="0" applyFont="1" applyBorder="1"/>
    <xf numFmtId="169" fontId="5" fillId="0" borderId="1" xfId="1" applyNumberFormat="1" applyFont="1" applyBorder="1" applyAlignment="1">
      <alignment horizontal="right"/>
    </xf>
    <xf numFmtId="169" fontId="5" fillId="5" borderId="1" xfId="1" applyNumberFormat="1" applyFont="1" applyFill="1" applyBorder="1" applyAlignment="1">
      <alignment horizontal="right"/>
    </xf>
    <xf numFmtId="10" fontId="5" fillId="5" borderId="1" xfId="2" applyNumberFormat="1" applyFont="1" applyFill="1" applyBorder="1" applyAlignment="1">
      <alignment horizontal="right"/>
    </xf>
    <xf numFmtId="10" fontId="5" fillId="5" borderId="1" xfId="1" applyNumberFormat="1" applyFont="1" applyFill="1" applyBorder="1" applyAlignment="1">
      <alignment horizontal="right"/>
    </xf>
    <xf numFmtId="169" fontId="5" fillId="6" borderId="1" xfId="1" applyNumberFormat="1" applyFont="1" applyFill="1" applyBorder="1" applyAlignment="1">
      <alignment horizontal="right"/>
    </xf>
    <xf numFmtId="43" fontId="5" fillId="5" borderId="1" xfId="1" applyFont="1" applyFill="1" applyBorder="1" applyAlignment="1">
      <alignment horizontal="right"/>
    </xf>
    <xf numFmtId="0" fontId="5" fillId="0" borderId="5" xfId="0" applyFont="1" applyBorder="1"/>
    <xf numFmtId="169" fontId="5" fillId="0" borderId="5" xfId="1" applyNumberFormat="1" applyFont="1" applyBorder="1" applyAlignment="1">
      <alignment horizontal="right"/>
    </xf>
    <xf numFmtId="169" fontId="18" fillId="5" borderId="1" xfId="1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0" borderId="3" xfId="4" applyFont="1" applyBorder="1"/>
    <xf numFmtId="0" fontId="5" fillId="0" borderId="0" xfId="4"/>
    <xf numFmtId="0" fontId="5" fillId="0" borderId="1" xfId="4" applyBorder="1" applyAlignment="1">
      <alignment vertical="center"/>
    </xf>
    <xf numFmtId="0" fontId="5" fillId="0" borderId="1" xfId="4" applyBorder="1"/>
    <xf numFmtId="9" fontId="5" fillId="4" borderId="1" xfId="4" applyNumberFormat="1" applyFill="1" applyBorder="1"/>
    <xf numFmtId="166" fontId="8" fillId="4" borderId="1" xfId="5" applyNumberFormat="1" applyFont="1" applyFill="1" applyBorder="1"/>
    <xf numFmtId="43" fontId="5" fillId="0" borderId="0" xfId="4" applyNumberFormat="1"/>
    <xf numFmtId="166" fontId="5" fillId="0" borderId="0" xfId="4" applyNumberFormat="1"/>
    <xf numFmtId="164" fontId="5" fillId="0" borderId="0" xfId="4" applyNumberFormat="1"/>
    <xf numFmtId="165" fontId="8" fillId="4" borderId="1" xfId="5" applyNumberFormat="1" applyFont="1" applyFill="1" applyBorder="1"/>
    <xf numFmtId="172" fontId="5" fillId="0" borderId="0" xfId="4" applyNumberFormat="1"/>
    <xf numFmtId="165" fontId="8" fillId="0" borderId="1" xfId="5" applyNumberFormat="1" applyFont="1" applyBorder="1"/>
    <xf numFmtId="10" fontId="5" fillId="4" borderId="1" xfId="4" applyNumberFormat="1" applyFill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5" fillId="0" borderId="3" xfId="4" applyBorder="1"/>
    <xf numFmtId="170" fontId="3" fillId="2" borderId="1" xfId="1" applyNumberFormat="1" applyFont="1" applyFill="1" applyBorder="1" applyAlignment="1">
      <alignment horizontal="center"/>
    </xf>
    <xf numFmtId="43" fontId="5" fillId="5" borderId="0" xfId="1" applyFont="1" applyFill="1"/>
    <xf numFmtId="170" fontId="5" fillId="5" borderId="1" xfId="1" applyNumberFormat="1" applyFont="1" applyFill="1" applyBorder="1" applyAlignment="1">
      <alignment horizontal="right"/>
    </xf>
    <xf numFmtId="169" fontId="5" fillId="0" borderId="1" xfId="1" applyNumberFormat="1" applyFont="1" applyFill="1" applyBorder="1" applyAlignment="1">
      <alignment horizontal="right"/>
    </xf>
    <xf numFmtId="169" fontId="5" fillId="4" borderId="1" xfId="1" applyNumberFormat="1" applyFont="1" applyFill="1" applyBorder="1" applyAlignment="1">
      <alignment horizontal="right"/>
    </xf>
    <xf numFmtId="43" fontId="0" fillId="0" borderId="0" xfId="1" applyFont="1"/>
    <xf numFmtId="169" fontId="0" fillId="0" borderId="0" xfId="1" applyNumberFormat="1" applyFont="1"/>
    <xf numFmtId="169" fontId="13" fillId="4" borderId="14" xfId="1" applyNumberFormat="1" applyFont="1" applyFill="1" applyBorder="1"/>
    <xf numFmtId="169" fontId="0" fillId="0" borderId="19" xfId="1" applyNumberFormat="1" applyFont="1" applyBorder="1"/>
    <xf numFmtId="169" fontId="0" fillId="0" borderId="24" xfId="1" applyNumberFormat="1" applyFont="1" applyBorder="1"/>
    <xf numFmtId="169" fontId="0" fillId="4" borderId="14" xfId="1" applyNumberFormat="1" applyFont="1" applyFill="1" applyBorder="1"/>
    <xf numFmtId="0" fontId="14" fillId="7" borderId="13" xfId="8" applyFont="1" applyFill="1" applyBorder="1"/>
    <xf numFmtId="0" fontId="14" fillId="7" borderId="14" xfId="8" applyFont="1" applyFill="1" applyBorder="1"/>
    <xf numFmtId="0" fontId="14" fillId="7" borderId="15" xfId="8" applyFont="1" applyFill="1" applyBorder="1"/>
    <xf numFmtId="174" fontId="5" fillId="0" borderId="0" xfId="0" applyNumberFormat="1" applyFont="1"/>
    <xf numFmtId="0" fontId="10" fillId="0" borderId="21" xfId="0" applyFont="1" applyBorder="1"/>
    <xf numFmtId="165" fontId="0" fillId="0" borderId="0" xfId="10" applyNumberFormat="1" applyFont="1"/>
    <xf numFmtId="0" fontId="13" fillId="8" borderId="0" xfId="0" applyFont="1" applyFill="1" applyAlignment="1">
      <alignment horizontal="center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wrapText="1"/>
    </xf>
    <xf numFmtId="0" fontId="0" fillId="0" borderId="3" xfId="0" applyBorder="1"/>
    <xf numFmtId="171" fontId="0" fillId="0" borderId="3" xfId="0" applyNumberFormat="1" applyBorder="1"/>
    <xf numFmtId="165" fontId="0" fillId="0" borderId="3" xfId="10" applyNumberFormat="1" applyFont="1" applyBorder="1"/>
    <xf numFmtId="167" fontId="0" fillId="0" borderId="3" xfId="2" applyNumberFormat="1" applyFont="1" applyBorder="1"/>
    <xf numFmtId="0" fontId="5" fillId="4" borderId="0" xfId="0" applyFont="1" applyFill="1" applyAlignment="1">
      <alignment horizontal="right"/>
    </xf>
    <xf numFmtId="169" fontId="5" fillId="3" borderId="0" xfId="1" applyNumberFormat="1" applyFont="1" applyFill="1" applyAlignment="1">
      <alignment horizontal="right"/>
    </xf>
    <xf numFmtId="9" fontId="5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9" fontId="5" fillId="3" borderId="0" xfId="2" applyFont="1" applyFill="1" applyAlignment="1">
      <alignment horizontal="right"/>
    </xf>
    <xf numFmtId="167" fontId="5" fillId="0" borderId="0" xfId="0" applyNumberFormat="1" applyFont="1" applyAlignment="1">
      <alignment horizontal="right"/>
    </xf>
    <xf numFmtId="171" fontId="5" fillId="0" borderId="0" xfId="0" applyNumberFormat="1" applyFont="1" applyAlignment="1">
      <alignment horizontal="right"/>
    </xf>
    <xf numFmtId="0" fontId="5" fillId="3" borderId="0" xfId="0" applyFont="1" applyFill="1"/>
    <xf numFmtId="169" fontId="5" fillId="3" borderId="0" xfId="1" applyNumberFormat="1" applyFont="1" applyFill="1" applyBorder="1" applyAlignment="1">
      <alignment horizontal="right"/>
    </xf>
    <xf numFmtId="169" fontId="5" fillId="4" borderId="0" xfId="1" applyNumberFormat="1" applyFont="1" applyFill="1" applyAlignment="1">
      <alignment horizontal="right"/>
    </xf>
    <xf numFmtId="167" fontId="5" fillId="4" borderId="0" xfId="2" applyNumberFormat="1" applyFont="1" applyFill="1" applyAlignment="1">
      <alignment horizontal="right"/>
    </xf>
    <xf numFmtId="167" fontId="5" fillId="3" borderId="0" xfId="2" applyNumberFormat="1" applyFont="1" applyFill="1"/>
    <xf numFmtId="0" fontId="16" fillId="0" borderId="0" xfId="0" applyFont="1" applyAlignment="1">
      <alignment horizontal="left"/>
    </xf>
    <xf numFmtId="167" fontId="5" fillId="3" borderId="0" xfId="0" applyNumberFormat="1" applyFont="1" applyFill="1" applyAlignment="1">
      <alignment horizontal="right"/>
    </xf>
    <xf numFmtId="171" fontId="5" fillId="3" borderId="0" xfId="0" applyNumberFormat="1" applyFont="1" applyFill="1" applyAlignment="1">
      <alignment horizontal="right"/>
    </xf>
    <xf numFmtId="0" fontId="13" fillId="8" borderId="27" xfId="0" applyFont="1" applyFill="1" applyBorder="1" applyAlignment="1">
      <alignment horizontal="center" wrapText="1"/>
    </xf>
    <xf numFmtId="0" fontId="0" fillId="0" borderId="28" xfId="0" applyBorder="1"/>
    <xf numFmtId="0" fontId="13" fillId="8" borderId="3" xfId="0" applyFont="1" applyFill="1" applyBorder="1" applyAlignment="1">
      <alignment horizontal="center" wrapText="1"/>
    </xf>
    <xf numFmtId="169" fontId="0" fillId="0" borderId="3" xfId="1" applyNumberFormat="1" applyFont="1" applyBorder="1"/>
    <xf numFmtId="169" fontId="0" fillId="0" borderId="3" xfId="1" applyNumberFormat="1" applyFont="1" applyFill="1" applyBorder="1"/>
    <xf numFmtId="43" fontId="5" fillId="4" borderId="0" xfId="1" applyFont="1" applyFill="1" applyAlignment="1">
      <alignment horizontal="right"/>
    </xf>
    <xf numFmtId="43" fontId="5" fillId="3" borderId="0" xfId="1" applyFont="1" applyFill="1"/>
    <xf numFmtId="43" fontId="5" fillId="3" borderId="0" xfId="1" applyFont="1" applyFill="1" applyAlignment="1">
      <alignment horizontal="right"/>
    </xf>
    <xf numFmtId="165" fontId="5" fillId="9" borderId="0" xfId="1" applyNumberFormat="1" applyFont="1" applyFill="1" applyBorder="1" applyAlignment="1">
      <alignment horizontal="right"/>
    </xf>
    <xf numFmtId="9" fontId="5" fillId="9" borderId="0" xfId="0" applyNumberFormat="1" applyFont="1" applyFill="1" applyAlignment="1">
      <alignment horizontal="right"/>
    </xf>
    <xf numFmtId="164" fontId="5" fillId="0" borderId="0" xfId="0" applyNumberFormat="1" applyFont="1"/>
    <xf numFmtId="10" fontId="5" fillId="0" borderId="1" xfId="2" applyNumberFormat="1" applyFont="1" applyFill="1" applyBorder="1" applyAlignment="1">
      <alignment horizontal="right"/>
    </xf>
    <xf numFmtId="169" fontId="5" fillId="9" borderId="1" xfId="1" applyNumberFormat="1" applyFont="1" applyFill="1" applyBorder="1" applyAlignment="1">
      <alignment horizontal="right"/>
    </xf>
    <xf numFmtId="0" fontId="0" fillId="10" borderId="3" xfId="0" applyFill="1" applyBorder="1"/>
    <xf numFmtId="10" fontId="0" fillId="0" borderId="3" xfId="2" applyNumberFormat="1" applyFont="1" applyBorder="1"/>
    <xf numFmtId="171" fontId="0" fillId="0" borderId="0" xfId="0" applyNumberFormat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165" fontId="13" fillId="8" borderId="0" xfId="10" applyNumberFormat="1" applyFont="1" applyFill="1" applyAlignment="1">
      <alignment horizontal="center"/>
    </xf>
  </cellXfs>
  <cellStyles count="11">
    <cellStyle name="Comma" xfId="1" builtinId="3"/>
    <cellStyle name="Comma 2" xfId="5" xr:uid="{DC4870EB-E48D-4121-917F-CF13B4B6C4FC}"/>
    <cellStyle name="Comma 3" xfId="10" xr:uid="{363DBB48-935B-49F5-B0F4-CA87FDB617D2}"/>
    <cellStyle name="Hyperlink" xfId="3" builtinId="8"/>
    <cellStyle name="Hyperlink 2" xfId="7" xr:uid="{46F55A10-2313-4FF7-A28A-F31D7AC6CE2A}"/>
    <cellStyle name="Normal" xfId="0" builtinId="0"/>
    <cellStyle name="Normal 2" xfId="4" xr:uid="{8A972EEA-E3A4-4240-A344-6D156300BA3F}"/>
    <cellStyle name="Normal 2 2" xfId="8" xr:uid="{5D2B59D3-C2A5-4C25-A218-6349E905013B}"/>
    <cellStyle name="Percent" xfId="2" builtinId="5"/>
    <cellStyle name="Percent 2" xfId="6" xr:uid="{0DF38C9D-F60F-4A19-8A7E-D94D1B5152CB}"/>
    <cellStyle name="Percent 2 2" xfId="9" xr:uid="{76ADC51B-2257-4E3D-8C3C-16A3ED32FC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9</xdr:row>
      <xdr:rowOff>33339</xdr:rowOff>
    </xdr:from>
    <xdr:to>
      <xdr:col>6</xdr:col>
      <xdr:colOff>2841810</xdr:colOff>
      <xdr:row>9</xdr:row>
      <xdr:rowOff>661988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9FAA45-80C5-9224-B8C6-52B33DBA7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5713" y="4062414"/>
          <a:ext cx="2832285" cy="6286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ckforallp-my.sharepoint.com/personal/minoti_banerjee_packfora_com/Documents/Unilever%20Cost%20Model/2.%20Models/Assumption/Assumption.xlsx" TargetMode="External"/><Relationship Id="rId1" Type="http://schemas.openxmlformats.org/officeDocument/2006/relationships/externalLinkPath" Target="/personal/minoti_banerjee_packfora_com/Documents/Unilever%20Cost%20Model/2.%20Models/Assumption/As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a"/>
      <sheetName val="Database"/>
    </sheetNames>
    <sheetDataSet>
      <sheetData sheetId="0"/>
      <sheetData sheetId="1">
        <row r="1">
          <cell r="A1">
            <v>2032479284.1398742</v>
          </cell>
        </row>
        <row r="4">
          <cell r="D4" t="str">
            <v>Electricity Rate</v>
          </cell>
          <cell r="E4" t="str">
            <v>Skilled Labour</v>
          </cell>
          <cell r="F4" t="str">
            <v>Engineer</v>
          </cell>
          <cell r="G4" t="str">
            <v>Production Manager</v>
          </cell>
          <cell r="H4" t="str">
            <v>Depreciation on P&amp;M</v>
          </cell>
          <cell r="I4" t="str">
            <v>Depreciation on Building</v>
          </cell>
          <cell r="J4" t="str">
            <v>Land Cost</v>
          </cell>
          <cell r="K4" t="str">
            <v>Building Cost</v>
          </cell>
          <cell r="L4" t="str">
            <v>Lease Cost</v>
          </cell>
          <cell r="M4" t="str">
            <v>Interest on Long Term Loan</v>
          </cell>
          <cell r="N4" t="str">
            <v>Interest on Working Capital</v>
          </cell>
          <cell r="O4" t="str">
            <v>Euro</v>
          </cell>
          <cell r="P4" t="str">
            <v>USD</v>
          </cell>
          <cell r="Q4" t="str">
            <v>Masterbatch</v>
          </cell>
          <cell r="R4" t="str">
            <v>Surfactants</v>
          </cell>
          <cell r="S4" t="str">
            <v>Additives</v>
          </cell>
          <cell r="T4" t="str">
            <v>Caustic Soda</v>
          </cell>
        </row>
        <row r="5">
          <cell r="A5" t="str">
            <v>Argentina</v>
          </cell>
          <cell r="D5">
            <v>129.15</v>
          </cell>
          <cell r="E5">
            <v>9792000</v>
          </cell>
          <cell r="F5">
            <v>1632000.0000000002</v>
          </cell>
          <cell r="G5">
            <v>13056000.000000002</v>
          </cell>
          <cell r="H5">
            <v>0.1</v>
          </cell>
          <cell r="I5">
            <v>0.02</v>
          </cell>
          <cell r="J5">
            <v>194373</v>
          </cell>
          <cell r="L5">
            <v>100148.96</v>
          </cell>
          <cell r="M5">
            <v>0.36959999999999998</v>
          </cell>
          <cell r="N5">
            <v>0.36959999999999998</v>
          </cell>
          <cell r="O5">
            <v>1684.16</v>
          </cell>
          <cell r="P5">
            <v>1451.24</v>
          </cell>
          <cell r="Q5">
            <v>0</v>
          </cell>
          <cell r="R5">
            <v>1291.7813998082456</v>
          </cell>
          <cell r="S5">
            <v>618.76329050814968</v>
          </cell>
          <cell r="T5">
            <v>645.89069990412281</v>
          </cell>
        </row>
        <row r="6">
          <cell r="A6" t="str">
            <v>Brazil</v>
          </cell>
          <cell r="D6">
            <v>0.65700000000000003</v>
          </cell>
          <cell r="E6">
            <v>73000</v>
          </cell>
          <cell r="F6">
            <v>210240</v>
          </cell>
          <cell r="G6">
            <v>315360</v>
          </cell>
          <cell r="H6">
            <v>0.1</v>
          </cell>
          <cell r="I6">
            <v>0.04</v>
          </cell>
          <cell r="J6">
            <v>2533.6</v>
          </cell>
          <cell r="K6">
            <v>14843.75</v>
          </cell>
          <cell r="L6">
            <v>161.679</v>
          </cell>
          <cell r="M6">
            <v>0.15</v>
          </cell>
          <cell r="N6">
            <v>0.15</v>
          </cell>
          <cell r="O6">
            <v>6.23</v>
          </cell>
          <cell r="P6">
            <v>5.37</v>
          </cell>
          <cell r="Q6">
            <v>0</v>
          </cell>
          <cell r="R6">
            <v>4.7785234899328861</v>
          </cell>
          <cell r="S6">
            <v>2.2889127516778527</v>
          </cell>
          <cell r="T6">
            <v>2.3892617449664431</v>
          </cell>
        </row>
        <row r="7">
          <cell r="A7" t="str">
            <v>China</v>
          </cell>
          <cell r="D7">
            <v>0.79400000000000004</v>
          </cell>
          <cell r="E7">
            <v>420000</v>
          </cell>
          <cell r="F7">
            <v>420000</v>
          </cell>
          <cell r="G7">
            <v>487199.99999999994</v>
          </cell>
          <cell r="H7">
            <v>0.1</v>
          </cell>
          <cell r="I7">
            <v>0.1</v>
          </cell>
          <cell r="J7">
            <v>1228.5</v>
          </cell>
          <cell r="K7">
            <v>1056.51</v>
          </cell>
          <cell r="L7">
            <v>3046.68</v>
          </cell>
          <cell r="M7">
            <v>4.9000000000000002E-2</v>
          </cell>
          <cell r="N7">
            <v>0.03</v>
          </cell>
          <cell r="O7">
            <v>8.19</v>
          </cell>
          <cell r="P7">
            <v>7.11</v>
          </cell>
          <cell r="Q7">
            <v>0</v>
          </cell>
          <cell r="R7">
            <v>6.2818791946308723</v>
          </cell>
          <cell r="S7">
            <v>3.0090201342281881</v>
          </cell>
          <cell r="T7">
            <v>3.1409395973154361</v>
          </cell>
        </row>
        <row r="8">
          <cell r="A8" t="str">
            <v>France</v>
          </cell>
          <cell r="D8">
            <v>0.153</v>
          </cell>
          <cell r="E8">
            <v>34800</v>
          </cell>
          <cell r="F8">
            <v>71050</v>
          </cell>
          <cell r="G8">
            <v>94250</v>
          </cell>
          <cell r="H8">
            <v>0.1</v>
          </cell>
          <cell r="I8">
            <v>0.1</v>
          </cell>
          <cell r="M8">
            <v>3.4500000000000003E-2</v>
          </cell>
          <cell r="N8">
            <v>3.4500000000000003E-2</v>
          </cell>
          <cell r="O8">
            <v>1</v>
          </cell>
          <cell r="P8">
            <v>0.86</v>
          </cell>
          <cell r="Q8">
            <v>0</v>
          </cell>
          <cell r="R8">
            <v>0.76701821668264625</v>
          </cell>
          <cell r="S8">
            <v>0.36740172579098757</v>
          </cell>
          <cell r="T8">
            <v>0.38350910834132312</v>
          </cell>
        </row>
        <row r="9">
          <cell r="A9" t="str">
            <v>Germany</v>
          </cell>
          <cell r="D9">
            <v>0.251</v>
          </cell>
          <cell r="E9">
            <v>36000</v>
          </cell>
          <cell r="F9">
            <v>75000</v>
          </cell>
          <cell r="G9">
            <v>85000</v>
          </cell>
          <cell r="H9">
            <v>0.1</v>
          </cell>
          <cell r="I9">
            <v>0.1</v>
          </cell>
          <cell r="M9">
            <v>3.95E-2</v>
          </cell>
          <cell r="N9">
            <v>3.95E-2</v>
          </cell>
          <cell r="O9">
            <v>1</v>
          </cell>
          <cell r="P9">
            <v>0.86</v>
          </cell>
          <cell r="Q9">
            <v>0</v>
          </cell>
          <cell r="R9">
            <v>0.76701821668264625</v>
          </cell>
          <cell r="S9">
            <v>0.36740172579098757</v>
          </cell>
          <cell r="T9">
            <v>0.38350910834132312</v>
          </cell>
        </row>
        <row r="10">
          <cell r="A10" t="str">
            <v>Hungary</v>
          </cell>
          <cell r="D10">
            <v>92.17</v>
          </cell>
          <cell r="E10">
            <v>4476000</v>
          </cell>
          <cell r="F10">
            <v>10800000</v>
          </cell>
          <cell r="G10">
            <v>16560000.000000002</v>
          </cell>
          <cell r="H10">
            <v>0.02</v>
          </cell>
          <cell r="I10">
            <v>0.14499999999999999</v>
          </cell>
          <cell r="M10">
            <v>7.4999999999999997E-2</v>
          </cell>
          <cell r="N10">
            <v>0.03</v>
          </cell>
          <cell r="O10">
            <v>381.2</v>
          </cell>
          <cell r="P10">
            <v>328.47</v>
          </cell>
          <cell r="Q10">
            <v>0</v>
          </cell>
          <cell r="R10">
            <v>292.38734419942472</v>
          </cell>
          <cell r="S10">
            <v>140.05353787152447</v>
          </cell>
          <cell r="T10">
            <v>146.19367209971236</v>
          </cell>
        </row>
        <row r="11">
          <cell r="A11" t="str">
            <v>India</v>
          </cell>
          <cell r="D11">
            <v>10.72</v>
          </cell>
          <cell r="E11">
            <v>541800</v>
          </cell>
          <cell r="F11">
            <v>1260000</v>
          </cell>
          <cell r="G11">
            <v>1890000</v>
          </cell>
          <cell r="H11">
            <v>0.15</v>
          </cell>
          <cell r="I11">
            <v>0.1</v>
          </cell>
          <cell r="J11">
            <v>23519.018667714194</v>
          </cell>
          <cell r="K11">
            <v>7000</v>
          </cell>
          <cell r="L11">
            <v>2136.331306739994</v>
          </cell>
          <cell r="M11">
            <v>0.125</v>
          </cell>
          <cell r="N11">
            <v>0.14000000000000001</v>
          </cell>
          <cell r="O11">
            <v>104.27</v>
          </cell>
          <cell r="P11">
            <v>87</v>
          </cell>
          <cell r="Q11">
            <v>0</v>
          </cell>
          <cell r="R11">
            <v>79.976989453499527</v>
          </cell>
          <cell r="S11">
            <v>38.308977948226271</v>
          </cell>
          <cell r="T11">
            <v>39.988494726749764</v>
          </cell>
        </row>
        <row r="12">
          <cell r="A12" t="str">
            <v>Indonesia</v>
          </cell>
          <cell r="D12">
            <v>1114.74</v>
          </cell>
          <cell r="E12">
            <v>7332000</v>
          </cell>
          <cell r="F12">
            <v>19552000</v>
          </cell>
          <cell r="G12">
            <v>24440000</v>
          </cell>
          <cell r="H12">
            <v>0.25</v>
          </cell>
          <cell r="I12">
            <v>0.1</v>
          </cell>
          <cell r="J12">
            <v>1700000</v>
          </cell>
          <cell r="K12">
            <v>5500000</v>
          </cell>
          <cell r="L12">
            <v>420000</v>
          </cell>
          <cell r="M12">
            <v>0.1</v>
          </cell>
          <cell r="N12">
            <v>0.12</v>
          </cell>
          <cell r="O12">
            <v>19314.2</v>
          </cell>
          <cell r="P12">
            <v>16665.3</v>
          </cell>
          <cell r="Q12">
            <v>0</v>
          </cell>
          <cell r="R12">
            <v>14814.343240651966</v>
          </cell>
          <cell r="S12">
            <v>7096.0704122722927</v>
          </cell>
          <cell r="T12">
            <v>7407.171620325983</v>
          </cell>
        </row>
        <row r="13">
          <cell r="A13" t="str">
            <v>Mexico</v>
          </cell>
          <cell r="D13">
            <v>3.972</v>
          </cell>
          <cell r="E13">
            <v>180000</v>
          </cell>
          <cell r="F13">
            <v>492000</v>
          </cell>
          <cell r="G13">
            <v>852000</v>
          </cell>
          <cell r="H13">
            <v>0.1</v>
          </cell>
          <cell r="I13">
            <v>0.05</v>
          </cell>
          <cell r="M13">
            <v>7.2800000000000004E-2</v>
          </cell>
          <cell r="N13">
            <v>7.2800000000000004E-2</v>
          </cell>
          <cell r="O13">
            <v>21.26</v>
          </cell>
          <cell r="P13">
            <v>18.32</v>
          </cell>
          <cell r="Q13">
            <v>0</v>
          </cell>
          <cell r="R13">
            <v>16.30680728667306</v>
          </cell>
          <cell r="S13">
            <v>7.8109606903163966</v>
          </cell>
          <cell r="T13">
            <v>8.1534036433365298</v>
          </cell>
        </row>
        <row r="14">
          <cell r="A14" t="str">
            <v>Pakistan</v>
          </cell>
          <cell r="D14">
            <v>41.99</v>
          </cell>
          <cell r="E14">
            <v>504000</v>
          </cell>
          <cell r="F14">
            <v>384000</v>
          </cell>
          <cell r="G14">
            <v>2400000</v>
          </cell>
          <cell r="H14">
            <v>0.15</v>
          </cell>
          <cell r="I14">
            <v>0.1</v>
          </cell>
          <cell r="M14">
            <v>0.18</v>
          </cell>
          <cell r="N14">
            <v>0.09</v>
          </cell>
          <cell r="O14">
            <v>328.52</v>
          </cell>
          <cell r="P14">
            <v>282.99</v>
          </cell>
          <cell r="Q14">
            <v>0</v>
          </cell>
          <cell r="R14">
            <v>251.98082454458293</v>
          </cell>
          <cell r="S14">
            <v>120.69881495685523</v>
          </cell>
          <cell r="T14">
            <v>125.99041227229147</v>
          </cell>
        </row>
        <row r="15">
          <cell r="A15" t="str">
            <v>Philippines</v>
          </cell>
          <cell r="D15">
            <v>8.8469999999999995</v>
          </cell>
          <cell r="E15">
            <v>242879.99999999997</v>
          </cell>
          <cell r="F15">
            <v>473470.52499999997</v>
          </cell>
          <cell r="G15">
            <v>538167.68499999994</v>
          </cell>
          <cell r="H15">
            <v>0.1</v>
          </cell>
          <cell r="I15">
            <v>0.1</v>
          </cell>
          <cell r="J15">
            <v>16240</v>
          </cell>
          <cell r="K15">
            <v>20000</v>
          </cell>
          <cell r="L15">
            <v>3240</v>
          </cell>
          <cell r="M15">
            <v>0.1</v>
          </cell>
          <cell r="N15">
            <v>8.6300000000000002E-2</v>
          </cell>
          <cell r="O15">
            <v>67.87</v>
          </cell>
          <cell r="P15">
            <v>58.89</v>
          </cell>
          <cell r="Q15">
            <v>0</v>
          </cell>
          <cell r="R15">
            <v>52.057526366251203</v>
          </cell>
          <cell r="S15">
            <v>24.935555129434327</v>
          </cell>
          <cell r="T15">
            <v>26.028763183125601</v>
          </cell>
        </row>
        <row r="16">
          <cell r="A16" t="str">
            <v>South Africa</v>
          </cell>
          <cell r="D16">
            <v>1.7949999999999999</v>
          </cell>
          <cell r="E16">
            <v>231858</v>
          </cell>
          <cell r="F16">
            <v>494630.40000000002</v>
          </cell>
          <cell r="G16">
            <v>772860</v>
          </cell>
          <cell r="H16">
            <v>0.2</v>
          </cell>
          <cell r="I16">
            <v>0.05</v>
          </cell>
          <cell r="M16">
            <v>0.10249999999999999</v>
          </cell>
          <cell r="N16">
            <v>0.27500000000000002</v>
          </cell>
          <cell r="O16">
            <v>19.88</v>
          </cell>
          <cell r="P16">
            <v>17.13</v>
          </cell>
          <cell r="Q16">
            <v>0</v>
          </cell>
          <cell r="R16">
            <v>15.248322147651006</v>
          </cell>
          <cell r="S16">
            <v>7.3039463087248322</v>
          </cell>
          <cell r="T16">
            <v>7.624161073825503</v>
          </cell>
        </row>
        <row r="17">
          <cell r="A17" t="str">
            <v>Turkey</v>
          </cell>
          <cell r="D17">
            <v>4.3499999999999996</v>
          </cell>
          <cell r="E17">
            <v>281880</v>
          </cell>
          <cell r="F17">
            <v>548100</v>
          </cell>
          <cell r="G17">
            <v>532440</v>
          </cell>
          <cell r="H17">
            <v>0.1</v>
          </cell>
          <cell r="I17">
            <v>0.1</v>
          </cell>
          <cell r="M17">
            <v>0.42499999999999999</v>
          </cell>
          <cell r="N17">
            <v>0.39500000000000002</v>
          </cell>
          <cell r="O17">
            <v>49.29</v>
          </cell>
          <cell r="P17">
            <v>42.43</v>
          </cell>
          <cell r="Q17">
            <v>0</v>
          </cell>
          <cell r="R17">
            <v>37.806327900287634</v>
          </cell>
          <cell r="S17">
            <v>18.109231064237775</v>
          </cell>
          <cell r="T17">
            <v>18.903163950143817</v>
          </cell>
        </row>
        <row r="18">
          <cell r="A18" t="str">
            <v>United Kingdom</v>
          </cell>
          <cell r="D18">
            <v>0.34599999999999997</v>
          </cell>
          <cell r="E18">
            <v>39900</v>
          </cell>
          <cell r="F18">
            <v>57190</v>
          </cell>
          <cell r="G18">
            <v>66500</v>
          </cell>
          <cell r="H18">
            <v>0.18</v>
          </cell>
          <cell r="I18">
            <v>0.03</v>
          </cell>
          <cell r="M18">
            <v>0.112</v>
          </cell>
          <cell r="N18">
            <v>0.113</v>
          </cell>
          <cell r="O18">
            <v>0.88</v>
          </cell>
          <cell r="P18">
            <v>0.76</v>
          </cell>
          <cell r="Q18">
            <v>0</v>
          </cell>
          <cell r="R18">
            <v>0.67497603068072876</v>
          </cell>
          <cell r="S18">
            <v>0.32331351869606906</v>
          </cell>
          <cell r="T18">
            <v>0.33748801534036438</v>
          </cell>
        </row>
        <row r="19">
          <cell r="A19" t="str">
            <v>United States</v>
          </cell>
          <cell r="D19">
            <v>0.14899999999999999</v>
          </cell>
          <cell r="E19">
            <v>98250.599999999991</v>
          </cell>
          <cell r="F19">
            <v>130993.79999999999</v>
          </cell>
          <cell r="G19">
            <v>117125.4</v>
          </cell>
          <cell r="H19">
            <v>0.1</v>
          </cell>
          <cell r="I19">
            <v>0.1</v>
          </cell>
          <cell r="J19">
            <v>2.4700000000000002</v>
          </cell>
          <cell r="M19">
            <v>3.8899999999999997E-2</v>
          </cell>
          <cell r="N19">
            <v>3.6400000000000002E-2</v>
          </cell>
          <cell r="O19">
            <v>1.1599999999999999</v>
          </cell>
          <cell r="P19">
            <v>1</v>
          </cell>
          <cell r="Q19">
            <v>0</v>
          </cell>
          <cell r="R19">
            <v>0.88974113135186961</v>
          </cell>
          <cell r="S19">
            <v>0.42618600191754552</v>
          </cell>
          <cell r="T19">
            <v>0.4448705656759348</v>
          </cell>
        </row>
        <row r="20">
          <cell r="A20" t="str">
            <v>Vietnam</v>
          </cell>
          <cell r="D20">
            <v>1744</v>
          </cell>
          <cell r="E20">
            <v>139920000</v>
          </cell>
          <cell r="F20">
            <v>827162156.94999993</v>
          </cell>
          <cell r="G20">
            <v>921734762.02499998</v>
          </cell>
          <cell r="H20">
            <v>0.1</v>
          </cell>
          <cell r="I20">
            <v>0.1</v>
          </cell>
          <cell r="J20">
            <v>3586051.86</v>
          </cell>
          <cell r="K20">
            <v>3403710.24</v>
          </cell>
          <cell r="L20">
            <v>5470248.5999999996</v>
          </cell>
          <cell r="M20">
            <v>5.8999999999999997E-2</v>
          </cell>
          <cell r="N20">
            <v>6.2E-2</v>
          </cell>
          <cell r="O20">
            <v>30390.27</v>
          </cell>
          <cell r="P20">
            <v>26369</v>
          </cell>
          <cell r="Q20">
            <v>0</v>
          </cell>
          <cell r="R20">
            <v>23309.890699904125</v>
          </cell>
          <cell r="S20">
            <v>11165.437645254076</v>
          </cell>
          <cell r="T20">
            <v>11654.945349952062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alestateindia.com/silvassa-property/factory-for-rent.htm" TargetMode="External"/><Relationship Id="rId3" Type="http://schemas.openxmlformats.org/officeDocument/2006/relationships/hyperlink" Target="https://incometaxindia.gov.in/charts%20%20tables/depreciation%20rates.htm" TargetMode="External"/><Relationship Id="rId7" Type="http://schemas.openxmlformats.org/officeDocument/2006/relationships/hyperlink" Target="https://www.realestateindia.com/silvassa-property/factory-for-sale.ht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hdfcbank.com/personal/borrow/popular-loans/business-loan/fees-and-charges" TargetMode="External"/><Relationship Id="rId1" Type="http://schemas.openxmlformats.org/officeDocument/2006/relationships/hyperlink" Target="https://incometaxindia.gov.in/charts%20%20tables/depreciation%20rates.htm" TargetMode="External"/><Relationship Id="rId6" Type="http://schemas.openxmlformats.org/officeDocument/2006/relationships/hyperlink" Target="https://in.indeed.com/career/production-manager/salaries/Silvassa--Dadra-and-Nagar-Haveli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n.indeed.com/career/engineer/salaries/Silvassa--Dadra-and-Nagar-Haveli" TargetMode="External"/><Relationship Id="rId10" Type="http://schemas.openxmlformats.org/officeDocument/2006/relationships/hyperlink" Target="https://www.nsic.co.in/Schemes/BillDiscountingAgainstBG" TargetMode="External"/><Relationship Id="rId4" Type="http://schemas.openxmlformats.org/officeDocument/2006/relationships/hyperlink" Target="https://in.indeed.com/career/machine-operator/salaries/Silvassa--Dadra-and-Nagar-Haveli" TargetMode="External"/><Relationship Id="rId9" Type="http://schemas.openxmlformats.org/officeDocument/2006/relationships/hyperlink" Target="https://www.realestateindia.com/silvassa-property/industrial-lands-for-sal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B1DB-B5F2-4CC0-9FA3-0A10B5185D7A}">
  <dimension ref="A1:N39"/>
  <sheetViews>
    <sheetView showGridLines="0" workbookViewId="0">
      <pane xSplit="1" topLeftCell="B1" activePane="topRight" state="frozen"/>
      <selection activeCell="B44" sqref="B44"/>
      <selection pane="topRight" activeCell="B10" sqref="B10"/>
    </sheetView>
  </sheetViews>
  <sheetFormatPr defaultRowHeight="14.25" x14ac:dyDescent="0.45"/>
  <cols>
    <col min="1" max="1" width="21.53125" customWidth="1"/>
    <col min="2" max="2" width="13.796875" customWidth="1"/>
    <col min="4" max="4" width="15" customWidth="1"/>
    <col min="11" max="11" width="10.86328125" bestFit="1" customWidth="1"/>
  </cols>
  <sheetData>
    <row r="1" spans="1:10" x14ac:dyDescent="0.45">
      <c r="A1" s="86" t="str">
        <f>"Country "&amp;input!C4</f>
        <v>Country India</v>
      </c>
      <c r="B1" s="87" t="str">
        <f>"Currency "&amp;input!C5</f>
        <v>Currency INR</v>
      </c>
      <c r="C1" s="87" t="str">
        <f>"Supplier "&amp;input!C6</f>
        <v>Supplier Silvassa</v>
      </c>
      <c r="D1" s="88"/>
    </row>
    <row r="2" spans="1:10" x14ac:dyDescent="0.45">
      <c r="A2" s="89" t="str">
        <f>"Product "&amp;input!C2</f>
        <v xml:space="preserve">Product Comfort 220ml </v>
      </c>
      <c r="B2" t="str">
        <f>"Period "&amp;input!C7</f>
        <v>Period Sep25</v>
      </c>
      <c r="C2" t="s">
        <v>111</v>
      </c>
      <c r="D2" s="90" t="str">
        <f>input!C3</f>
        <v>xxxxx</v>
      </c>
    </row>
    <row r="3" spans="1:10" ht="14.65" thickBot="1" x14ac:dyDescent="0.5">
      <c r="A3" s="89" t="str">
        <f>input!A8&amp;" "&amp;input!B8</f>
        <v>Annual Volume  pcs</v>
      </c>
      <c r="B3" s="127">
        <f>input!C8</f>
        <v>62975559</v>
      </c>
      <c r="C3" t="str">
        <f>"Payment term "&amp;input!C110&amp;" days"</f>
        <v>Payment term 60 days</v>
      </c>
      <c r="D3" s="90"/>
    </row>
    <row r="4" spans="1:10" ht="14.65" thickBot="1" x14ac:dyDescent="0.5">
      <c r="A4" s="182" t="s">
        <v>0</v>
      </c>
      <c r="B4" s="183" t="str">
        <f>input!C5&amp;"/1000"</f>
        <v>INR/1000</v>
      </c>
      <c r="C4" s="183" t="s">
        <v>450</v>
      </c>
      <c r="D4" s="184" t="s">
        <v>57</v>
      </c>
    </row>
    <row r="5" spans="1:10" x14ac:dyDescent="0.45">
      <c r="A5" s="89" t="s">
        <v>58</v>
      </c>
      <c r="B5" s="177">
        <f>B12</f>
        <v>2085.3308517320565</v>
      </c>
      <c r="C5" s="177">
        <f>B5/input!$C$101</f>
        <v>19.999336834487931</v>
      </c>
      <c r="D5" s="92">
        <f t="shared" ref="D5:D10" si="0">B5/$B$10</f>
        <v>0.65461390893568583</v>
      </c>
      <c r="I5" s="102"/>
      <c r="J5" s="102"/>
    </row>
    <row r="6" spans="1:10" x14ac:dyDescent="0.45">
      <c r="A6" s="89" t="s">
        <v>59</v>
      </c>
      <c r="B6" s="177">
        <f>B17</f>
        <v>710.86325156507667</v>
      </c>
      <c r="C6" s="177">
        <f>B6/input!$C$101</f>
        <v>6.8175242309875967</v>
      </c>
      <c r="D6" s="92">
        <f t="shared" si="0"/>
        <v>0.22314970856506475</v>
      </c>
      <c r="I6" s="102"/>
      <c r="J6" s="102"/>
    </row>
    <row r="7" spans="1:10" x14ac:dyDescent="0.45">
      <c r="A7" s="89" t="s">
        <v>60</v>
      </c>
      <c r="B7" s="91">
        <f>B27</f>
        <v>142.17265031301534</v>
      </c>
      <c r="C7" s="177">
        <f>B7/input!$C$101</f>
        <v>1.3635048461975194</v>
      </c>
      <c r="D7" s="92">
        <f t="shared" si="0"/>
        <v>4.4629941713012954E-2</v>
      </c>
      <c r="I7" s="102"/>
      <c r="J7" s="102"/>
    </row>
    <row r="8" spans="1:10" x14ac:dyDescent="0.45">
      <c r="A8" s="89" t="s">
        <v>61</v>
      </c>
      <c r="B8" s="91">
        <f>B30</f>
        <v>236.11111111111111</v>
      </c>
      <c r="C8" s="177">
        <f>B8/input!$C$101</f>
        <v>2.2644203616678924</v>
      </c>
      <c r="D8" s="92">
        <f t="shared" si="0"/>
        <v>7.4118510863259449E-2</v>
      </c>
      <c r="I8" s="102"/>
      <c r="J8" s="102"/>
    </row>
    <row r="9" spans="1:10" ht="14.65" thickBot="1" x14ac:dyDescent="0.5">
      <c r="A9" s="89" t="s">
        <v>62</v>
      </c>
      <c r="B9" s="91">
        <f>B31</f>
        <v>11.111111111111111</v>
      </c>
      <c r="C9" s="177">
        <f>B9/input!$C$101</f>
        <v>0.1065609581961361</v>
      </c>
      <c r="D9" s="92">
        <f t="shared" si="0"/>
        <v>3.4879299229769148E-3</v>
      </c>
      <c r="I9" s="102"/>
      <c r="J9" s="102"/>
    </row>
    <row r="10" spans="1:10" ht="14.65" thickBot="1" x14ac:dyDescent="0.5">
      <c r="A10" s="70" t="s">
        <v>63</v>
      </c>
      <c r="B10" s="178">
        <f>SUM(B5:B9)</f>
        <v>3185.588975832371</v>
      </c>
      <c r="C10" s="178">
        <f>SUM(C5:C9)</f>
        <v>30.551347231537076</v>
      </c>
      <c r="D10" s="71">
        <f t="shared" si="0"/>
        <v>1</v>
      </c>
      <c r="I10" s="102"/>
      <c r="J10" s="102"/>
    </row>
    <row r="11" spans="1:10" x14ac:dyDescent="0.45">
      <c r="A11" s="116"/>
      <c r="B11" s="179"/>
      <c r="C11" s="179"/>
      <c r="D11" s="117"/>
      <c r="I11" s="102"/>
      <c r="J11" s="102"/>
    </row>
    <row r="12" spans="1:10" x14ac:dyDescent="0.45">
      <c r="A12" s="118" t="s">
        <v>64</v>
      </c>
      <c r="B12" s="93">
        <f>SUM(B13:B15)</f>
        <v>2085.3308517320565</v>
      </c>
      <c r="C12" s="93">
        <f>SUM(C13:C15)</f>
        <v>19.999336834487931</v>
      </c>
      <c r="D12" s="119">
        <f>B12/$B$10</f>
        <v>0.65461390893568583</v>
      </c>
      <c r="I12" s="102"/>
      <c r="J12" s="102"/>
    </row>
    <row r="13" spans="1:10" x14ac:dyDescent="0.45">
      <c r="A13" s="120" t="s">
        <v>65</v>
      </c>
      <c r="B13" s="177">
        <f>SUMIF(material!$A:$A,summary!A13,material!$D:$D)</f>
        <v>1914.3308517320563</v>
      </c>
      <c r="C13" s="177">
        <f>B13/input!$C$101</f>
        <v>18.359363687849395</v>
      </c>
      <c r="D13" s="121">
        <f>B13/$B$10</f>
        <v>0.60093466742107104</v>
      </c>
      <c r="I13" s="102"/>
      <c r="J13" s="102"/>
    </row>
    <row r="14" spans="1:10" x14ac:dyDescent="0.45">
      <c r="A14" s="120" t="s">
        <v>66</v>
      </c>
      <c r="B14" s="177">
        <f>SUMIF(material!$A:$A,summary!A14,material!$D:$D)</f>
        <v>171</v>
      </c>
      <c r="C14" s="177">
        <f>B14/input!$C$101</f>
        <v>1.6399731466385346</v>
      </c>
      <c r="D14" s="121">
        <f>B14/$B$10</f>
        <v>5.3679241514614721E-2</v>
      </c>
      <c r="I14" s="102"/>
      <c r="J14" s="102"/>
    </row>
    <row r="15" spans="1:10" x14ac:dyDescent="0.45">
      <c r="A15" s="120" t="s">
        <v>67</v>
      </c>
      <c r="B15" s="177">
        <f>SUMIF(material!$A:$A,summary!A15,material!$D:$D)</f>
        <v>0</v>
      </c>
      <c r="C15" s="177">
        <f>B15/input!$C$101</f>
        <v>0</v>
      </c>
      <c r="D15" s="121">
        <f>B15/$B$10</f>
        <v>0</v>
      </c>
      <c r="I15" s="102"/>
      <c r="J15" s="102"/>
    </row>
    <row r="16" spans="1:10" x14ac:dyDescent="0.45">
      <c r="A16" s="120"/>
      <c r="B16" s="177"/>
      <c r="C16" s="177"/>
      <c r="D16" s="122"/>
      <c r="I16" s="102"/>
      <c r="J16" s="102"/>
    </row>
    <row r="17" spans="1:10" x14ac:dyDescent="0.45">
      <c r="A17" s="118" t="s">
        <v>68</v>
      </c>
      <c r="B17" s="91">
        <f>SUM(B18:B25)</f>
        <v>710.86325156507667</v>
      </c>
      <c r="C17" s="91">
        <f>SUM(C18:C25)</f>
        <v>6.8175242309875959</v>
      </c>
      <c r="D17" s="123">
        <f t="shared" ref="D17:D25" si="1">B17/$B$10</f>
        <v>0.22314970856506475</v>
      </c>
      <c r="H17" s="83"/>
      <c r="I17" s="102"/>
      <c r="J17" s="102"/>
    </row>
    <row r="18" spans="1:10" x14ac:dyDescent="0.45">
      <c r="A18" s="131" t="s">
        <v>37</v>
      </c>
      <c r="B18" s="91">
        <f>conversion!D81</f>
        <v>84.941111111111127</v>
      </c>
      <c r="C18" s="177">
        <f>B18/input!$C$101</f>
        <v>0.81462655712200183</v>
      </c>
      <c r="D18" s="123">
        <f t="shared" si="1"/>
        <v>2.6664177882181627E-2</v>
      </c>
      <c r="H18" s="83"/>
      <c r="I18" s="102"/>
      <c r="J18" s="102"/>
    </row>
    <row r="19" spans="1:10" x14ac:dyDescent="0.45">
      <c r="A19" s="131" t="s">
        <v>452</v>
      </c>
      <c r="B19" s="91">
        <f>conversion!D83</f>
        <v>50.918205492424249</v>
      </c>
      <c r="C19" s="177">
        <f>B19/input!$C$101</f>
        <v>0.48833034902104394</v>
      </c>
      <c r="D19" s="123">
        <f t="shared" si="1"/>
        <v>1.5983921930518265E-2</v>
      </c>
      <c r="H19" s="83"/>
      <c r="I19" s="102"/>
      <c r="J19" s="102"/>
    </row>
    <row r="20" spans="1:10" x14ac:dyDescent="0.45">
      <c r="A20" s="131" t="s">
        <v>453</v>
      </c>
      <c r="B20" s="91">
        <f>conversion!E167</f>
        <v>51.689015083643483</v>
      </c>
      <c r="C20" s="177">
        <f>B20/input!$C$101</f>
        <v>0.49572278779748236</v>
      </c>
      <c r="D20" s="123">
        <f t="shared" si="1"/>
        <v>1.6225889615950069E-2</v>
      </c>
      <c r="H20" s="83"/>
      <c r="I20" s="102"/>
      <c r="J20" s="102"/>
    </row>
    <row r="21" spans="1:10" x14ac:dyDescent="0.45">
      <c r="A21" s="131" t="s">
        <v>454</v>
      </c>
      <c r="B21" s="91">
        <f>conversion!D65</f>
        <v>55.020108334264677</v>
      </c>
      <c r="C21" s="177">
        <f>B21/input!$C$101</f>
        <v>0.52766959177390116</v>
      </c>
      <c r="D21" s="123">
        <f t="shared" si="1"/>
        <v>1.7271565400206197E-2</v>
      </c>
      <c r="H21" s="83"/>
      <c r="I21" s="102"/>
      <c r="J21" s="102"/>
    </row>
    <row r="22" spans="1:10" x14ac:dyDescent="0.45">
      <c r="A22" s="131" t="s">
        <v>42</v>
      </c>
      <c r="B22" s="91">
        <f>conversion!D69</f>
        <v>55.020108334264677</v>
      </c>
      <c r="C22" s="177">
        <f>B22/input!$C$101</f>
        <v>0.52766959177390116</v>
      </c>
      <c r="D22" s="123">
        <f t="shared" si="1"/>
        <v>1.7271565400206197E-2</v>
      </c>
      <c r="H22" s="83"/>
      <c r="I22" s="102"/>
      <c r="J22" s="102"/>
    </row>
    <row r="23" spans="1:10" x14ac:dyDescent="0.45">
      <c r="A23" s="131" t="s">
        <v>455</v>
      </c>
      <c r="B23" s="91">
        <f>conversion!D171</f>
        <v>0</v>
      </c>
      <c r="C23" s="177">
        <f>B23/input!$C$101</f>
        <v>0</v>
      </c>
      <c r="D23" s="123">
        <f t="shared" si="1"/>
        <v>0</v>
      </c>
      <c r="H23" s="83"/>
      <c r="I23" s="102"/>
      <c r="J23" s="102"/>
    </row>
    <row r="24" spans="1:10" x14ac:dyDescent="0.45">
      <c r="A24" s="120" t="s">
        <v>69</v>
      </c>
      <c r="B24" s="91">
        <f>conversion!D49+conversion!E164</f>
        <v>167.08588735329815</v>
      </c>
      <c r="C24" s="177">
        <f>B24/input!$C$101</f>
        <v>1.6024349031677199</v>
      </c>
      <c r="D24" s="123">
        <f t="shared" si="1"/>
        <v>5.2450547958604682E-2</v>
      </c>
      <c r="I24" s="102"/>
      <c r="J24" s="102"/>
    </row>
    <row r="25" spans="1:10" x14ac:dyDescent="0.45">
      <c r="A25" s="120" t="s">
        <v>70</v>
      </c>
      <c r="B25" s="91">
        <f>conversion!D53+conversion!E165+conversion!D196</f>
        <v>246.18881585607025</v>
      </c>
      <c r="C25" s="177">
        <f>B25/input!$C$101</f>
        <v>2.3610704503315456</v>
      </c>
      <c r="D25" s="123">
        <f t="shared" si="1"/>
        <v>7.7282040377397693E-2</v>
      </c>
      <c r="I25" s="102"/>
      <c r="J25" s="102"/>
    </row>
    <row r="26" spans="1:10" x14ac:dyDescent="0.45">
      <c r="A26" s="120"/>
      <c r="B26" s="177"/>
      <c r="C26" s="177"/>
      <c r="D26" s="122"/>
      <c r="I26" s="102"/>
      <c r="J26" s="102"/>
    </row>
    <row r="27" spans="1:10" x14ac:dyDescent="0.45">
      <c r="A27" s="120" t="s">
        <v>60</v>
      </c>
      <c r="B27" s="177">
        <f>B17*input!C77</f>
        <v>142.17265031301534</v>
      </c>
      <c r="C27" s="177">
        <f>B27/input!$C$101</f>
        <v>1.3635048461975194</v>
      </c>
      <c r="D27" s="121">
        <f>B27/$B$10</f>
        <v>4.4629941713012954E-2</v>
      </c>
    </row>
    <row r="28" spans="1:10" x14ac:dyDescent="0.45">
      <c r="A28" s="120"/>
      <c r="B28" s="177"/>
      <c r="C28" s="177"/>
      <c r="D28" s="122"/>
    </row>
    <row r="29" spans="1:10" x14ac:dyDescent="0.45">
      <c r="A29" s="118" t="s">
        <v>73</v>
      </c>
      <c r="B29" s="93">
        <f>SUM(B30:B31)</f>
        <v>247.22222222222223</v>
      </c>
      <c r="C29" s="93">
        <f>SUM(C30:C31)</f>
        <v>2.3709813198640286</v>
      </c>
      <c r="D29" s="119">
        <f>B29/$B$10</f>
        <v>7.7606440786236353E-2</v>
      </c>
    </row>
    <row r="30" spans="1:10" x14ac:dyDescent="0.45">
      <c r="A30" s="120" t="s">
        <v>74</v>
      </c>
      <c r="B30" s="177">
        <f>conversion!D179</f>
        <v>236.11111111111111</v>
      </c>
      <c r="C30" s="177">
        <f>B30/input!$C$101</f>
        <v>2.2644203616678924</v>
      </c>
      <c r="D30" s="124">
        <f t="shared" ref="D30:D31" si="2">B30/$B$10</f>
        <v>7.4118510863259449E-2</v>
      </c>
    </row>
    <row r="31" spans="1:10" ht="14.65" thickBot="1" x14ac:dyDescent="0.5">
      <c r="A31" s="125" t="s">
        <v>75</v>
      </c>
      <c r="B31" s="180">
        <f>conversion!D186</f>
        <v>11.111111111111111</v>
      </c>
      <c r="C31" s="180">
        <f>B31/input!$C$101</f>
        <v>0.1065609581961361</v>
      </c>
      <c r="D31" s="126">
        <f t="shared" si="2"/>
        <v>3.4879299229769148E-3</v>
      </c>
    </row>
    <row r="32" spans="1:10" ht="14.65" thickBot="1" x14ac:dyDescent="0.5">
      <c r="C32" s="177"/>
    </row>
    <row r="33" spans="1:14" ht="14.65" thickBot="1" x14ac:dyDescent="0.5">
      <c r="A33" s="182" t="s">
        <v>76</v>
      </c>
      <c r="B33" s="183" t="str">
        <f>B4</f>
        <v>INR/1000</v>
      </c>
      <c r="C33" s="183" t="str">
        <f>C4</f>
        <v>EUR/1000</v>
      </c>
      <c r="D33" s="183" t="str">
        <f>D4</f>
        <v>% of Total Cost</v>
      </c>
      <c r="E33" s="182" t="s">
        <v>58</v>
      </c>
      <c r="F33" s="183" t="s">
        <v>71</v>
      </c>
      <c r="G33" s="183" t="s">
        <v>77</v>
      </c>
      <c r="H33" s="183" t="s">
        <v>78</v>
      </c>
      <c r="I33" s="183" t="s">
        <v>79</v>
      </c>
      <c r="J33" s="183" t="s">
        <v>455</v>
      </c>
      <c r="K33" s="183" t="s">
        <v>69</v>
      </c>
      <c r="L33" s="183" t="s">
        <v>70</v>
      </c>
      <c r="M33" s="183" t="s">
        <v>80</v>
      </c>
      <c r="N33" s="184" t="s">
        <v>60</v>
      </c>
    </row>
    <row r="34" spans="1:14" x14ac:dyDescent="0.45">
      <c r="A34" s="72" t="s">
        <v>500</v>
      </c>
      <c r="B34" s="73">
        <f>SUM(E34:N34)</f>
        <v>2104.5256464482341</v>
      </c>
      <c r="C34" s="177">
        <f>B34/input!$C$101</f>
        <v>20.183424249047992</v>
      </c>
      <c r="D34" s="129">
        <f>B34/$B$38</f>
        <v>0.66063941783272184</v>
      </c>
      <c r="E34" s="75">
        <f>B13+B14+B15</f>
        <v>2085.3308517320565</v>
      </c>
      <c r="F34" s="76"/>
      <c r="G34" s="76"/>
      <c r="H34" s="76"/>
      <c r="I34" s="76"/>
      <c r="J34" s="76"/>
      <c r="K34" s="76"/>
      <c r="L34" s="74">
        <f>conversion!D196</f>
        <v>15.995662263481288</v>
      </c>
      <c r="M34" s="76"/>
      <c r="N34" s="84">
        <f>SUM(F34:M34)*input!$C$77</f>
        <v>3.1991324526962579</v>
      </c>
    </row>
    <row r="35" spans="1:14" x14ac:dyDescent="0.45">
      <c r="A35" s="72" t="s">
        <v>81</v>
      </c>
      <c r="B35" s="73">
        <f>SUM(E35:N35)</f>
        <v>833.84110716191435</v>
      </c>
      <c r="C35" s="177">
        <f>B35/input!$C$101</f>
        <v>7.996941662625054</v>
      </c>
      <c r="D35" s="128">
        <f>B35/$B$38</f>
        <v>0.26175414138104175</v>
      </c>
      <c r="E35" s="75"/>
      <c r="F35" s="74">
        <f>conversion!D81</f>
        <v>84.941111111111127</v>
      </c>
      <c r="G35" s="74">
        <f>conversion!D83+conversion!E167</f>
        <v>102.60722057606773</v>
      </c>
      <c r="H35" s="74">
        <f>conversion!D65</f>
        <v>55.020108334264677</v>
      </c>
      <c r="I35" s="74">
        <f>conversion!D69</f>
        <v>55.020108334264677</v>
      </c>
      <c r="J35" s="176">
        <f>conversion!D171</f>
        <v>0</v>
      </c>
      <c r="K35" s="74">
        <f>conversion!D49+conversion!E164</f>
        <v>167.08588735329815</v>
      </c>
      <c r="L35" s="74">
        <f>conversion!D53+conversion!E165</f>
        <v>230.19315359258897</v>
      </c>
      <c r="M35" s="74"/>
      <c r="N35" s="84">
        <f>SUM(F35:M35)*input!$C$77</f>
        <v>138.97351786031908</v>
      </c>
    </row>
    <row r="36" spans="1:14" x14ac:dyDescent="0.45">
      <c r="A36" s="72" t="s">
        <v>82</v>
      </c>
      <c r="B36" s="73">
        <f>SUM(E36:N36)</f>
        <v>247.22222222222223</v>
      </c>
      <c r="C36" s="177">
        <f>B36/input!$C$101</f>
        <v>2.3709813198640282</v>
      </c>
      <c r="D36" s="129">
        <f>B36/$B$38</f>
        <v>7.7606440786236366E-2</v>
      </c>
      <c r="E36" s="76"/>
      <c r="F36" s="74"/>
      <c r="G36" s="74"/>
      <c r="H36" s="74"/>
      <c r="I36" s="74"/>
      <c r="J36" s="74"/>
      <c r="K36" s="74"/>
      <c r="L36" s="74"/>
      <c r="M36" s="74">
        <f>conversion!D186+conversion!D179</f>
        <v>247.22222222222223</v>
      </c>
      <c r="N36" s="84"/>
    </row>
    <row r="37" spans="1:14" ht="14.65" thickBot="1" x14ac:dyDescent="0.5">
      <c r="A37" s="72"/>
      <c r="B37" s="73"/>
      <c r="C37" s="177"/>
      <c r="D37" s="129"/>
      <c r="E37" s="75"/>
      <c r="F37" s="74"/>
      <c r="G37" s="74"/>
      <c r="H37" s="74"/>
      <c r="I37" s="74"/>
      <c r="J37" s="74"/>
      <c r="K37" s="74"/>
      <c r="L37" s="74"/>
      <c r="M37" s="74"/>
      <c r="N37" s="77"/>
    </row>
    <row r="38" spans="1:14" ht="14.65" thickBot="1" x14ac:dyDescent="0.5">
      <c r="A38" s="78"/>
      <c r="B38" s="85">
        <f>SUM(B34:B36)</f>
        <v>3185.5889758323706</v>
      </c>
      <c r="C38" s="181">
        <f>SUM(C34:C36)</f>
        <v>30.551347231537076</v>
      </c>
      <c r="D38" s="79">
        <f>B38/$B$38</f>
        <v>1</v>
      </c>
      <c r="E38" s="85">
        <f t="shared" ref="E38:N38" si="3">SUM(E34:E36)</f>
        <v>2085.3308517320565</v>
      </c>
      <c r="F38" s="81">
        <f t="shared" si="3"/>
        <v>84.941111111111127</v>
      </c>
      <c r="G38" s="81">
        <f t="shared" si="3"/>
        <v>102.60722057606773</v>
      </c>
      <c r="H38" s="81">
        <f t="shared" si="3"/>
        <v>55.020108334264677</v>
      </c>
      <c r="I38" s="81">
        <f t="shared" si="3"/>
        <v>55.020108334264677</v>
      </c>
      <c r="J38" s="81">
        <f>SUM(J34:J36)</f>
        <v>0</v>
      </c>
      <c r="K38" s="81">
        <f t="shared" si="3"/>
        <v>167.08588735329815</v>
      </c>
      <c r="L38" s="81">
        <f t="shared" si="3"/>
        <v>246.18881585607025</v>
      </c>
      <c r="M38" s="81">
        <f t="shared" si="3"/>
        <v>247.22222222222223</v>
      </c>
      <c r="N38" s="82">
        <f t="shared" si="3"/>
        <v>142.17265031301534</v>
      </c>
    </row>
    <row r="39" spans="1:14" x14ac:dyDescent="0.45">
      <c r="A39" s="72"/>
      <c r="B39" s="80">
        <f>B38-B10</f>
        <v>0</v>
      </c>
      <c r="C39" s="80">
        <f>C38-C10</f>
        <v>0</v>
      </c>
      <c r="D39" s="76"/>
      <c r="E39" s="130">
        <f>E38-B5</f>
        <v>0</v>
      </c>
      <c r="F39" s="74">
        <f>F38-B18</f>
        <v>0</v>
      </c>
      <c r="G39" s="74">
        <f>G38-B19-B20</f>
        <v>0</v>
      </c>
      <c r="H39" s="74">
        <f>H38-B21</f>
        <v>0</v>
      </c>
      <c r="I39" s="74">
        <f>I38-B22</f>
        <v>0</v>
      </c>
      <c r="J39" s="74"/>
      <c r="K39" s="74">
        <f>K38-B24</f>
        <v>0</v>
      </c>
      <c r="L39" s="74">
        <f>L38-B25</f>
        <v>0</v>
      </c>
      <c r="M39" s="74">
        <f>B29-M38</f>
        <v>0</v>
      </c>
      <c r="N39" s="74">
        <f>N38-B27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A3ED-F61C-492F-8A0F-98B25D108E29}">
  <dimension ref="B1:I27"/>
  <sheetViews>
    <sheetView workbookViewId="0">
      <selection activeCell="C1" sqref="C1"/>
    </sheetView>
  </sheetViews>
  <sheetFormatPr defaultColWidth="9" defaultRowHeight="11.65" x14ac:dyDescent="0.35"/>
  <cols>
    <col min="1" max="1" width="9" style="7"/>
    <col min="2" max="2" width="18.46484375" style="7" customWidth="1"/>
    <col min="3" max="3" width="17.1328125" style="7" bestFit="1" customWidth="1"/>
    <col min="4" max="4" width="14.1328125" style="7" customWidth="1"/>
    <col min="5" max="5" width="12.53125" style="7" customWidth="1"/>
    <col min="6" max="6" width="12.796875" style="7" customWidth="1"/>
    <col min="7" max="16384" width="9" style="7"/>
  </cols>
  <sheetData>
    <row r="1" spans="2:9" x14ac:dyDescent="0.35">
      <c r="B1" s="50" t="s">
        <v>83</v>
      </c>
      <c r="C1" s="45" t="s">
        <v>84</v>
      </c>
      <c r="D1" s="45" t="s">
        <v>85</v>
      </c>
      <c r="E1" s="45" t="s">
        <v>86</v>
      </c>
      <c r="F1" s="45" t="s">
        <v>87</v>
      </c>
      <c r="I1" s="22" t="s">
        <v>88</v>
      </c>
    </row>
    <row r="2" spans="2:9" x14ac:dyDescent="0.35">
      <c r="B2" s="47"/>
      <c r="C2" s="47"/>
      <c r="D2" s="47"/>
      <c r="E2" s="47"/>
      <c r="F2" s="47"/>
      <c r="I2" s="23" t="s">
        <v>89</v>
      </c>
    </row>
    <row r="3" spans="2:9" x14ac:dyDescent="0.35">
      <c r="I3" s="24" t="s">
        <v>90</v>
      </c>
    </row>
    <row r="4" spans="2:9" x14ac:dyDescent="0.35">
      <c r="C4" s="46" t="s">
        <v>91</v>
      </c>
      <c r="E4" s="47"/>
    </row>
    <row r="5" spans="2:9" x14ac:dyDescent="0.35">
      <c r="C5" s="46" t="s">
        <v>54</v>
      </c>
      <c r="E5" s="49" t="s">
        <v>92</v>
      </c>
    </row>
    <row r="7" spans="2:9" x14ac:dyDescent="0.35">
      <c r="C7" s="46" t="s">
        <v>93</v>
      </c>
      <c r="D7" s="7" t="str">
        <f>$E$5&amp;"/kg"</f>
        <v>₹/kg</v>
      </c>
      <c r="E7" s="44"/>
    </row>
    <row r="9" spans="2:9" x14ac:dyDescent="0.35">
      <c r="C9" s="46" t="s">
        <v>94</v>
      </c>
      <c r="D9" s="7" t="s">
        <v>95</v>
      </c>
      <c r="E9" s="43"/>
    </row>
    <row r="11" spans="2:9" x14ac:dyDescent="0.35">
      <c r="B11" s="230" t="s">
        <v>96</v>
      </c>
      <c r="C11" s="46" t="s">
        <v>97</v>
      </c>
      <c r="D11" s="7" t="str">
        <f t="shared" ref="D11:D13" si="0">$E$5&amp;"/kg"</f>
        <v>₹/kg</v>
      </c>
      <c r="E11" s="54">
        <f>material!D53</f>
        <v>2085.3308517320561</v>
      </c>
      <c r="F11" s="43"/>
    </row>
    <row r="12" spans="2:9" x14ac:dyDescent="0.35">
      <c r="B12" s="230"/>
      <c r="C12" s="46" t="s">
        <v>98</v>
      </c>
      <c r="D12" s="7" t="str">
        <f t="shared" si="0"/>
        <v>₹/kg</v>
      </c>
      <c r="E12" s="54">
        <f>conversion!D87</f>
        <v>738.03060237375166</v>
      </c>
      <c r="F12" s="43"/>
    </row>
    <row r="13" spans="2:9" x14ac:dyDescent="0.35">
      <c r="B13" s="230"/>
      <c r="C13" s="46" t="s">
        <v>99</v>
      </c>
      <c r="D13" s="7" t="str">
        <f t="shared" si="0"/>
        <v>₹/kg</v>
      </c>
      <c r="E13" s="54"/>
      <c r="F13" s="43"/>
    </row>
    <row r="14" spans="2:9" x14ac:dyDescent="0.35">
      <c r="E14" s="56"/>
    </row>
    <row r="15" spans="2:9" x14ac:dyDescent="0.35">
      <c r="E15" s="56"/>
    </row>
    <row r="16" spans="2:9" x14ac:dyDescent="0.35">
      <c r="B16" s="231" t="s">
        <v>100</v>
      </c>
      <c r="C16" s="46" t="s">
        <v>77</v>
      </c>
      <c r="D16" s="7" t="str">
        <f t="shared" ref="D16:D27" si="1">$E$5&amp;"/kg"</f>
        <v>₹/kg</v>
      </c>
      <c r="E16" s="54"/>
      <c r="F16" s="43"/>
    </row>
    <row r="17" spans="2:6" x14ac:dyDescent="0.35">
      <c r="B17" s="232"/>
      <c r="C17" s="46" t="s">
        <v>71</v>
      </c>
      <c r="D17" s="7" t="str">
        <f t="shared" si="1"/>
        <v>₹/kg</v>
      </c>
      <c r="E17" s="54">
        <f>conversion!D81</f>
        <v>84.941111111111127</v>
      </c>
      <c r="F17" s="43"/>
    </row>
    <row r="18" spans="2:6" x14ac:dyDescent="0.35">
      <c r="B18" s="232"/>
      <c r="C18" s="46" t="s">
        <v>72</v>
      </c>
      <c r="D18" s="7" t="str">
        <f t="shared" si="1"/>
        <v>₹/kg</v>
      </c>
      <c r="E18" s="54"/>
      <c r="F18" s="43"/>
    </row>
    <row r="19" spans="2:6" x14ac:dyDescent="0.35">
      <c r="B19" s="232"/>
      <c r="C19" s="46" t="s">
        <v>69</v>
      </c>
      <c r="D19" s="7" t="str">
        <f t="shared" si="1"/>
        <v>₹/kg</v>
      </c>
      <c r="E19" s="54">
        <f>conversion!D49</f>
        <v>163.70879042913049</v>
      </c>
      <c r="F19" s="43"/>
    </row>
    <row r="20" spans="2:6" x14ac:dyDescent="0.35">
      <c r="B20" s="233"/>
      <c r="C20" s="46" t="s">
        <v>60</v>
      </c>
      <c r="D20" s="7" t="str">
        <f t="shared" si="1"/>
        <v>₹/kg</v>
      </c>
      <c r="E20" s="54"/>
      <c r="F20" s="43"/>
    </row>
    <row r="21" spans="2:6" x14ac:dyDescent="0.35">
      <c r="E21" s="56"/>
    </row>
    <row r="22" spans="2:6" x14ac:dyDescent="0.35">
      <c r="B22" s="230" t="s">
        <v>101</v>
      </c>
      <c r="C22" s="46" t="s">
        <v>102</v>
      </c>
      <c r="D22" s="7" t="str">
        <f t="shared" si="1"/>
        <v>₹/kg</v>
      </c>
      <c r="E22" s="54">
        <f>E11-E23</f>
        <v>2053.9</v>
      </c>
      <c r="F22" s="43"/>
    </row>
    <row r="23" spans="2:6" x14ac:dyDescent="0.35">
      <c r="B23" s="230"/>
      <c r="C23" s="46" t="s">
        <v>103</v>
      </c>
      <c r="D23" s="7" t="str">
        <f t="shared" si="1"/>
        <v>₹/kg</v>
      </c>
      <c r="E23" s="54">
        <f>material!D48</f>
        <v>31.430851732056222</v>
      </c>
      <c r="F23" s="43"/>
    </row>
    <row r="24" spans="2:6" x14ac:dyDescent="0.35">
      <c r="B24" s="227" t="s">
        <v>104</v>
      </c>
      <c r="C24" s="48" t="s">
        <v>65</v>
      </c>
      <c r="D24" s="7" t="str">
        <f t="shared" si="1"/>
        <v>₹/kg</v>
      </c>
      <c r="E24" s="54">
        <f>material!D9</f>
        <v>866.4</v>
      </c>
    </row>
    <row r="25" spans="2:6" x14ac:dyDescent="0.35">
      <c r="B25" s="228"/>
      <c r="C25" s="48" t="s">
        <v>66</v>
      </c>
      <c r="D25" s="7" t="str">
        <f t="shared" si="1"/>
        <v>₹/kg</v>
      </c>
      <c r="E25" s="54">
        <f>material!D13</f>
        <v>171</v>
      </c>
    </row>
    <row r="26" spans="2:6" x14ac:dyDescent="0.35">
      <c r="B26" s="228"/>
      <c r="C26" s="48" t="s">
        <v>67</v>
      </c>
      <c r="D26" s="7" t="str">
        <f t="shared" si="1"/>
        <v>₹/kg</v>
      </c>
      <c r="E26" s="54">
        <f>material!D17</f>
        <v>0</v>
      </c>
    </row>
    <row r="27" spans="2:6" x14ac:dyDescent="0.35">
      <c r="B27" s="229"/>
      <c r="C27" s="48" t="s">
        <v>105</v>
      </c>
      <c r="D27" s="7" t="str">
        <f t="shared" si="1"/>
        <v>₹/kg</v>
      </c>
      <c r="E27" s="43"/>
    </row>
  </sheetData>
  <mergeCells count="4">
    <mergeCell ref="B24:B27"/>
    <mergeCell ref="B11:B13"/>
    <mergeCell ref="B22:B23"/>
    <mergeCell ref="B16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18FB-E9C8-4F9C-9069-DB54F80D3839}">
  <dimension ref="A1:F110"/>
  <sheetViews>
    <sheetView showGridLines="0" workbookViewId="0">
      <selection activeCell="C72" sqref="C72"/>
    </sheetView>
  </sheetViews>
  <sheetFormatPr defaultColWidth="9.1328125" defaultRowHeight="11.65" x14ac:dyDescent="0.35"/>
  <cols>
    <col min="1" max="1" width="19.46484375" style="7" customWidth="1"/>
    <col min="2" max="2" width="23.53125" style="26" customWidth="1"/>
    <col min="3" max="3" width="13.796875" style="51" customWidth="1"/>
    <col min="4" max="4" width="11.86328125" style="7" customWidth="1"/>
    <col min="5" max="5" width="4" style="7" customWidth="1"/>
    <col min="6" max="6" width="18.19921875" style="7" customWidth="1"/>
    <col min="7" max="7" width="9.1328125" style="7"/>
    <col min="8" max="8" width="14.1328125" style="7" customWidth="1"/>
    <col min="9" max="16384" width="9.1328125" style="7"/>
  </cols>
  <sheetData>
    <row r="1" spans="1:6" x14ac:dyDescent="0.35">
      <c r="D1" s="7" t="s">
        <v>494</v>
      </c>
    </row>
    <row r="2" spans="1:6" x14ac:dyDescent="0.35">
      <c r="A2" s="7" t="s">
        <v>106</v>
      </c>
      <c r="C2" s="51" t="s">
        <v>107</v>
      </c>
    </row>
    <row r="3" spans="1:6" x14ac:dyDescent="0.35">
      <c r="A3" s="7" t="s">
        <v>111</v>
      </c>
      <c r="C3" s="134" t="s">
        <v>498</v>
      </c>
    </row>
    <row r="4" spans="1:6" x14ac:dyDescent="0.35">
      <c r="A4" s="7" t="s">
        <v>91</v>
      </c>
      <c r="C4" s="51" t="s">
        <v>108</v>
      </c>
      <c r="D4" s="208" t="s">
        <v>117</v>
      </c>
    </row>
    <row r="5" spans="1:6" x14ac:dyDescent="0.35">
      <c r="A5" s="7" t="s">
        <v>506</v>
      </c>
      <c r="C5" s="196" t="str">
        <f>VLOOKUP($C$4,_xlnm.Database,MATCH($A5,Database!$A$3:$P$3,0),0)</f>
        <v>INR</v>
      </c>
    </row>
    <row r="6" spans="1:6" x14ac:dyDescent="0.35">
      <c r="A6" s="7" t="s">
        <v>109</v>
      </c>
      <c r="C6" s="51" t="s">
        <v>556</v>
      </c>
    </row>
    <row r="7" spans="1:6" x14ac:dyDescent="0.35">
      <c r="A7" s="7" t="s">
        <v>110</v>
      </c>
      <c r="C7" s="135" t="s">
        <v>451</v>
      </c>
    </row>
    <row r="8" spans="1:6" x14ac:dyDescent="0.35">
      <c r="A8" s="7" t="s">
        <v>94</v>
      </c>
      <c r="B8" s="26" t="s">
        <v>446</v>
      </c>
      <c r="C8" s="58">
        <v>62975559</v>
      </c>
    </row>
    <row r="12" spans="1:6" x14ac:dyDescent="0.35">
      <c r="A12" s="22" t="s">
        <v>112</v>
      </c>
      <c r="F12" s="25"/>
    </row>
    <row r="13" spans="1:6" x14ac:dyDescent="0.35">
      <c r="A13" s="7" t="s">
        <v>113</v>
      </c>
      <c r="B13" s="26" t="s">
        <v>114</v>
      </c>
      <c r="C13" s="197">
        <v>19</v>
      </c>
    </row>
    <row r="14" spans="1:6" x14ac:dyDescent="0.35">
      <c r="A14" s="7" t="s">
        <v>115</v>
      </c>
      <c r="B14" s="26" t="s">
        <v>26</v>
      </c>
      <c r="C14" s="200">
        <v>0.48</v>
      </c>
    </row>
    <row r="15" spans="1:6" x14ac:dyDescent="0.35">
      <c r="A15" s="7" t="s">
        <v>116</v>
      </c>
      <c r="C15" s="51" t="s">
        <v>118</v>
      </c>
      <c r="D15" s="208" t="s">
        <v>117</v>
      </c>
    </row>
    <row r="16" spans="1:6" x14ac:dyDescent="0.35">
      <c r="A16" s="7" t="s">
        <v>119</v>
      </c>
      <c r="C16" s="199" t="s">
        <v>120</v>
      </c>
    </row>
    <row r="17" spans="1:6" x14ac:dyDescent="0.35">
      <c r="A17" s="7" t="s">
        <v>121</v>
      </c>
      <c r="B17" s="26" t="str">
        <f>$C$5&amp;"/kg"</f>
        <v>INR/kg</v>
      </c>
      <c r="C17" s="197">
        <v>95</v>
      </c>
    </row>
    <row r="18" spans="1:6" x14ac:dyDescent="0.35">
      <c r="A18" s="7" t="s">
        <v>122</v>
      </c>
      <c r="B18" s="26" t="s">
        <v>26</v>
      </c>
      <c r="C18" s="198">
        <v>0.02</v>
      </c>
    </row>
    <row r="19" spans="1:6" x14ac:dyDescent="0.35">
      <c r="A19" s="7" t="s">
        <v>123</v>
      </c>
      <c r="B19" s="26" t="str">
        <f>$C$5&amp;"/kg"</f>
        <v>INR/kg</v>
      </c>
      <c r="C19" s="205">
        <f>IF(D19=0,VLOOKUP($C$4,_xlnm.Database,MATCH($A19,Database!$A$3:$V$3,0),0),D19)</f>
        <v>450</v>
      </c>
      <c r="D19" s="217"/>
      <c r="E19" s="208" t="s">
        <v>557</v>
      </c>
    </row>
    <row r="20" spans="1:6" x14ac:dyDescent="0.35">
      <c r="A20" s="7" t="s">
        <v>124</v>
      </c>
      <c r="B20" s="26" t="s">
        <v>26</v>
      </c>
      <c r="C20" s="209">
        <v>0</v>
      </c>
    </row>
    <row r="21" spans="1:6" x14ac:dyDescent="0.35">
      <c r="A21" s="7" t="s">
        <v>125</v>
      </c>
      <c r="C21" s="205">
        <v>0</v>
      </c>
      <c r="D21" s="217"/>
      <c r="E21" s="208" t="s">
        <v>557</v>
      </c>
    </row>
    <row r="23" spans="1:6" x14ac:dyDescent="0.35">
      <c r="A23" s="7" t="s">
        <v>126</v>
      </c>
      <c r="B23" s="26" t="s">
        <v>26</v>
      </c>
      <c r="C23" s="198">
        <v>0.5</v>
      </c>
    </row>
    <row r="24" spans="1:6" x14ac:dyDescent="0.35">
      <c r="A24" s="7" t="s">
        <v>127</v>
      </c>
      <c r="B24" s="26" t="s">
        <v>26</v>
      </c>
      <c r="C24" s="198"/>
    </row>
    <row r="25" spans="1:6" x14ac:dyDescent="0.35">
      <c r="A25" s="7" t="s">
        <v>128</v>
      </c>
      <c r="B25" s="137"/>
      <c r="C25" s="51" t="s">
        <v>432</v>
      </c>
      <c r="D25" s="208" t="s">
        <v>117</v>
      </c>
      <c r="F25" s="25"/>
    </row>
    <row r="26" spans="1:6" x14ac:dyDescent="0.35">
      <c r="A26" s="7" t="s">
        <v>129</v>
      </c>
      <c r="C26" s="199"/>
    </row>
    <row r="27" spans="1:6" x14ac:dyDescent="0.35">
      <c r="A27" s="7" t="s">
        <v>130</v>
      </c>
      <c r="B27" s="26" t="str">
        <f>$C$5&amp;"/kg"</f>
        <v>INR/kg</v>
      </c>
      <c r="C27" s="210">
        <v>107</v>
      </c>
    </row>
    <row r="28" spans="1:6" x14ac:dyDescent="0.35">
      <c r="A28" s="7" t="s">
        <v>131</v>
      </c>
      <c r="B28" s="26" t="s">
        <v>26</v>
      </c>
      <c r="C28" s="198">
        <v>0</v>
      </c>
    </row>
    <row r="29" spans="1:6" x14ac:dyDescent="0.35">
      <c r="A29" s="7" t="s">
        <v>132</v>
      </c>
      <c r="B29" s="26" t="str">
        <f>$C$5&amp;"/kg"</f>
        <v>INR/kg</v>
      </c>
      <c r="C29" s="216">
        <v>0</v>
      </c>
      <c r="D29" s="217"/>
      <c r="E29" s="208" t="s">
        <v>557</v>
      </c>
    </row>
    <row r="30" spans="1:6" x14ac:dyDescent="0.35">
      <c r="A30" s="7" t="s">
        <v>133</v>
      </c>
      <c r="B30" s="26" t="s">
        <v>26</v>
      </c>
      <c r="C30" s="198">
        <v>0</v>
      </c>
    </row>
    <row r="31" spans="1:6" x14ac:dyDescent="0.35">
      <c r="A31" s="7" t="s">
        <v>134</v>
      </c>
      <c r="C31" s="216">
        <v>0</v>
      </c>
      <c r="D31" s="217"/>
      <c r="E31" s="208" t="s">
        <v>557</v>
      </c>
    </row>
    <row r="33" spans="1:6" x14ac:dyDescent="0.35">
      <c r="A33" s="7" t="s">
        <v>135</v>
      </c>
      <c r="B33" s="26" t="s">
        <v>26</v>
      </c>
      <c r="C33" s="198">
        <v>0</v>
      </c>
    </row>
    <row r="34" spans="1:6" x14ac:dyDescent="0.35">
      <c r="A34" s="7" t="s">
        <v>136</v>
      </c>
      <c r="C34" s="51" t="s">
        <v>118</v>
      </c>
      <c r="D34" s="208" t="s">
        <v>117</v>
      </c>
    </row>
    <row r="35" spans="1:6" x14ac:dyDescent="0.35">
      <c r="A35" s="7" t="s">
        <v>137</v>
      </c>
      <c r="C35" s="199"/>
      <c r="F35" s="25"/>
    </row>
    <row r="36" spans="1:6" x14ac:dyDescent="0.35">
      <c r="A36" s="7" t="s">
        <v>138</v>
      </c>
      <c r="C36" s="218">
        <v>0</v>
      </c>
      <c r="F36" s="25"/>
    </row>
    <row r="37" spans="1:6" x14ac:dyDescent="0.35">
      <c r="A37" s="7" t="s">
        <v>139</v>
      </c>
      <c r="B37" s="26" t="s">
        <v>26</v>
      </c>
      <c r="C37" s="198">
        <v>0</v>
      </c>
    </row>
    <row r="38" spans="1:6" x14ac:dyDescent="0.35">
      <c r="A38" s="7" t="s">
        <v>140</v>
      </c>
      <c r="C38" s="216">
        <v>0</v>
      </c>
      <c r="D38" s="217"/>
      <c r="E38" s="208" t="s">
        <v>557</v>
      </c>
    </row>
    <row r="39" spans="1:6" x14ac:dyDescent="0.35">
      <c r="A39" s="7" t="s">
        <v>141</v>
      </c>
      <c r="B39" s="26" t="s">
        <v>26</v>
      </c>
      <c r="C39" s="198">
        <v>0</v>
      </c>
    </row>
    <row r="40" spans="1:6" x14ac:dyDescent="0.35">
      <c r="A40" s="7" t="s">
        <v>142</v>
      </c>
      <c r="C40" s="216">
        <v>0</v>
      </c>
      <c r="D40" s="217"/>
      <c r="E40" s="208" t="s">
        <v>557</v>
      </c>
    </row>
    <row r="42" spans="1:6" x14ac:dyDescent="0.35">
      <c r="A42" s="7" t="s">
        <v>143</v>
      </c>
      <c r="B42" s="26" t="s">
        <v>26</v>
      </c>
      <c r="C42" s="220">
        <v>0</v>
      </c>
    </row>
    <row r="44" spans="1:6" x14ac:dyDescent="0.35">
      <c r="A44" s="22" t="s">
        <v>144</v>
      </c>
    </row>
    <row r="45" spans="1:6" x14ac:dyDescent="0.35">
      <c r="A45" s="7" t="s">
        <v>145</v>
      </c>
      <c r="B45" s="26" t="s">
        <v>146</v>
      </c>
      <c r="C45" s="58">
        <v>12</v>
      </c>
    </row>
    <row r="46" spans="1:6" x14ac:dyDescent="0.35">
      <c r="A46" s="7" t="s">
        <v>147</v>
      </c>
      <c r="B46" s="26" t="s">
        <v>148</v>
      </c>
      <c r="C46" s="51">
        <v>16.3</v>
      </c>
    </row>
    <row r="47" spans="1:6" x14ac:dyDescent="0.35">
      <c r="A47" s="7" t="s">
        <v>149</v>
      </c>
      <c r="C47" s="51" t="s">
        <v>150</v>
      </c>
      <c r="D47" s="208" t="s">
        <v>117</v>
      </c>
    </row>
    <row r="48" spans="1:6" x14ac:dyDescent="0.35">
      <c r="A48" s="7" t="s">
        <v>504</v>
      </c>
      <c r="B48" s="26" t="s">
        <v>146</v>
      </c>
      <c r="C48" s="58">
        <v>6</v>
      </c>
    </row>
    <row r="49" spans="1:5" x14ac:dyDescent="0.35">
      <c r="A49" s="7" t="s">
        <v>505</v>
      </c>
      <c r="B49" s="26" t="s">
        <v>146</v>
      </c>
      <c r="C49" s="58">
        <v>6</v>
      </c>
    </row>
    <row r="51" spans="1:5" x14ac:dyDescent="0.35">
      <c r="A51" s="22" t="s">
        <v>71</v>
      </c>
    </row>
    <row r="52" spans="1:5" x14ac:dyDescent="0.35">
      <c r="A52" s="7" t="s">
        <v>151</v>
      </c>
      <c r="B52" s="26" t="str">
        <f>$C$5&amp;"/kWH"</f>
        <v>INR/kWH</v>
      </c>
      <c r="C52" s="196">
        <f>IF(D52=0,VLOOKUP($C$4,_xlnm.Database,MATCH($A52,Database!$A$3:$P$3,0),0),D52)</f>
        <v>10.72</v>
      </c>
      <c r="D52" s="203"/>
      <c r="E52" s="208" t="s">
        <v>557</v>
      </c>
    </row>
    <row r="54" spans="1:5" x14ac:dyDescent="0.35">
      <c r="A54" s="22" t="s">
        <v>152</v>
      </c>
    </row>
    <row r="55" spans="1:5" x14ac:dyDescent="0.35">
      <c r="A55" s="7" t="s">
        <v>45</v>
      </c>
      <c r="B55" s="26" t="str">
        <f>$C$5&amp;"/year"</f>
        <v>INR/year</v>
      </c>
      <c r="C55" s="205">
        <f>IF(D55=0,VLOOKUP($C$4,_xlnm.Database,MATCH($A55,Database!$A$3:$P$3,0),0),D55)</f>
        <v>541800</v>
      </c>
      <c r="D55" s="203"/>
      <c r="E55" s="208" t="s">
        <v>557</v>
      </c>
    </row>
    <row r="56" spans="1:5" x14ac:dyDescent="0.35">
      <c r="A56" s="7" t="s">
        <v>49</v>
      </c>
      <c r="B56" s="26" t="str">
        <f>$C$5&amp;"/year"</f>
        <v>INR/year</v>
      </c>
      <c r="C56" s="205">
        <f>IF(D56=0,VLOOKUP($C$4,_xlnm.Database,MATCH($A56,Database!$A$3:$P$3,0),0),D56)</f>
        <v>1260000</v>
      </c>
      <c r="D56" s="203"/>
      <c r="E56" s="208" t="s">
        <v>557</v>
      </c>
    </row>
    <row r="57" spans="1:5" x14ac:dyDescent="0.35">
      <c r="A57" s="7" t="s">
        <v>51</v>
      </c>
      <c r="B57" s="26" t="str">
        <f>$C$5&amp;"/year"</f>
        <v>INR/year</v>
      </c>
      <c r="C57" s="205">
        <f>IF(D57=0,VLOOKUP($C$4,_xlnm.Database,MATCH($A57,Database!$A$3:$P$3,0),0),D57)</f>
        <v>1890000</v>
      </c>
      <c r="D57" s="203"/>
      <c r="E57" s="208" t="s">
        <v>557</v>
      </c>
    </row>
    <row r="59" spans="1:5" x14ac:dyDescent="0.35">
      <c r="A59" s="133" t="s">
        <v>72</v>
      </c>
      <c r="B59" s="138"/>
    </row>
    <row r="60" spans="1:5" x14ac:dyDescent="0.35">
      <c r="A60" s="132" t="s">
        <v>153</v>
      </c>
      <c r="B60" s="138" t="s">
        <v>154</v>
      </c>
      <c r="C60" s="136">
        <v>2.5000000000000001E-2</v>
      </c>
    </row>
    <row r="61" spans="1:5" x14ac:dyDescent="0.35">
      <c r="A61" s="132" t="s">
        <v>42</v>
      </c>
      <c r="B61" s="138" t="s">
        <v>154</v>
      </c>
      <c r="C61" s="136">
        <v>2.5000000000000001E-2</v>
      </c>
    </row>
    <row r="62" spans="1:5" x14ac:dyDescent="0.35">
      <c r="A62" s="132"/>
      <c r="B62" s="138"/>
    </row>
    <row r="63" spans="1:5" x14ac:dyDescent="0.35">
      <c r="A63" s="22" t="s">
        <v>69</v>
      </c>
    </row>
    <row r="64" spans="1:5" x14ac:dyDescent="0.35">
      <c r="A64" s="7" t="s">
        <v>564</v>
      </c>
      <c r="B64" s="26" t="s">
        <v>26</v>
      </c>
      <c r="C64" s="206">
        <f>IF(D64=0,VLOOKUP($C$4,_xlnm.Database,MATCH($A64,Database!$A$3:$P$3,0),0),D64)</f>
        <v>0.15</v>
      </c>
      <c r="D64" s="203"/>
      <c r="E64" s="208" t="s">
        <v>557</v>
      </c>
    </row>
    <row r="65" spans="1:5" x14ac:dyDescent="0.35">
      <c r="A65" s="7" t="s">
        <v>25</v>
      </c>
      <c r="B65" s="26" t="s">
        <v>26</v>
      </c>
      <c r="C65" s="206">
        <f>IF(D65=0,VLOOKUP($C$4,_xlnm.Database,MATCH($A65,Database!$A$3:$P$3,0),0),D65)</f>
        <v>0.1</v>
      </c>
      <c r="D65" s="203"/>
      <c r="E65" s="208" t="s">
        <v>557</v>
      </c>
    </row>
    <row r="66" spans="1:5" x14ac:dyDescent="0.35">
      <c r="A66" s="7" t="s">
        <v>155</v>
      </c>
      <c r="B66" s="26" t="s">
        <v>156</v>
      </c>
      <c r="C66" s="58">
        <v>5</v>
      </c>
    </row>
    <row r="68" spans="1:5" x14ac:dyDescent="0.35">
      <c r="A68" s="133" t="s">
        <v>445</v>
      </c>
    </row>
    <row r="69" spans="1:5" x14ac:dyDescent="0.35">
      <c r="A69" s="7" t="s">
        <v>10</v>
      </c>
      <c r="B69" s="26" t="str">
        <f>$C$5&amp;" Per Sq Mtr"</f>
        <v>INR Per Sq Mtr</v>
      </c>
      <c r="C69" s="205">
        <f>IF(D69=0,VLOOKUP($C$4,_xlnm.Database,MATCH($A69,Database!$A$3:$P$3,0),0),D69)</f>
        <v>23519.018667714194</v>
      </c>
      <c r="D69" s="203"/>
      <c r="E69" s="208" t="s">
        <v>557</v>
      </c>
    </row>
    <row r="70" spans="1:5" x14ac:dyDescent="0.35">
      <c r="A70" s="7" t="s">
        <v>15</v>
      </c>
      <c r="B70" s="26" t="str">
        <f t="shared" ref="B70:B71" si="0">$C$5&amp;" Per Sq Mtr"</f>
        <v>INR Per Sq Mtr</v>
      </c>
      <c r="C70" s="205">
        <f>IF(D70=0,VLOOKUP($C$4,_xlnm.Database,MATCH($A70,Database!$A$3:$P$3,0),0),D70)</f>
        <v>7000</v>
      </c>
      <c r="D70" s="203"/>
      <c r="E70" s="208" t="s">
        <v>557</v>
      </c>
    </row>
    <row r="71" spans="1:5" x14ac:dyDescent="0.35">
      <c r="A71" s="7" t="s">
        <v>19</v>
      </c>
      <c r="B71" s="26" t="str">
        <f t="shared" si="0"/>
        <v>INR Per Sq Mtr</v>
      </c>
      <c r="C71" s="205">
        <f>IF(D71=0,VLOOKUP($C$4,_xlnm.Database,MATCH($A71,Database!$A$3:$P$3,0),0),D71)</f>
        <v>2136.331306739994</v>
      </c>
      <c r="D71" s="207"/>
      <c r="E71" s="208" t="s">
        <v>557</v>
      </c>
    </row>
    <row r="72" spans="1:5" x14ac:dyDescent="0.35">
      <c r="A72" s="7" t="s">
        <v>23</v>
      </c>
      <c r="C72" s="58" t="s">
        <v>159</v>
      </c>
      <c r="D72" s="208" t="s">
        <v>117</v>
      </c>
    </row>
    <row r="74" spans="1:5" x14ac:dyDescent="0.35">
      <c r="A74" s="22" t="s">
        <v>6</v>
      </c>
    </row>
    <row r="75" spans="1:5" x14ac:dyDescent="0.35">
      <c r="A75" s="7" t="s">
        <v>31</v>
      </c>
      <c r="B75" s="26" t="s">
        <v>26</v>
      </c>
      <c r="C75" s="206">
        <f>IF(D75=0,VLOOKUP($C$4,_xlnm.Database,MATCH($A75,Database!$A$3:$P$3,0),0),D75)</f>
        <v>0.125</v>
      </c>
      <c r="D75" s="203"/>
      <c r="E75" s="208" t="s">
        <v>557</v>
      </c>
    </row>
    <row r="76" spans="1:5" x14ac:dyDescent="0.35">
      <c r="A76" s="7" t="s">
        <v>34</v>
      </c>
      <c r="B76" s="26" t="s">
        <v>26</v>
      </c>
      <c r="C76" s="206">
        <f>IF(D76=0,VLOOKUP($C$4,_xlnm.Database,MATCH($A76,Database!$A$3:$P$3,0),0),D76)</f>
        <v>0.14000000000000001</v>
      </c>
      <c r="D76" s="203"/>
      <c r="E76" s="208" t="s">
        <v>557</v>
      </c>
    </row>
    <row r="77" spans="1:5" x14ac:dyDescent="0.35">
      <c r="A77" s="7" t="s">
        <v>60</v>
      </c>
      <c r="B77" s="26" t="s">
        <v>26</v>
      </c>
      <c r="C77" s="201">
        <v>0.2</v>
      </c>
    </row>
    <row r="78" spans="1:5" x14ac:dyDescent="0.35">
      <c r="A78" s="7" t="s">
        <v>157</v>
      </c>
      <c r="C78" s="51" t="s">
        <v>158</v>
      </c>
      <c r="D78" s="208" t="s">
        <v>117</v>
      </c>
    </row>
    <row r="80" spans="1:5" x14ac:dyDescent="0.35">
      <c r="A80" s="7" t="s">
        <v>160</v>
      </c>
      <c r="B80" s="26" t="s">
        <v>146</v>
      </c>
      <c r="C80" s="204">
        <v>12</v>
      </c>
    </row>
    <row r="82" spans="1:3" x14ac:dyDescent="0.35">
      <c r="A82" s="42" t="s">
        <v>486</v>
      </c>
    </row>
    <row r="83" spans="1:3" x14ac:dyDescent="0.35">
      <c r="A83" s="7" t="s">
        <v>162</v>
      </c>
      <c r="B83" s="26" t="s">
        <v>146</v>
      </c>
      <c r="C83" s="113">
        <v>360</v>
      </c>
    </row>
    <row r="84" spans="1:3" x14ac:dyDescent="0.35">
      <c r="A84" s="7" t="s">
        <v>163</v>
      </c>
      <c r="B84" s="26" t="s">
        <v>146</v>
      </c>
      <c r="C84" s="113">
        <v>0</v>
      </c>
    </row>
    <row r="85" spans="1:3" x14ac:dyDescent="0.35">
      <c r="A85" s="7" t="s">
        <v>489</v>
      </c>
      <c r="B85" s="26" t="s">
        <v>146</v>
      </c>
      <c r="C85" s="219">
        <v>2000</v>
      </c>
    </row>
    <row r="86" spans="1:3" x14ac:dyDescent="0.35">
      <c r="A86" s="7" t="s">
        <v>490</v>
      </c>
      <c r="B86" s="26" t="s">
        <v>55</v>
      </c>
      <c r="C86" s="113">
        <v>60</v>
      </c>
    </row>
    <row r="87" spans="1:3" x14ac:dyDescent="0.35">
      <c r="A87" s="7" t="s">
        <v>491</v>
      </c>
      <c r="B87" s="26" t="s">
        <v>55</v>
      </c>
      <c r="C87" s="113">
        <v>25</v>
      </c>
    </row>
    <row r="88" spans="1:3" x14ac:dyDescent="0.35">
      <c r="A88" s="7" t="s">
        <v>164</v>
      </c>
      <c r="B88" s="208" t="s">
        <v>117</v>
      </c>
      <c r="C88" s="51" t="s">
        <v>165</v>
      </c>
    </row>
    <row r="89" spans="1:3" x14ac:dyDescent="0.35">
      <c r="A89" s="7" t="s">
        <v>166</v>
      </c>
      <c r="B89" s="208" t="s">
        <v>117</v>
      </c>
      <c r="C89" s="51" t="s">
        <v>167</v>
      </c>
    </row>
    <row r="90" spans="1:3" x14ac:dyDescent="0.35">
      <c r="A90" s="7" t="s">
        <v>447</v>
      </c>
      <c r="C90" s="202">
        <v>8000</v>
      </c>
    </row>
    <row r="94" spans="1:3" x14ac:dyDescent="0.35">
      <c r="A94" s="7" t="s">
        <v>168</v>
      </c>
      <c r="C94" s="114">
        <v>330</v>
      </c>
    </row>
    <row r="95" spans="1:3" x14ac:dyDescent="0.35">
      <c r="A95" s="7" t="s">
        <v>169</v>
      </c>
      <c r="C95" s="113">
        <v>3</v>
      </c>
    </row>
    <row r="96" spans="1:3" x14ac:dyDescent="0.35">
      <c r="A96" s="7" t="s">
        <v>170</v>
      </c>
      <c r="C96" s="113">
        <v>24</v>
      </c>
    </row>
    <row r="97" spans="1:5" x14ac:dyDescent="0.35">
      <c r="A97" s="7" t="s">
        <v>171</v>
      </c>
      <c r="C97" s="115">
        <v>0.8</v>
      </c>
    </row>
    <row r="98" spans="1:5" x14ac:dyDescent="0.35">
      <c r="A98" s="7" t="s">
        <v>172</v>
      </c>
      <c r="C98" s="113">
        <f>C94*C96</f>
        <v>7920</v>
      </c>
    </row>
    <row r="100" spans="1:5" x14ac:dyDescent="0.35">
      <c r="A100" s="22" t="s">
        <v>173</v>
      </c>
    </row>
    <row r="101" spans="1:5" x14ac:dyDescent="0.35">
      <c r="A101" s="7" t="s">
        <v>555</v>
      </c>
      <c r="C101" s="205">
        <f>IF(D101=0,VLOOKUP($C$4,_xlnm.Database,MATCH($A101,Database!$A$3:$P$3,0),0),D101)</f>
        <v>104.27</v>
      </c>
      <c r="D101" s="203"/>
      <c r="E101" s="208" t="s">
        <v>557</v>
      </c>
    </row>
    <row r="102" spans="1:5" x14ac:dyDescent="0.35">
      <c r="A102" s="7" t="s">
        <v>554</v>
      </c>
      <c r="C102" s="205">
        <f>IF(D102=0,VLOOKUP($C$4,_xlnm.Database,MATCH($A102,Database!$A$3:$P$3,0),0),D102)</f>
        <v>87</v>
      </c>
      <c r="D102" s="203"/>
      <c r="E102" s="208" t="s">
        <v>557</v>
      </c>
    </row>
    <row r="104" spans="1:5" x14ac:dyDescent="0.35">
      <c r="A104" s="22" t="s">
        <v>483</v>
      </c>
    </row>
    <row r="105" spans="1:5" x14ac:dyDescent="0.35">
      <c r="A105" s="7" t="s">
        <v>484</v>
      </c>
      <c r="B105" s="26" t="s">
        <v>255</v>
      </c>
      <c r="C105" s="51">
        <v>45</v>
      </c>
    </row>
    <row r="106" spans="1:5" x14ac:dyDescent="0.35">
      <c r="A106" s="7" t="s">
        <v>485</v>
      </c>
      <c r="B106" s="26" t="s">
        <v>255</v>
      </c>
      <c r="C106" s="51">
        <v>7</v>
      </c>
    </row>
    <row r="108" spans="1:5" x14ac:dyDescent="0.35">
      <c r="A108" s="22" t="s">
        <v>189</v>
      </c>
    </row>
    <row r="109" spans="1:5" ht="13.15" x14ac:dyDescent="0.4">
      <c r="A109" s="7" t="s">
        <v>496</v>
      </c>
      <c r="B109" s="99" t="s">
        <v>209</v>
      </c>
      <c r="C109" s="51">
        <v>45</v>
      </c>
    </row>
    <row r="110" spans="1:5" ht="13.15" x14ac:dyDescent="0.4">
      <c r="A110" s="7" t="s">
        <v>497</v>
      </c>
      <c r="B110" s="99" t="s">
        <v>209</v>
      </c>
      <c r="C110" s="51">
        <v>60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C633BD7-9A5A-450B-9CCA-0447A1CC3CBE}">
          <x14:formula1>
            <xm:f>backup!$B$74:$B$79</xm:f>
          </x14:formula1>
          <xm:sqref>C25 C34 C15</xm:sqref>
        </x14:dataValidation>
        <x14:dataValidation type="list" allowBlank="1" showInputMessage="1" showErrorMessage="1" xr:uid="{746C29FF-ED8B-441C-8410-D4F559AF05FA}">
          <x14:formula1>
            <xm:f>backup!$B$95:$B$96</xm:f>
          </x14:formula1>
          <xm:sqref>C88</xm:sqref>
        </x14:dataValidation>
        <x14:dataValidation type="list" allowBlank="1" showInputMessage="1" showErrorMessage="1" xr:uid="{FEB42490-DE94-43FD-A1D8-EE07B6F51640}">
          <x14:formula1>
            <xm:f>backup!$B$87:$B$92</xm:f>
          </x14:formula1>
          <xm:sqref>C89</xm:sqref>
        </x14:dataValidation>
        <x14:dataValidation type="list" allowBlank="1" showInputMessage="1" showErrorMessage="1" xr:uid="{B434EC07-E3DA-476E-BBF6-73275AA4FC93}">
          <x14:formula1>
            <xm:f>backup!$B$82:$B$83</xm:f>
          </x14:formula1>
          <xm:sqref>C78</xm:sqref>
        </x14:dataValidation>
        <x14:dataValidation type="list" allowBlank="1" showInputMessage="1" showErrorMessage="1" xr:uid="{585EBC26-7479-4B83-B710-DC23ECC4F8A2}">
          <x14:formula1>
            <xm:f>backup!$D$43:$D$51</xm:f>
          </x14:formula1>
          <xm:sqref>C47</xm:sqref>
        </x14:dataValidation>
        <x14:dataValidation type="list" allowBlank="1" showInputMessage="1" showErrorMessage="1" xr:uid="{4D19EB1F-BB63-4A60-BB4C-64FAD6748AF3}">
          <x14:formula1>
            <xm:f>backup!$B$105:$B$106</xm:f>
          </x14:formula1>
          <xm:sqref>C72</xm:sqref>
        </x14:dataValidation>
        <x14:dataValidation type="list" allowBlank="1" showInputMessage="1" showErrorMessage="1" xr:uid="{A458B75F-B327-43D8-B8BF-5578F1A9668F}">
          <x14:formula1>
            <xm:f>Database!$A$4:$A$38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52CBE-6D27-4D19-84FD-E2FC2602389A}">
  <dimension ref="A3:D53"/>
  <sheetViews>
    <sheetView topLeftCell="A15" workbookViewId="0">
      <selection activeCell="D24" sqref="D24"/>
    </sheetView>
  </sheetViews>
  <sheetFormatPr defaultRowHeight="14.25" x14ac:dyDescent="0.45"/>
  <cols>
    <col min="1" max="1" width="4.6640625" style="60" customWidth="1"/>
    <col min="2" max="2" width="19.86328125" bestFit="1" customWidth="1"/>
    <col min="3" max="3" width="9.86328125" bestFit="1" customWidth="1"/>
    <col min="4" max="4" width="11.86328125" bestFit="1" customWidth="1"/>
  </cols>
  <sheetData>
    <row r="3" spans="1:4" x14ac:dyDescent="0.45">
      <c r="B3" s="27" t="s">
        <v>111</v>
      </c>
      <c r="C3" s="28" t="s">
        <v>1</v>
      </c>
      <c r="D3" s="39" t="str">
        <f>_xlfn.XLOOKUP(B3,input!A:A,input!C:C)</f>
        <v>xxxxx</v>
      </c>
    </row>
    <row r="4" spans="1:4" x14ac:dyDescent="0.45">
      <c r="B4" s="27" t="s">
        <v>106</v>
      </c>
      <c r="C4" s="28"/>
      <c r="D4" s="112" t="str">
        <f>_xlfn.XLOOKUP(B4,input!A:A,input!C:C)</f>
        <v xml:space="preserve">Comfort 220ml </v>
      </c>
    </row>
    <row r="5" spans="1:4" x14ac:dyDescent="0.45">
      <c r="B5" s="4" t="str">
        <f>input!A13</f>
        <v>Weight</v>
      </c>
      <c r="C5" s="29" t="s">
        <v>114</v>
      </c>
      <c r="D5" s="30">
        <f>_xlfn.XLOOKUP($B5,input!$A:$A,input!C:C)</f>
        <v>19</v>
      </c>
    </row>
    <row r="6" spans="1:4" x14ac:dyDescent="0.45">
      <c r="B6" s="4"/>
      <c r="C6" s="29"/>
      <c r="D6" s="4"/>
    </row>
    <row r="7" spans="1:4" x14ac:dyDescent="0.45">
      <c r="B7" s="4" t="s">
        <v>115</v>
      </c>
      <c r="C7" s="29" t="s">
        <v>26</v>
      </c>
      <c r="D7" s="31">
        <f>_xlfn.XLOOKUP($B7,input!$A:$A,input!C:C)</f>
        <v>0.48</v>
      </c>
    </row>
    <row r="8" spans="1:4" x14ac:dyDescent="0.45">
      <c r="B8" s="4" t="s">
        <v>121</v>
      </c>
      <c r="C8" s="29" t="str">
        <f>input!$C$5&amp;"/kg"</f>
        <v>INR/kg</v>
      </c>
      <c r="D8" s="30">
        <f>_xlfn.XLOOKUP($B8,input!$A:$A,input!C:C)</f>
        <v>95</v>
      </c>
    </row>
    <row r="9" spans="1:4" x14ac:dyDescent="0.45">
      <c r="A9" s="60" t="str">
        <f>summary!$A$13</f>
        <v>Resin</v>
      </c>
      <c r="B9" s="4" t="s">
        <v>174</v>
      </c>
      <c r="C9" s="26" t="str">
        <f>input!$C$5&amp;" / 1000 pcs"</f>
        <v>INR / 1000 pcs</v>
      </c>
      <c r="D9" s="97">
        <f>$D$5*D7*D8</f>
        <v>866.4</v>
      </c>
    </row>
    <row r="10" spans="1:4" x14ac:dyDescent="0.45">
      <c r="B10" s="4"/>
      <c r="C10" s="29"/>
      <c r="D10" s="4"/>
    </row>
    <row r="11" spans="1:4" x14ac:dyDescent="0.45">
      <c r="B11" s="4" t="s">
        <v>122</v>
      </c>
      <c r="C11" s="29" t="s">
        <v>26</v>
      </c>
      <c r="D11" s="31">
        <f>_xlfn.XLOOKUP($B11,input!$A:$A,input!C:C)</f>
        <v>0.02</v>
      </c>
    </row>
    <row r="12" spans="1:4" x14ac:dyDescent="0.45">
      <c r="B12" s="4" t="s">
        <v>123</v>
      </c>
      <c r="C12" s="29" t="str">
        <f>input!$C$5&amp;"/kg"</f>
        <v>INR/kg</v>
      </c>
      <c r="D12" s="30">
        <f>_xlfn.XLOOKUP($B12,input!$A:$A,input!C:C)</f>
        <v>450</v>
      </c>
    </row>
    <row r="13" spans="1:4" x14ac:dyDescent="0.45">
      <c r="A13" s="60" t="str">
        <f>summary!$A$14</f>
        <v>Masterbatch</v>
      </c>
      <c r="B13" s="4" t="s">
        <v>175</v>
      </c>
      <c r="C13" s="26" t="str">
        <f>input!$C$5&amp;" / 1000 pcs"</f>
        <v>INR / 1000 pcs</v>
      </c>
      <c r="D13" s="97">
        <f>$D$5*D11*D12</f>
        <v>171</v>
      </c>
    </row>
    <row r="14" spans="1:4" x14ac:dyDescent="0.45">
      <c r="B14" s="4"/>
      <c r="C14" s="29"/>
      <c r="D14" s="4"/>
    </row>
    <row r="15" spans="1:4" x14ac:dyDescent="0.45">
      <c r="B15" s="4" t="s">
        <v>124</v>
      </c>
      <c r="C15" s="29" t="s">
        <v>26</v>
      </c>
      <c r="D15" s="31">
        <f>_xlfn.XLOOKUP($B15,input!$A:$A,input!C:C)</f>
        <v>0</v>
      </c>
    </row>
    <row r="16" spans="1:4" x14ac:dyDescent="0.45">
      <c r="B16" s="4" t="s">
        <v>125</v>
      </c>
      <c r="C16" s="29" t="str">
        <f>input!$C$5&amp;"/kg"</f>
        <v>INR/kg</v>
      </c>
      <c r="D16" s="30">
        <f>_xlfn.XLOOKUP($B16,input!$A:$A,input!C:C)</f>
        <v>0</v>
      </c>
    </row>
    <row r="17" spans="1:4" x14ac:dyDescent="0.45">
      <c r="A17" s="186" t="str">
        <f>summary!$A$15</f>
        <v>Additives</v>
      </c>
      <c r="B17" s="4" t="s">
        <v>176</v>
      </c>
      <c r="C17" s="26" t="str">
        <f>input!$C$5&amp;" / 1000 pcs"</f>
        <v>INR / 1000 pcs</v>
      </c>
      <c r="D17" s="59">
        <f>D9*D11*D15*D16</f>
        <v>0</v>
      </c>
    </row>
    <row r="18" spans="1:4" x14ac:dyDescent="0.45">
      <c r="B18" s="4"/>
      <c r="C18" s="29"/>
      <c r="D18" s="4"/>
    </row>
    <row r="19" spans="1:4" x14ac:dyDescent="0.45">
      <c r="B19" s="4" t="s">
        <v>126</v>
      </c>
      <c r="C19" s="29" t="s">
        <v>26</v>
      </c>
      <c r="D19" s="31">
        <f>_xlfn.XLOOKUP($B19,input!$A:$A,input!C:C)</f>
        <v>0.5</v>
      </c>
    </row>
    <row r="20" spans="1:4" x14ac:dyDescent="0.45">
      <c r="B20" s="4" t="s">
        <v>130</v>
      </c>
      <c r="C20" s="29" t="str">
        <f>input!$C$5&amp;"/kg"</f>
        <v>INR/kg</v>
      </c>
      <c r="D20" s="30">
        <f>_xlfn.XLOOKUP($B20,input!$A:$A,input!C:C)</f>
        <v>107</v>
      </c>
    </row>
    <row r="21" spans="1:4" x14ac:dyDescent="0.45">
      <c r="A21" s="60" t="str">
        <f>summary!$A$13</f>
        <v>Resin</v>
      </c>
      <c r="B21" s="4" t="s">
        <v>177</v>
      </c>
      <c r="C21" s="26" t="str">
        <f>input!$C$5&amp;" / 1000 pcs"</f>
        <v>INR / 1000 pcs</v>
      </c>
      <c r="D21" s="97">
        <f>$D$5*D19*D20</f>
        <v>1016.5</v>
      </c>
    </row>
    <row r="22" spans="1:4" x14ac:dyDescent="0.45">
      <c r="B22" s="4"/>
      <c r="C22" s="29"/>
      <c r="D22" s="4"/>
    </row>
    <row r="23" spans="1:4" x14ac:dyDescent="0.45">
      <c r="B23" s="4" t="s">
        <v>143</v>
      </c>
      <c r="C23" s="29" t="s">
        <v>26</v>
      </c>
      <c r="D23" s="31">
        <f>_xlfn.XLOOKUP($B23,input!$A:$A,input!C:C)</f>
        <v>0</v>
      </c>
    </row>
    <row r="24" spans="1:4" x14ac:dyDescent="0.45">
      <c r="B24" s="4" t="s">
        <v>178</v>
      </c>
      <c r="C24" s="29" t="str">
        <f>input!$C$5&amp;"/kg"</f>
        <v>INR/kg</v>
      </c>
      <c r="D24" s="30">
        <f>regrind!D54</f>
        <v>139.22687560999751</v>
      </c>
    </row>
    <row r="25" spans="1:4" x14ac:dyDescent="0.45">
      <c r="A25" s="60" t="str">
        <f>summary!$A$13</f>
        <v>Resin</v>
      </c>
      <c r="B25" s="4" t="s">
        <v>179</v>
      </c>
      <c r="C25" s="26" t="str">
        <f>input!$C$5&amp;" / 1000 pcs"</f>
        <v>INR / 1000 pcs</v>
      </c>
      <c r="D25" s="32">
        <f>$D$5*D23*D24*(100%-D27-D31)</f>
        <v>0</v>
      </c>
    </row>
    <row r="26" spans="1:4" x14ac:dyDescent="0.45">
      <c r="B26" s="4"/>
      <c r="C26" s="29"/>
      <c r="D26" s="4"/>
    </row>
    <row r="27" spans="1:4" x14ac:dyDescent="0.45">
      <c r="B27" s="4" t="s">
        <v>131</v>
      </c>
      <c r="C27" s="29" t="s">
        <v>26</v>
      </c>
      <c r="D27" s="31">
        <f>_xlfn.XLOOKUP($B27,input!$A:$A,input!C:C)</f>
        <v>0</v>
      </c>
    </row>
    <row r="28" spans="1:4" x14ac:dyDescent="0.45">
      <c r="B28" s="4" t="s">
        <v>132</v>
      </c>
      <c r="C28" s="29" t="str">
        <f>input!$C$5&amp;"/kg"</f>
        <v>INR/kg</v>
      </c>
      <c r="D28" s="30">
        <f>_xlfn.XLOOKUP($B28,input!$A:$A,input!C:C)</f>
        <v>0</v>
      </c>
    </row>
    <row r="29" spans="1:4" x14ac:dyDescent="0.45">
      <c r="A29" s="60" t="str">
        <f>summary!$A$14</f>
        <v>Masterbatch</v>
      </c>
      <c r="B29" s="4" t="s">
        <v>180</v>
      </c>
      <c r="C29" s="26" t="str">
        <f>input!$C$5&amp;" / 1000 pcs"</f>
        <v>INR / 1000 pcs</v>
      </c>
      <c r="D29" s="32">
        <f>D5*D19*D27*D28</f>
        <v>0</v>
      </c>
    </row>
    <row r="30" spans="1:4" x14ac:dyDescent="0.45">
      <c r="B30" s="4"/>
      <c r="C30" s="29"/>
      <c r="D30" s="4"/>
    </row>
    <row r="31" spans="1:4" x14ac:dyDescent="0.45">
      <c r="B31" s="4" t="s">
        <v>133</v>
      </c>
      <c r="C31" s="29" t="s">
        <v>26</v>
      </c>
      <c r="D31" s="31">
        <f>_xlfn.XLOOKUP($B31,input!$A:$A,input!C:C)</f>
        <v>0</v>
      </c>
    </row>
    <row r="32" spans="1:4" x14ac:dyDescent="0.45">
      <c r="B32" s="4" t="s">
        <v>134</v>
      </c>
      <c r="C32" s="29" t="str">
        <f>input!$C$5&amp;"/kg"</f>
        <v>INR/kg</v>
      </c>
      <c r="D32" s="30">
        <f>_xlfn.XLOOKUP($B32,input!$A:$A,input!C:C)</f>
        <v>0</v>
      </c>
    </row>
    <row r="33" spans="1:4" x14ac:dyDescent="0.45">
      <c r="A33" s="186" t="str">
        <f>summary!$A$15</f>
        <v>Additives</v>
      </c>
      <c r="B33" s="4" t="s">
        <v>181</v>
      </c>
      <c r="C33" s="26" t="str">
        <f>input!$C$5&amp;" / 1000 pcs"</f>
        <v>INR / 1000 pcs</v>
      </c>
      <c r="D33" s="32">
        <f>D5*D19*D31*D32</f>
        <v>0</v>
      </c>
    </row>
    <row r="34" spans="1:4" x14ac:dyDescent="0.45">
      <c r="B34" s="4"/>
      <c r="C34" s="29"/>
      <c r="D34" s="4"/>
    </row>
    <row r="35" spans="1:4" x14ac:dyDescent="0.45">
      <c r="B35" s="4" t="s">
        <v>135</v>
      </c>
      <c r="C35" s="29" t="s">
        <v>26</v>
      </c>
      <c r="D35" s="31">
        <f>_xlfn.XLOOKUP($B35,input!$A:$A,input!C:C)</f>
        <v>0</v>
      </c>
    </row>
    <row r="36" spans="1:4" x14ac:dyDescent="0.45">
      <c r="B36" s="4" t="s">
        <v>138</v>
      </c>
      <c r="C36" s="29" t="str">
        <f>input!$C$5&amp;"/kg"</f>
        <v>INR/kg</v>
      </c>
      <c r="D36" s="30">
        <f>_xlfn.XLOOKUP($B36,input!$A:$A,input!C:C)</f>
        <v>0</v>
      </c>
    </row>
    <row r="37" spans="1:4" x14ac:dyDescent="0.45">
      <c r="A37" s="60" t="str">
        <f>summary!$A$13</f>
        <v>Resin</v>
      </c>
      <c r="B37" s="4" t="s">
        <v>182</v>
      </c>
      <c r="C37" s="26" t="str">
        <f>input!$C$5&amp;" / 1000 pcs"</f>
        <v>INR / 1000 pcs</v>
      </c>
      <c r="D37" s="32">
        <f>D5*D35*D36*(100%-D39-D43)</f>
        <v>0</v>
      </c>
    </row>
    <row r="38" spans="1:4" x14ac:dyDescent="0.45">
      <c r="B38" s="4"/>
      <c r="C38" s="29"/>
      <c r="D38" s="4"/>
    </row>
    <row r="39" spans="1:4" x14ac:dyDescent="0.45">
      <c r="B39" s="4" t="s">
        <v>139</v>
      </c>
      <c r="C39" s="29" t="s">
        <v>26</v>
      </c>
      <c r="D39" s="31">
        <f>_xlfn.XLOOKUP($B39,input!$A:$A,input!C:C)</f>
        <v>0</v>
      </c>
    </row>
    <row r="40" spans="1:4" x14ac:dyDescent="0.45">
      <c r="B40" s="4" t="s">
        <v>140</v>
      </c>
      <c r="C40" s="29" t="str">
        <f>input!$C$5&amp;"/kg"</f>
        <v>INR/kg</v>
      </c>
      <c r="D40" s="30">
        <f>_xlfn.XLOOKUP($B40,input!$A:$A,input!C:C)</f>
        <v>0</v>
      </c>
    </row>
    <row r="41" spans="1:4" x14ac:dyDescent="0.45">
      <c r="A41" s="60" t="str">
        <f>summary!$A$14</f>
        <v>Masterbatch</v>
      </c>
      <c r="B41" s="4" t="s">
        <v>183</v>
      </c>
      <c r="C41" s="26" t="str">
        <f>input!$C$5&amp;" / 1000 pcs"</f>
        <v>INR / 1000 pcs</v>
      </c>
      <c r="D41" s="32">
        <f>D5*D35*D39*D40</f>
        <v>0</v>
      </c>
    </row>
    <row r="42" spans="1:4" x14ac:dyDescent="0.45">
      <c r="B42" s="4"/>
      <c r="C42" s="29"/>
      <c r="D42" s="4"/>
    </row>
    <row r="43" spans="1:4" x14ac:dyDescent="0.45">
      <c r="B43" s="4" t="s">
        <v>141</v>
      </c>
      <c r="C43" s="29" t="s">
        <v>26</v>
      </c>
      <c r="D43" s="31">
        <f>_xlfn.XLOOKUP($B43,input!$A:$A,input!C:C)</f>
        <v>0</v>
      </c>
    </row>
    <row r="44" spans="1:4" x14ac:dyDescent="0.45">
      <c r="B44" s="4" t="s">
        <v>142</v>
      </c>
      <c r="C44" s="29" t="str">
        <f>input!$C$5&amp;"/kg"</f>
        <v>INR/kg</v>
      </c>
      <c r="D44" s="30">
        <f>_xlfn.XLOOKUP($B44,input!$A:$A,input!C:C)</f>
        <v>0</v>
      </c>
    </row>
    <row r="45" spans="1:4" x14ac:dyDescent="0.45">
      <c r="A45" s="186" t="str">
        <f>summary!$A$15</f>
        <v>Additives</v>
      </c>
      <c r="B45" s="4" t="s">
        <v>184</v>
      </c>
      <c r="C45" s="26" t="str">
        <f>input!$C$5&amp;" / 1000 pcs"</f>
        <v>INR / 1000 pcs</v>
      </c>
      <c r="D45" s="32">
        <f>D5*D35*D43*D44</f>
        <v>0</v>
      </c>
    </row>
    <row r="46" spans="1:4" x14ac:dyDescent="0.45">
      <c r="B46" s="4"/>
      <c r="C46" s="29"/>
      <c r="D46" s="4"/>
    </row>
    <row r="47" spans="1:4" x14ac:dyDescent="0.45">
      <c r="B47" s="4" t="s">
        <v>105</v>
      </c>
      <c r="C47" s="29" t="s">
        <v>26</v>
      </c>
      <c r="D47" s="34">
        <f>_xlfn.XLOOKUP(B47,conversion!$B:$B,conversion!$D:$D,0)</f>
        <v>1.5303009753179912E-2</v>
      </c>
    </row>
    <row r="48" spans="1:4" x14ac:dyDescent="0.45">
      <c r="A48" s="60" t="str">
        <f>summary!$A$13</f>
        <v>Resin</v>
      </c>
      <c r="B48" s="4" t="s">
        <v>105</v>
      </c>
      <c r="C48" s="26" t="str">
        <f>input!$C$5&amp;" / 1000 pcs"</f>
        <v>INR / 1000 pcs</v>
      </c>
      <c r="D48" s="30">
        <f>SUMIF($C$7:$C$45,$C48,D$7:D$45)*D$47</f>
        <v>31.430851732056222</v>
      </c>
    </row>
    <row r="49" spans="1:4" x14ac:dyDescent="0.45">
      <c r="B49" s="4"/>
      <c r="C49" s="29"/>
      <c r="D49" s="4"/>
    </row>
    <row r="50" spans="1:4" x14ac:dyDescent="0.45">
      <c r="B50" s="35" t="s">
        <v>185</v>
      </c>
      <c r="C50" s="29"/>
      <c r="D50" s="4"/>
    </row>
    <row r="51" spans="1:4" x14ac:dyDescent="0.45">
      <c r="A51" s="60" t="str">
        <f>summary!$A$13</f>
        <v>Resin</v>
      </c>
      <c r="B51" s="4" t="s">
        <v>186</v>
      </c>
      <c r="C51" s="26" t="str">
        <f>input!$C$5&amp;" / 1000 pcs"</f>
        <v>INR / 1000 pcs</v>
      </c>
      <c r="D51" s="30"/>
    </row>
    <row r="52" spans="1:4" x14ac:dyDescent="0.45">
      <c r="B52" s="4"/>
      <c r="C52" s="29"/>
      <c r="D52" s="4"/>
    </row>
    <row r="53" spans="1:4" x14ac:dyDescent="0.45">
      <c r="B53" s="36" t="s">
        <v>58</v>
      </c>
      <c r="C53" s="26" t="str">
        <f>input!$C$5&amp;" / 1000 pcs"</f>
        <v>INR / 1000 pcs</v>
      </c>
      <c r="D53" s="38">
        <f>SUMIF($C$7:$C$51,$C53,D$7:D$51)</f>
        <v>2085.3308517320561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E92E-F4D0-42F4-B1ED-0C8A8D634A18}">
  <dimension ref="A2:I254"/>
  <sheetViews>
    <sheetView workbookViewId="0"/>
  </sheetViews>
  <sheetFormatPr defaultColWidth="10.1328125" defaultRowHeight="14.25" x14ac:dyDescent="0.45"/>
  <cols>
    <col min="1" max="1" width="24.86328125" style="99" customWidth="1"/>
    <col min="2" max="2" width="12.53125" style="99" bestFit="1" customWidth="1"/>
    <col min="3" max="3" width="11.53125" style="100" bestFit="1" customWidth="1"/>
  </cols>
  <sheetData>
    <row r="2" spans="1:4" x14ac:dyDescent="0.45">
      <c r="A2" s="99" t="s">
        <v>111</v>
      </c>
      <c r="B2" s="100">
        <v>1</v>
      </c>
    </row>
    <row r="3" spans="1:4" x14ac:dyDescent="0.45">
      <c r="A3" s="99" t="s">
        <v>106</v>
      </c>
      <c r="B3" s="100" t="s">
        <v>107</v>
      </c>
    </row>
    <row r="4" spans="1:4" x14ac:dyDescent="0.45">
      <c r="A4" s="99" t="s">
        <v>91</v>
      </c>
      <c r="B4" s="99" t="s">
        <v>108</v>
      </c>
    </row>
    <row r="5" spans="1:4" x14ac:dyDescent="0.45">
      <c r="A5" s="99" t="s">
        <v>54</v>
      </c>
      <c r="B5" s="100" t="s">
        <v>55</v>
      </c>
    </row>
    <row r="6" spans="1:4" x14ac:dyDescent="0.45">
      <c r="A6" s="99" t="s">
        <v>109</v>
      </c>
      <c r="B6" s="100"/>
    </row>
    <row r="7" spans="1:4" x14ac:dyDescent="0.45">
      <c r="A7" s="99" t="s">
        <v>110</v>
      </c>
      <c r="B7" s="100"/>
    </row>
    <row r="8" spans="1:4" x14ac:dyDescent="0.45">
      <c r="A8" s="99" t="s">
        <v>190</v>
      </c>
      <c r="B8" s="109">
        <v>62975559</v>
      </c>
      <c r="D8" s="102"/>
    </row>
    <row r="10" spans="1:4" x14ac:dyDescent="0.45">
      <c r="A10" s="103" t="s">
        <v>58</v>
      </c>
    </row>
    <row r="11" spans="1:4" x14ac:dyDescent="0.45">
      <c r="A11" s="99" t="s">
        <v>65</v>
      </c>
      <c r="B11" s="99" t="str">
        <f>$B$5&amp;" /Kg"</f>
        <v>INR /Kg</v>
      </c>
      <c r="C11" s="109">
        <v>95</v>
      </c>
      <c r="D11" s="104" t="s">
        <v>191</v>
      </c>
    </row>
    <row r="12" spans="1:4" x14ac:dyDescent="0.45">
      <c r="A12" s="99" t="s">
        <v>66</v>
      </c>
      <c r="B12" s="99" t="str">
        <f>$B$5&amp;" /Kg"</f>
        <v>INR /Kg</v>
      </c>
      <c r="C12" s="109">
        <v>450</v>
      </c>
      <c r="D12" s="104"/>
    </row>
    <row r="13" spans="1:4" x14ac:dyDescent="0.45">
      <c r="A13" s="99" t="s">
        <v>67</v>
      </c>
      <c r="B13" s="99" t="str">
        <f>$B$5&amp;" /Kg"</f>
        <v>INR /Kg</v>
      </c>
      <c r="C13" s="109">
        <v>0</v>
      </c>
      <c r="D13" s="104"/>
    </row>
    <row r="14" spans="1:4" x14ac:dyDescent="0.45">
      <c r="D14" s="104"/>
    </row>
    <row r="15" spans="1:4" x14ac:dyDescent="0.45">
      <c r="A15" s="103" t="s">
        <v>71</v>
      </c>
      <c r="D15" s="104"/>
    </row>
    <row r="16" spans="1:4" x14ac:dyDescent="0.45">
      <c r="A16" s="99" t="s">
        <v>37</v>
      </c>
      <c r="B16" s="99" t="str">
        <f>$B$5&amp;" /KWH"</f>
        <v>INR /KWH</v>
      </c>
      <c r="C16" s="109">
        <v>7.5</v>
      </c>
      <c r="D16" s="104"/>
    </row>
    <row r="17" spans="1:9" x14ac:dyDescent="0.45">
      <c r="D17" s="104"/>
    </row>
    <row r="18" spans="1:9" x14ac:dyDescent="0.45">
      <c r="A18" s="103" t="s">
        <v>152</v>
      </c>
      <c r="D18" s="104"/>
    </row>
    <row r="19" spans="1:9" x14ac:dyDescent="0.45">
      <c r="A19" s="99" t="s">
        <v>45</v>
      </c>
      <c r="B19" s="99" t="str">
        <f>$B$5&amp;" /Annum"</f>
        <v>INR /Annum</v>
      </c>
      <c r="C19" s="109">
        <v>460800</v>
      </c>
      <c r="D19" s="104"/>
    </row>
    <row r="20" spans="1:9" x14ac:dyDescent="0.45">
      <c r="A20" s="99" t="s">
        <v>49</v>
      </c>
      <c r="B20" s="99" t="str">
        <f>$B$5&amp;" /Annum"</f>
        <v>INR /Annum</v>
      </c>
      <c r="C20" s="109">
        <v>704000</v>
      </c>
      <c r="D20" s="104"/>
    </row>
    <row r="21" spans="1:9" x14ac:dyDescent="0.45">
      <c r="A21" s="99" t="s">
        <v>51</v>
      </c>
      <c r="B21" s="99" t="str">
        <f>$B$5&amp;" /Annum"</f>
        <v>INR /Annum</v>
      </c>
      <c r="C21" s="109">
        <v>2304000</v>
      </c>
      <c r="D21" s="104"/>
    </row>
    <row r="22" spans="1:9" x14ac:dyDescent="0.45">
      <c r="A22" s="99" t="s">
        <v>53</v>
      </c>
      <c r="C22" s="109">
        <v>3</v>
      </c>
      <c r="D22" s="104"/>
    </row>
    <row r="23" spans="1:9" x14ac:dyDescent="0.45">
      <c r="C23" s="101"/>
      <c r="D23" s="104"/>
    </row>
    <row r="24" spans="1:9" x14ac:dyDescent="0.45">
      <c r="A24" s="103" t="s">
        <v>72</v>
      </c>
      <c r="D24" s="104"/>
    </row>
    <row r="25" spans="1:9" x14ac:dyDescent="0.45">
      <c r="A25" s="99" t="s">
        <v>78</v>
      </c>
      <c r="B25" s="99" t="s">
        <v>154</v>
      </c>
      <c r="C25" s="105">
        <v>0.02</v>
      </c>
      <c r="D25" s="104"/>
    </row>
    <row r="26" spans="1:9" x14ac:dyDescent="0.45">
      <c r="A26" s="99" t="s">
        <v>42</v>
      </c>
      <c r="B26" s="99" t="s">
        <v>154</v>
      </c>
      <c r="C26" s="105">
        <v>0.02</v>
      </c>
      <c r="D26" s="104"/>
    </row>
    <row r="27" spans="1:9" x14ac:dyDescent="0.45">
      <c r="A27" s="99" t="s">
        <v>69</v>
      </c>
      <c r="B27" s="99" t="s">
        <v>26</v>
      </c>
      <c r="C27" s="105">
        <v>0.15</v>
      </c>
      <c r="D27" s="106" t="s">
        <v>192</v>
      </c>
      <c r="I27" s="107"/>
    </row>
    <row r="28" spans="1:9" x14ac:dyDescent="0.45">
      <c r="A28" s="99" t="s">
        <v>193</v>
      </c>
      <c r="B28" s="99" t="s">
        <v>156</v>
      </c>
      <c r="C28" s="101">
        <v>5</v>
      </c>
      <c r="D28" s="104"/>
    </row>
    <row r="29" spans="1:9" x14ac:dyDescent="0.45">
      <c r="A29" s="99" t="s">
        <v>25</v>
      </c>
      <c r="B29" s="99" t="s">
        <v>26</v>
      </c>
      <c r="C29" s="105">
        <v>0.1</v>
      </c>
      <c r="D29" s="104"/>
    </row>
    <row r="30" spans="1:9" x14ac:dyDescent="0.45">
      <c r="D30" s="104"/>
    </row>
    <row r="31" spans="1:9" x14ac:dyDescent="0.45">
      <c r="A31" s="99" t="s">
        <v>10</v>
      </c>
      <c r="B31" s="99" t="str">
        <f>$B$5&amp;" /SQM"</f>
        <v>INR /SQM</v>
      </c>
      <c r="C31" s="109">
        <v>14833.58</v>
      </c>
      <c r="D31" s="104"/>
    </row>
    <row r="32" spans="1:9" x14ac:dyDescent="0.45">
      <c r="A32" s="99" t="s">
        <v>15</v>
      </c>
      <c r="B32" s="99" t="str">
        <f>$B$5&amp;" /SQM"</f>
        <v>INR /SQM</v>
      </c>
      <c r="C32" s="109">
        <v>36681.160000000003</v>
      </c>
      <c r="D32" s="104" t="s">
        <v>194</v>
      </c>
    </row>
    <row r="33" spans="1:4" x14ac:dyDescent="0.45">
      <c r="A33" s="99" t="s">
        <v>19</v>
      </c>
      <c r="B33" s="99" t="str">
        <f>$B$5&amp;" /SQM"</f>
        <v>INR /SQM</v>
      </c>
      <c r="C33" s="109">
        <v>1560.6</v>
      </c>
    </row>
    <row r="34" spans="1:4" x14ac:dyDescent="0.45">
      <c r="A34" s="99" t="s">
        <v>23</v>
      </c>
      <c r="C34" s="100" t="s">
        <v>159</v>
      </c>
    </row>
    <row r="35" spans="1:4" x14ac:dyDescent="0.45">
      <c r="C35" s="105"/>
      <c r="D35" s="104"/>
    </row>
    <row r="36" spans="1:4" x14ac:dyDescent="0.45">
      <c r="A36" s="103" t="s">
        <v>6</v>
      </c>
      <c r="D36" s="104"/>
    </row>
    <row r="37" spans="1:4" x14ac:dyDescent="0.45">
      <c r="A37" s="99" t="s">
        <v>31</v>
      </c>
      <c r="B37" s="99" t="s">
        <v>26</v>
      </c>
      <c r="C37" s="111">
        <v>0.1075</v>
      </c>
      <c r="D37" s="104"/>
    </row>
    <row r="38" spans="1:4" x14ac:dyDescent="0.45">
      <c r="A38" s="99" t="s">
        <v>34</v>
      </c>
      <c r="B38" s="99" t="s">
        <v>26</v>
      </c>
      <c r="C38" s="111">
        <v>9.2499999999999999E-2</v>
      </c>
      <c r="D38" s="104"/>
    </row>
    <row r="39" spans="1:4" x14ac:dyDescent="0.45">
      <c r="A39" s="99" t="s">
        <v>60</v>
      </c>
      <c r="B39" s="99" t="s">
        <v>26</v>
      </c>
      <c r="C39" s="111">
        <v>0.2</v>
      </c>
      <c r="D39" s="104"/>
    </row>
    <row r="40" spans="1:4" x14ac:dyDescent="0.45">
      <c r="A40" s="99" t="s">
        <v>195</v>
      </c>
      <c r="B40" s="99" t="s">
        <v>26</v>
      </c>
      <c r="C40" s="105"/>
      <c r="D40" s="104"/>
    </row>
    <row r="42" spans="1:4" x14ac:dyDescent="0.45">
      <c r="A42" s="103" t="s">
        <v>161</v>
      </c>
    </row>
    <row r="43" spans="1:4" x14ac:dyDescent="0.45">
      <c r="A43" s="99" t="s">
        <v>196</v>
      </c>
      <c r="B43" s="99" t="str">
        <f>$B$5</f>
        <v>INR</v>
      </c>
      <c r="C43" s="101"/>
    </row>
    <row r="44" spans="1:4" x14ac:dyDescent="0.45">
      <c r="A44" s="99" t="s">
        <v>197</v>
      </c>
      <c r="B44" s="99" t="s">
        <v>198</v>
      </c>
    </row>
    <row r="45" spans="1:4" x14ac:dyDescent="0.45">
      <c r="A45" s="99" t="s">
        <v>199</v>
      </c>
      <c r="B45" s="99" t="str">
        <f>$B$5&amp;" /Kg"</f>
        <v>INR /Kg</v>
      </c>
      <c r="C45" s="100" t="e">
        <f>C43/C44</f>
        <v>#DIV/0!</v>
      </c>
    </row>
    <row r="47" spans="1:4" x14ac:dyDescent="0.45">
      <c r="A47" s="103" t="s">
        <v>200</v>
      </c>
    </row>
    <row r="48" spans="1:4" x14ac:dyDescent="0.45">
      <c r="A48" s="99" t="s">
        <v>201</v>
      </c>
      <c r="C48" s="100" t="s">
        <v>202</v>
      </c>
    </row>
    <row r="49" spans="1:3" x14ac:dyDescent="0.45">
      <c r="A49" s="99" t="s">
        <v>203</v>
      </c>
      <c r="B49" s="99" t="s">
        <v>198</v>
      </c>
      <c r="C49" s="101"/>
    </row>
    <row r="50" spans="1:3" x14ac:dyDescent="0.45">
      <c r="A50" s="99" t="s">
        <v>204</v>
      </c>
      <c r="B50" s="99" t="str">
        <f>$B$5&amp;"/ Container"</f>
        <v>INR/ Container</v>
      </c>
      <c r="C50" s="101">
        <v>8000</v>
      </c>
    </row>
    <row r="51" spans="1:3" x14ac:dyDescent="0.45">
      <c r="A51" s="99" t="s">
        <v>205</v>
      </c>
      <c r="B51" s="99" t="str">
        <f>$B$5&amp;" /Kg"</f>
        <v>INR /Kg</v>
      </c>
      <c r="C51" s="108" t="e">
        <f>C50/C49</f>
        <v>#DIV/0!</v>
      </c>
    </row>
    <row r="53" spans="1:3" x14ac:dyDescent="0.45">
      <c r="A53" s="103" t="s">
        <v>173</v>
      </c>
    </row>
    <row r="54" spans="1:3" x14ac:dyDescent="0.45">
      <c r="A54" s="99" t="s">
        <v>206</v>
      </c>
      <c r="B54" s="100" t="str">
        <f>$B$5</f>
        <v>INR</v>
      </c>
      <c r="C54" s="100">
        <v>104.27</v>
      </c>
    </row>
    <row r="55" spans="1:3" x14ac:dyDescent="0.45">
      <c r="A55" s="99" t="s">
        <v>207</v>
      </c>
      <c r="B55" s="100" t="str">
        <f>$B$5</f>
        <v>INR</v>
      </c>
      <c r="C55" s="100">
        <v>87.73</v>
      </c>
    </row>
    <row r="56" spans="1:3" x14ac:dyDescent="0.45">
      <c r="A56" s="103" t="s">
        <v>189</v>
      </c>
    </row>
    <row r="57" spans="1:3" x14ac:dyDescent="0.45">
      <c r="A57" s="99" t="s">
        <v>208</v>
      </c>
      <c r="B57" s="99" t="s">
        <v>209</v>
      </c>
      <c r="C57" s="101">
        <v>45</v>
      </c>
    </row>
    <row r="58" spans="1:3" x14ac:dyDescent="0.45">
      <c r="A58" s="99" t="s">
        <v>210</v>
      </c>
      <c r="B58" s="99" t="s">
        <v>209</v>
      </c>
      <c r="C58" s="101">
        <v>60</v>
      </c>
    </row>
    <row r="252" spans="1:1" x14ac:dyDescent="0.45">
      <c r="A252" s="99" t="s">
        <v>23</v>
      </c>
    </row>
    <row r="253" spans="1:1" x14ac:dyDescent="0.45">
      <c r="A253" s="99" t="s">
        <v>159</v>
      </c>
    </row>
    <row r="254" spans="1:1" x14ac:dyDescent="0.45">
      <c r="A254" s="99" t="s">
        <v>187</v>
      </c>
    </row>
  </sheetData>
  <dataValidations count="1">
    <dataValidation type="list" allowBlank="1" showInputMessage="1" showErrorMessage="1" sqref="C34" xr:uid="{A79FCBE0-ED8E-4DD1-BD6F-08D6081AE600}">
      <formula1>$A$253:$A$254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435A-DB12-499D-A4B2-818211696D36}">
  <dimension ref="A3:D54"/>
  <sheetViews>
    <sheetView tabSelected="1" topLeftCell="A20" workbookViewId="0">
      <selection activeCell="D50" sqref="D50"/>
    </sheetView>
  </sheetViews>
  <sheetFormatPr defaultRowHeight="14.25" x14ac:dyDescent="0.45"/>
  <cols>
    <col min="1" max="1" width="4.46484375" style="60" customWidth="1"/>
    <col min="2" max="2" width="19.19921875" bestFit="1" customWidth="1"/>
    <col min="3" max="3" width="10.1328125" bestFit="1" customWidth="1"/>
    <col min="4" max="4" width="12.19921875" bestFit="1" customWidth="1"/>
  </cols>
  <sheetData>
    <row r="3" spans="1:4" x14ac:dyDescent="0.45">
      <c r="B3" s="27" t="s">
        <v>111</v>
      </c>
      <c r="C3" s="28" t="s">
        <v>1</v>
      </c>
      <c r="D3" s="39" t="str">
        <f>_xlfn.XLOOKUP(B3,input!A:A,input!C:C)</f>
        <v>xxxxx</v>
      </c>
    </row>
    <row r="4" spans="1:4" x14ac:dyDescent="0.45">
      <c r="B4" s="27" t="s">
        <v>106</v>
      </c>
      <c r="C4" s="28"/>
      <c r="D4" s="39" t="str">
        <f>_xlfn.XLOOKUP(B4,input!A:A,input!C:C)</f>
        <v xml:space="preserve">Comfort 220ml </v>
      </c>
    </row>
    <row r="5" spans="1:4" x14ac:dyDescent="0.45">
      <c r="B5" s="4" t="s">
        <v>113</v>
      </c>
      <c r="C5" s="29" t="s">
        <v>114</v>
      </c>
      <c r="D5" s="30">
        <f>_xlfn.XLOOKUP(B5,input!A:A,input!C:C)</f>
        <v>19</v>
      </c>
    </row>
    <row r="6" spans="1:4" x14ac:dyDescent="0.45">
      <c r="B6" s="4"/>
      <c r="C6" s="29"/>
      <c r="D6" s="4"/>
    </row>
    <row r="7" spans="1:4" x14ac:dyDescent="0.45">
      <c r="B7" s="4" t="s">
        <v>115</v>
      </c>
      <c r="C7" s="29" t="s">
        <v>26</v>
      </c>
      <c r="D7" s="31">
        <f>_xlfn.XLOOKUP(B7,input!A:A,input!C:C)</f>
        <v>0.48</v>
      </c>
    </row>
    <row r="8" spans="1:4" x14ac:dyDescent="0.45">
      <c r="B8" s="4" t="s">
        <v>121</v>
      </c>
      <c r="C8" s="29" t="str">
        <f>input!$C$5&amp;"/kg"</f>
        <v>INR/kg</v>
      </c>
      <c r="D8" s="30">
        <f>_xlfn.XLOOKUP(B8,input!A:A,input!C:C)</f>
        <v>95</v>
      </c>
    </row>
    <row r="9" spans="1:4" x14ac:dyDescent="0.45">
      <c r="A9" s="60" t="s">
        <v>58</v>
      </c>
      <c r="B9" s="4" t="s">
        <v>174</v>
      </c>
      <c r="C9" s="26" t="str">
        <f>input!$C$5&amp;" / 1000 pcs"</f>
        <v>INR / 1000 pcs</v>
      </c>
      <c r="D9" s="97">
        <f>D5*D7*D8*(100%-D11-D15)</f>
        <v>849.072</v>
      </c>
    </row>
    <row r="10" spans="1:4" x14ac:dyDescent="0.45">
      <c r="B10" s="4"/>
      <c r="C10" s="29"/>
      <c r="D10" s="4"/>
    </row>
    <row r="11" spans="1:4" x14ac:dyDescent="0.45">
      <c r="B11" s="4" t="s">
        <v>122</v>
      </c>
      <c r="C11" s="29" t="s">
        <v>26</v>
      </c>
      <c r="D11" s="31">
        <f>_xlfn.XLOOKUP(B11,input!A:A,input!C:C)</f>
        <v>0.02</v>
      </c>
    </row>
    <row r="12" spans="1:4" x14ac:dyDescent="0.45">
      <c r="B12" s="4" t="s">
        <v>123</v>
      </c>
      <c r="C12" s="29" t="str">
        <f>input!$C$5&amp;"/kg"</f>
        <v>INR/kg</v>
      </c>
      <c r="D12" s="30">
        <f>_xlfn.XLOOKUP(B12,input!A:A,input!C:C)</f>
        <v>450</v>
      </c>
    </row>
    <row r="13" spans="1:4" x14ac:dyDescent="0.45">
      <c r="A13" s="60" t="s">
        <v>58</v>
      </c>
      <c r="B13" s="4" t="s">
        <v>175</v>
      </c>
      <c r="C13" s="26" t="str">
        <f>input!$C$5&amp;" / 1000 pcs"</f>
        <v>INR / 1000 pcs</v>
      </c>
      <c r="D13" s="97">
        <f>D5*D7*D11*D12</f>
        <v>82.079999999999984</v>
      </c>
    </row>
    <row r="14" spans="1:4" x14ac:dyDescent="0.45">
      <c r="B14" s="4"/>
      <c r="C14" s="29"/>
      <c r="D14" s="4"/>
    </row>
    <row r="15" spans="1:4" x14ac:dyDescent="0.45">
      <c r="B15" s="4" t="s">
        <v>124</v>
      </c>
      <c r="C15" s="29" t="s">
        <v>26</v>
      </c>
      <c r="D15" s="31">
        <f>_xlfn.XLOOKUP(B15,input!A:A,input!C:C)</f>
        <v>0</v>
      </c>
    </row>
    <row r="16" spans="1:4" x14ac:dyDescent="0.45">
      <c r="B16" s="4" t="s">
        <v>125</v>
      </c>
      <c r="C16" s="29" t="str">
        <f>input!$C$5&amp;"/kg"</f>
        <v>INR/kg</v>
      </c>
      <c r="D16" s="30">
        <f>_xlfn.XLOOKUP(B16,input!A:A,input!C:C)</f>
        <v>0</v>
      </c>
    </row>
    <row r="17" spans="1:4" x14ac:dyDescent="0.45">
      <c r="A17" s="60" t="s">
        <v>58</v>
      </c>
      <c r="B17" s="4" t="s">
        <v>176</v>
      </c>
      <c r="C17" s="26" t="str">
        <f>input!$C$5&amp;" / 1000 pcs"</f>
        <v>INR / 1000 pcs</v>
      </c>
      <c r="D17" s="140">
        <f>D5*D7*D15</f>
        <v>0</v>
      </c>
    </row>
    <row r="18" spans="1:4" x14ac:dyDescent="0.45">
      <c r="B18" s="4"/>
      <c r="C18" s="29"/>
      <c r="D18" s="4"/>
    </row>
    <row r="19" spans="1:4" x14ac:dyDescent="0.45">
      <c r="B19" s="4" t="s">
        <v>126</v>
      </c>
      <c r="C19" s="29" t="s">
        <v>26</v>
      </c>
      <c r="D19" s="31">
        <f>_xlfn.XLOOKUP(B19,input!A:A,input!C:C)</f>
        <v>0.5</v>
      </c>
    </row>
    <row r="20" spans="1:4" x14ac:dyDescent="0.45">
      <c r="B20" s="4" t="s">
        <v>130</v>
      </c>
      <c r="C20" s="29" t="str">
        <f>input!$C$5&amp;"/kg"</f>
        <v>INR/kg</v>
      </c>
      <c r="D20" s="30">
        <f>_xlfn.XLOOKUP(B20,input!A:A,input!C:C)</f>
        <v>107</v>
      </c>
    </row>
    <row r="21" spans="1:4" x14ac:dyDescent="0.45">
      <c r="A21" s="60" t="s">
        <v>58</v>
      </c>
      <c r="B21" s="4" t="s">
        <v>177</v>
      </c>
      <c r="C21" s="26" t="str">
        <f>input!$C$5&amp;" / 1000 pcs"</f>
        <v>INR / 1000 pcs</v>
      </c>
      <c r="D21" s="97">
        <f>D5*D19*D20*(100%-D23-D27)</f>
        <v>1016.5</v>
      </c>
    </row>
    <row r="22" spans="1:4" x14ac:dyDescent="0.45">
      <c r="B22" s="4"/>
      <c r="C22" s="29"/>
      <c r="D22" s="4"/>
    </row>
    <row r="23" spans="1:4" x14ac:dyDescent="0.45">
      <c r="B23" s="4" t="s">
        <v>131</v>
      </c>
      <c r="C23" s="29" t="s">
        <v>26</v>
      </c>
      <c r="D23" s="31">
        <f>_xlfn.XLOOKUP(B23,input!A:A,input!C:C)</f>
        <v>0</v>
      </c>
    </row>
    <row r="24" spans="1:4" x14ac:dyDescent="0.45">
      <c r="B24" s="4" t="s">
        <v>132</v>
      </c>
      <c r="C24" s="29" t="str">
        <f>input!$C$5&amp;"/kg"</f>
        <v>INR/kg</v>
      </c>
      <c r="D24" s="30">
        <f>_xlfn.XLOOKUP(B24,input!A:A,input!C:C)</f>
        <v>0</v>
      </c>
    </row>
    <row r="25" spans="1:4" x14ac:dyDescent="0.45">
      <c r="A25" s="60" t="s">
        <v>58</v>
      </c>
      <c r="B25" s="4" t="s">
        <v>180</v>
      </c>
      <c r="C25" s="26" t="str">
        <f>input!$C$5&amp;" / 1000 pcs"</f>
        <v>INR / 1000 pcs</v>
      </c>
      <c r="D25" s="32">
        <f>D5*D19*D23*D24</f>
        <v>0</v>
      </c>
    </row>
    <row r="26" spans="1:4" x14ac:dyDescent="0.45">
      <c r="B26" s="4"/>
      <c r="C26" s="29"/>
      <c r="D26" s="4"/>
    </row>
    <row r="27" spans="1:4" x14ac:dyDescent="0.45">
      <c r="B27" s="4" t="s">
        <v>133</v>
      </c>
      <c r="C27" s="29" t="s">
        <v>26</v>
      </c>
      <c r="D27" s="31">
        <f>_xlfn.XLOOKUP(B27,input!A:A,input!C:C)</f>
        <v>0</v>
      </c>
    </row>
    <row r="28" spans="1:4" x14ac:dyDescent="0.45">
      <c r="B28" s="4" t="s">
        <v>134</v>
      </c>
      <c r="C28" s="29" t="str">
        <f>input!$C$5&amp;"/kg"</f>
        <v>INR/kg</v>
      </c>
      <c r="D28" s="30">
        <f>_xlfn.XLOOKUP(B28,input!A:A,input!C:C)</f>
        <v>0</v>
      </c>
    </row>
    <row r="29" spans="1:4" x14ac:dyDescent="0.45">
      <c r="A29" s="60" t="s">
        <v>58</v>
      </c>
      <c r="B29" s="4" t="s">
        <v>181</v>
      </c>
      <c r="C29" s="26" t="str">
        <f>input!$C$5&amp;" / 1000 pcs"</f>
        <v>INR / 1000 pcs</v>
      </c>
      <c r="D29" s="32">
        <f>D5*D19*D27*D28</f>
        <v>0</v>
      </c>
    </row>
    <row r="30" spans="1:4" x14ac:dyDescent="0.45">
      <c r="B30" s="4"/>
      <c r="C30" s="29"/>
      <c r="D30" s="4"/>
    </row>
    <row r="31" spans="1:4" x14ac:dyDescent="0.45">
      <c r="B31" s="4" t="s">
        <v>135</v>
      </c>
      <c r="C31" s="29" t="s">
        <v>26</v>
      </c>
      <c r="D31" s="24">
        <f>_xlfn.XLOOKUP(B31,input!A:A,input!C:C)</f>
        <v>0</v>
      </c>
    </row>
    <row r="32" spans="1:4" x14ac:dyDescent="0.45">
      <c r="B32" s="4" t="s">
        <v>138</v>
      </c>
      <c r="C32" s="29" t="str">
        <f>input!$C$5&amp;"/kg"</f>
        <v>INR/kg</v>
      </c>
      <c r="D32" s="30">
        <f>_xlfn.XLOOKUP(B32,input!A:A,input!C:C)</f>
        <v>0</v>
      </c>
    </row>
    <row r="33" spans="1:4" x14ac:dyDescent="0.45">
      <c r="A33" s="60" t="s">
        <v>58</v>
      </c>
      <c r="B33" s="4" t="s">
        <v>182</v>
      </c>
      <c r="C33" s="26" t="str">
        <f>input!$C$5&amp;" / 1000 pcs"</f>
        <v>INR / 1000 pcs</v>
      </c>
      <c r="D33" s="32">
        <f>D5*D31*D32*(100%-D35-D39)</f>
        <v>0</v>
      </c>
    </row>
    <row r="34" spans="1:4" x14ac:dyDescent="0.45">
      <c r="B34" s="4"/>
      <c r="C34" s="29"/>
      <c r="D34" s="4"/>
    </row>
    <row r="35" spans="1:4" x14ac:dyDescent="0.45">
      <c r="B35" s="4" t="s">
        <v>139</v>
      </c>
      <c r="C35" s="29" t="s">
        <v>26</v>
      </c>
      <c r="D35" s="31">
        <f>_xlfn.XLOOKUP(B35,input!A:A,input!C:C)</f>
        <v>0</v>
      </c>
    </row>
    <row r="36" spans="1:4" x14ac:dyDescent="0.45">
      <c r="B36" s="4" t="s">
        <v>140</v>
      </c>
      <c r="C36" s="29" t="str">
        <f>input!$C$5&amp;"/kg"</f>
        <v>INR/kg</v>
      </c>
      <c r="D36" s="30">
        <f>_xlfn.XLOOKUP(B36,input!A:A,input!C:C)</f>
        <v>0</v>
      </c>
    </row>
    <row r="37" spans="1:4" x14ac:dyDescent="0.45">
      <c r="A37" s="60" t="s">
        <v>58</v>
      </c>
      <c r="B37" s="4" t="s">
        <v>183</v>
      </c>
      <c r="C37" s="26" t="str">
        <f>input!$C$5&amp;" / 1000 pcs"</f>
        <v>INR / 1000 pcs</v>
      </c>
      <c r="D37" s="32">
        <f>D5*D31*D35*D36</f>
        <v>0</v>
      </c>
    </row>
    <row r="38" spans="1:4" x14ac:dyDescent="0.45">
      <c r="B38" s="4"/>
      <c r="C38" s="29"/>
      <c r="D38" s="4"/>
    </row>
    <row r="39" spans="1:4" x14ac:dyDescent="0.45">
      <c r="B39" s="4" t="s">
        <v>141</v>
      </c>
      <c r="C39" s="29" t="s">
        <v>26</v>
      </c>
      <c r="D39" s="31">
        <f>_xlfn.XLOOKUP(B39,input!A:A,input!C:C)</f>
        <v>0</v>
      </c>
    </row>
    <row r="40" spans="1:4" x14ac:dyDescent="0.45">
      <c r="B40" s="4" t="s">
        <v>142</v>
      </c>
      <c r="C40" s="29" t="str">
        <f>input!$C$5&amp;"/kg"</f>
        <v>INR/kg</v>
      </c>
      <c r="D40" s="30">
        <f>_xlfn.XLOOKUP(B40,input!A:A,input!C:C)</f>
        <v>0</v>
      </c>
    </row>
    <row r="41" spans="1:4" x14ac:dyDescent="0.45">
      <c r="A41" s="60" t="s">
        <v>58</v>
      </c>
      <c r="B41" s="4" t="s">
        <v>184</v>
      </c>
      <c r="C41" s="26" t="str">
        <f>input!$C$5&amp;" / 1000 pcs"</f>
        <v>INR / 1000 pcs</v>
      </c>
      <c r="D41" s="32">
        <f>D5*D31*D39*D40</f>
        <v>0</v>
      </c>
    </row>
    <row r="42" spans="1:4" x14ac:dyDescent="0.45">
      <c r="B42" s="4"/>
      <c r="C42" s="29"/>
      <c r="D42" s="4"/>
    </row>
    <row r="43" spans="1:4" x14ac:dyDescent="0.45">
      <c r="B43" s="4" t="s">
        <v>105</v>
      </c>
      <c r="C43" s="29" t="s">
        <v>26</v>
      </c>
      <c r="D43" s="34"/>
    </row>
    <row r="44" spans="1:4" x14ac:dyDescent="0.45">
      <c r="A44" s="60" t="s">
        <v>58</v>
      </c>
      <c r="B44" s="4" t="s">
        <v>105</v>
      </c>
      <c r="C44" s="26" t="str">
        <f>input!$C$5&amp;" / 1000 pcs"</f>
        <v>INR / 1000 pcs</v>
      </c>
      <c r="D44" s="30">
        <f>SUMIF($C$7:$C$41,$C44,D$7:D$41)*D$43</f>
        <v>0</v>
      </c>
    </row>
    <row r="45" spans="1:4" x14ac:dyDescent="0.45">
      <c r="B45" s="4"/>
      <c r="C45" s="29"/>
      <c r="D45" s="4"/>
    </row>
    <row r="46" spans="1:4" x14ac:dyDescent="0.45">
      <c r="B46" s="35" t="s">
        <v>185</v>
      </c>
      <c r="C46" s="29"/>
      <c r="D46" s="4"/>
    </row>
    <row r="47" spans="1:4" x14ac:dyDescent="0.45">
      <c r="A47" s="60" t="s">
        <v>58</v>
      </c>
      <c r="B47" s="4" t="s">
        <v>186</v>
      </c>
      <c r="C47" s="26" t="str">
        <f>input!$C$5&amp;" / 1000 pcs"</f>
        <v>INR / 1000 pcs</v>
      </c>
      <c r="D47" s="30"/>
    </row>
    <row r="48" spans="1:4" x14ac:dyDescent="0.45">
      <c r="B48" s="4"/>
      <c r="C48" s="29"/>
      <c r="D48" s="4"/>
    </row>
    <row r="49" spans="2:4" x14ac:dyDescent="0.45">
      <c r="B49" s="36" t="s">
        <v>58</v>
      </c>
      <c r="C49" s="141" t="str">
        <f>input!$C$5&amp;" / 1000 pcs"</f>
        <v>INR / 1000 pcs</v>
      </c>
      <c r="D49" s="38">
        <f>SUMIF($A$7:$A$47,$B49,D$7:D$47)</f>
        <v>1947.652</v>
      </c>
    </row>
    <row r="50" spans="2:4" x14ac:dyDescent="0.45">
      <c r="B50" s="36"/>
      <c r="C50" s="37"/>
      <c r="D50" s="37"/>
    </row>
    <row r="51" spans="2:4" x14ac:dyDescent="0.45">
      <c r="B51" s="36" t="s">
        <v>68</v>
      </c>
      <c r="C51" s="141" t="str">
        <f>input!$C$5&amp;" / 1000 pcs"</f>
        <v>INR / 1000 pcs</v>
      </c>
      <c r="D51" s="38">
        <f>SUM(conversion!D49,conversion!D53,conversion!D65,conversion!D69,conversion!D81,conversion!D83,conversion!D85)</f>
        <v>697.65863658995249</v>
      </c>
    </row>
    <row r="52" spans="2:4" x14ac:dyDescent="0.45">
      <c r="B52" s="36"/>
      <c r="C52" s="37"/>
      <c r="D52" s="38"/>
    </row>
    <row r="53" spans="2:4" x14ac:dyDescent="0.45">
      <c r="B53" s="36" t="s">
        <v>475</v>
      </c>
      <c r="C53" s="141" t="str">
        <f>input!$C$5&amp;" / 1000 pcs"</f>
        <v>INR / 1000 pcs</v>
      </c>
      <c r="D53" s="38">
        <f>SUM(D49:D51)</f>
        <v>2645.3106365899525</v>
      </c>
    </row>
    <row r="54" spans="2:4" x14ac:dyDescent="0.45">
      <c r="B54" s="36" t="s">
        <v>475</v>
      </c>
      <c r="C54" s="37" t="str">
        <f>input!$C$5&amp;"/kg"</f>
        <v>INR/kg</v>
      </c>
      <c r="D54" s="38">
        <f>D53/D5</f>
        <v>139.22687560999751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613-840D-40B8-91F2-FE95BE6B05C0}">
  <dimension ref="A1:L396"/>
  <sheetViews>
    <sheetView topLeftCell="A8" workbookViewId="0">
      <selection activeCell="B159" sqref="B159"/>
    </sheetView>
  </sheetViews>
  <sheetFormatPr defaultColWidth="9" defaultRowHeight="11.65" x14ac:dyDescent="0.35"/>
  <cols>
    <col min="1" max="1" width="3" style="94" customWidth="1"/>
    <col min="2" max="2" width="29.1328125" style="7" bestFit="1" customWidth="1"/>
    <col min="3" max="3" width="13.796875" style="7" customWidth="1"/>
    <col min="4" max="4" width="15.53125" style="58" bestFit="1" customWidth="1"/>
    <col min="5" max="5" width="11.1328125" style="7" bestFit="1" customWidth="1"/>
    <col min="6" max="6" width="9.86328125" style="7" bestFit="1" customWidth="1"/>
    <col min="7" max="7" width="12.19921875" style="7" bestFit="1" customWidth="1"/>
    <col min="8" max="16384" width="9" style="7"/>
  </cols>
  <sheetData>
    <row r="1" spans="2:4" hidden="1" x14ac:dyDescent="0.35"/>
    <row r="2" spans="2:4" hidden="1" x14ac:dyDescent="0.35"/>
    <row r="3" spans="2:4" hidden="1" x14ac:dyDescent="0.35"/>
    <row r="4" spans="2:4" hidden="1" x14ac:dyDescent="0.35"/>
    <row r="5" spans="2:4" hidden="1" x14ac:dyDescent="0.35"/>
    <row r="6" spans="2:4" hidden="1" x14ac:dyDescent="0.35"/>
    <row r="7" spans="2:4" hidden="1" x14ac:dyDescent="0.35"/>
    <row r="10" spans="2:4" x14ac:dyDescent="0.35">
      <c r="B10" s="27" t="s">
        <v>111</v>
      </c>
      <c r="C10" s="28" t="s">
        <v>1</v>
      </c>
      <c r="D10" s="39" t="str">
        <f>_xlfn.XLOOKUP(B10,input!A:A,input!C:C)</f>
        <v>xxxxx</v>
      </c>
    </row>
    <row r="11" spans="2:4" x14ac:dyDescent="0.35">
      <c r="B11" s="27" t="s">
        <v>106</v>
      </c>
      <c r="C11" s="28"/>
      <c r="D11" s="112" t="str">
        <f>_xlfn.XLOOKUP(B11,input!A:A,input!C:C)</f>
        <v xml:space="preserve">Comfort 220ml </v>
      </c>
    </row>
    <row r="12" spans="2:4" x14ac:dyDescent="0.35">
      <c r="B12" s="144" t="s">
        <v>211</v>
      </c>
      <c r="C12" s="4"/>
      <c r="D12" s="145"/>
    </row>
    <row r="13" spans="2:4" x14ac:dyDescent="0.35">
      <c r="B13" s="4" t="str">
        <f>input!A8</f>
        <v xml:space="preserve">Annual Volume </v>
      </c>
      <c r="C13" s="29" t="str">
        <f>input!B8</f>
        <v>pcs</v>
      </c>
      <c r="D13" s="146">
        <f>_xlfn.XLOOKUP($B13,input!$A:$A,input!C:C)</f>
        <v>62975559</v>
      </c>
    </row>
    <row r="14" spans="2:4" x14ac:dyDescent="0.35">
      <c r="B14" s="4" t="s">
        <v>212</v>
      </c>
      <c r="C14" s="29" t="str">
        <f>C13</f>
        <v>pcs</v>
      </c>
      <c r="D14" s="146">
        <f>D13/75%</f>
        <v>83967412</v>
      </c>
    </row>
    <row r="15" spans="2:4" x14ac:dyDescent="0.35">
      <c r="B15" s="4"/>
      <c r="C15" s="4"/>
      <c r="D15" s="145"/>
    </row>
    <row r="16" spans="2:4" x14ac:dyDescent="0.35">
      <c r="B16" s="4" t="s">
        <v>145</v>
      </c>
      <c r="C16" s="29" t="s">
        <v>146</v>
      </c>
      <c r="D16" s="146">
        <f>_xlfn.XLOOKUP($B16,input!$A:$A,input!C:C)</f>
        <v>12</v>
      </c>
    </row>
    <row r="17" spans="2:8" x14ac:dyDescent="0.35">
      <c r="B17" s="4" t="s">
        <v>147</v>
      </c>
      <c r="C17" s="29" t="s">
        <v>148</v>
      </c>
      <c r="D17" s="146">
        <f>_xlfn.XLOOKUP($B17,input!$A:$A,input!C:C)</f>
        <v>16.3</v>
      </c>
    </row>
    <row r="18" spans="2:8" x14ac:dyDescent="0.35">
      <c r="B18" s="4" t="s">
        <v>149</v>
      </c>
      <c r="C18" s="4"/>
      <c r="D18" s="146" t="str">
        <f>_xlfn.XLOOKUP($B18,input!$A:$A,input!C:C)</f>
        <v>Jomar 65</v>
      </c>
    </row>
    <row r="19" spans="2:8" x14ac:dyDescent="0.35">
      <c r="B19" s="4" t="s">
        <v>213</v>
      </c>
      <c r="C19" s="29" t="s">
        <v>146</v>
      </c>
      <c r="D19" s="146">
        <f>3600/D17*D16</f>
        <v>2650.3067484662574</v>
      </c>
      <c r="E19" s="40"/>
    </row>
    <row r="20" spans="2:8" x14ac:dyDescent="0.35">
      <c r="B20" s="4" t="s">
        <v>214</v>
      </c>
      <c r="C20" s="29" t="s">
        <v>146</v>
      </c>
      <c r="D20" s="146">
        <f>3600/D17*D16*input!C98</f>
        <v>20990429.447852761</v>
      </c>
      <c r="H20" s="221"/>
    </row>
    <row r="21" spans="2:8" x14ac:dyDescent="0.35">
      <c r="B21" s="4" t="s">
        <v>501</v>
      </c>
      <c r="C21" s="29" t="s">
        <v>146</v>
      </c>
      <c r="D21" s="146">
        <f>D32*D33/60</f>
        <v>18</v>
      </c>
    </row>
    <row r="22" spans="2:8" x14ac:dyDescent="0.35">
      <c r="B22" s="4" t="s">
        <v>502</v>
      </c>
      <c r="C22" s="29" t="s">
        <v>146</v>
      </c>
      <c r="D22" s="146">
        <f>D34*D35/60</f>
        <v>4.5</v>
      </c>
    </row>
    <row r="23" spans="2:8" x14ac:dyDescent="0.35">
      <c r="B23" s="4" t="s">
        <v>503</v>
      </c>
      <c r="C23" s="29" t="s">
        <v>146</v>
      </c>
      <c r="D23" s="146">
        <f>D14/D19</f>
        <v>31682.148509259263</v>
      </c>
    </row>
    <row r="24" spans="2:8" x14ac:dyDescent="0.35">
      <c r="B24" s="4" t="s">
        <v>216</v>
      </c>
      <c r="C24" s="29" t="s">
        <v>146</v>
      </c>
      <c r="D24" s="146">
        <f>D14/D20</f>
        <v>4.0002712764216239</v>
      </c>
    </row>
    <row r="25" spans="2:8" x14ac:dyDescent="0.35">
      <c r="B25" s="4" t="s">
        <v>215</v>
      </c>
      <c r="C25" s="29" t="s">
        <v>26</v>
      </c>
      <c r="D25" s="142">
        <f>D13/(D20*D24)</f>
        <v>0.75</v>
      </c>
      <c r="E25" s="55"/>
    </row>
    <row r="26" spans="2:8" x14ac:dyDescent="0.35">
      <c r="B26" s="4" t="s">
        <v>217</v>
      </c>
      <c r="C26" s="29" t="s">
        <v>218</v>
      </c>
      <c r="D26" s="146">
        <f>D13/D19</f>
        <v>23761.611381944447</v>
      </c>
      <c r="E26" s="40"/>
    </row>
    <row r="27" spans="2:8" x14ac:dyDescent="0.35">
      <c r="B27" s="4" t="s">
        <v>219</v>
      </c>
      <c r="C27" s="29" t="s">
        <v>218</v>
      </c>
      <c r="D27" s="146">
        <f>input!C98/3</f>
        <v>2640</v>
      </c>
    </row>
    <row r="28" spans="2:8" x14ac:dyDescent="0.35">
      <c r="B28" s="4"/>
      <c r="C28" s="4"/>
      <c r="D28" s="145"/>
    </row>
    <row r="29" spans="2:8" x14ac:dyDescent="0.35">
      <c r="B29" s="35" t="s">
        <v>220</v>
      </c>
      <c r="C29" s="4"/>
      <c r="D29" s="145"/>
    </row>
    <row r="30" spans="2:8" x14ac:dyDescent="0.35">
      <c r="B30" s="4" t="s">
        <v>160</v>
      </c>
      <c r="C30" s="29" t="s">
        <v>146</v>
      </c>
      <c r="D30" s="146">
        <f>_xlfn.XLOOKUP($B30,input!$A:$A,input!$C:$C)</f>
        <v>12</v>
      </c>
    </row>
    <row r="31" spans="2:8" x14ac:dyDescent="0.35">
      <c r="B31" s="4" t="s">
        <v>221</v>
      </c>
      <c r="C31" s="29" t="s">
        <v>146</v>
      </c>
      <c r="D31" s="146">
        <f>D13/D30</f>
        <v>5247963.25</v>
      </c>
    </row>
    <row r="32" spans="2:8" x14ac:dyDescent="0.35">
      <c r="B32" s="4" t="s">
        <v>504</v>
      </c>
      <c r="C32" s="29" t="s">
        <v>146</v>
      </c>
      <c r="D32" s="146">
        <f>_xlfn.XLOOKUP($B32,input!$A:$A,input!$C:$C)</f>
        <v>6</v>
      </c>
    </row>
    <row r="33" spans="2:4" x14ac:dyDescent="0.35">
      <c r="B33" s="4" t="s">
        <v>472</v>
      </c>
      <c r="C33" s="29" t="s">
        <v>222</v>
      </c>
      <c r="D33" s="174">
        <v>180</v>
      </c>
    </row>
    <row r="34" spans="2:4" x14ac:dyDescent="0.35">
      <c r="B34" s="4" t="s">
        <v>505</v>
      </c>
      <c r="C34" s="29" t="s">
        <v>146</v>
      </c>
      <c r="D34" s="146">
        <f>_xlfn.XLOOKUP($B34,input!$A:$A,input!$C:$C)</f>
        <v>6</v>
      </c>
    </row>
    <row r="35" spans="2:4" x14ac:dyDescent="0.35">
      <c r="B35" s="4" t="s">
        <v>473</v>
      </c>
      <c r="C35" s="29" t="s">
        <v>222</v>
      </c>
      <c r="D35" s="174">
        <v>45</v>
      </c>
    </row>
    <row r="36" spans="2:4" x14ac:dyDescent="0.35">
      <c r="B36" s="4" t="s">
        <v>223</v>
      </c>
      <c r="C36" s="29" t="s">
        <v>224</v>
      </c>
      <c r="D36" s="146">
        <f>60/D17*D16*input!C97</f>
        <v>35.337423312883431</v>
      </c>
    </row>
    <row r="37" spans="2:4" x14ac:dyDescent="0.35">
      <c r="B37" s="4" t="s">
        <v>225</v>
      </c>
      <c r="C37" s="29" t="s">
        <v>146</v>
      </c>
      <c r="D37" s="146">
        <f>D35*D36</f>
        <v>1590.1840490797545</v>
      </c>
    </row>
    <row r="38" spans="2:4" x14ac:dyDescent="0.35">
      <c r="B38" s="4" t="s">
        <v>226</v>
      </c>
      <c r="C38" s="29" t="s">
        <v>26</v>
      </c>
      <c r="D38" s="147">
        <f>D37/D31</f>
        <v>3.0300975317991305E-4</v>
      </c>
    </row>
    <row r="39" spans="2:4" x14ac:dyDescent="0.35">
      <c r="B39" s="4" t="s">
        <v>227</v>
      </c>
      <c r="C39" s="29" t="s">
        <v>26</v>
      </c>
      <c r="D39" s="222">
        <v>1.4999999999999999E-2</v>
      </c>
    </row>
    <row r="40" spans="2:4" x14ac:dyDescent="0.35">
      <c r="B40" s="4" t="s">
        <v>105</v>
      </c>
      <c r="C40" s="29" t="s">
        <v>26</v>
      </c>
      <c r="D40" s="147">
        <f>SUM(D38:D39)</f>
        <v>1.5303009753179912E-2</v>
      </c>
    </row>
    <row r="41" spans="2:4" x14ac:dyDescent="0.35">
      <c r="B41" s="4"/>
      <c r="C41" s="4"/>
      <c r="D41" s="145"/>
    </row>
    <row r="42" spans="2:4" x14ac:dyDescent="0.35">
      <c r="B42" s="4" t="s">
        <v>228</v>
      </c>
      <c r="C42" s="4" t="str">
        <f>input!$C$5</f>
        <v>INR</v>
      </c>
      <c r="D42" s="146">
        <f>VLOOKUP(D18,Machines,COLUMNS(backup!$D$42:$K$51),0)*$D$24</f>
        <v>134928273.89427829</v>
      </c>
    </row>
    <row r="43" spans="2:4" x14ac:dyDescent="0.35">
      <c r="B43" s="4" t="s">
        <v>229</v>
      </c>
      <c r="C43" s="4" t="str">
        <f>input!$C$5</f>
        <v>INR</v>
      </c>
      <c r="D43" s="223">
        <v>50000</v>
      </c>
    </row>
    <row r="44" spans="2:4" x14ac:dyDescent="0.35">
      <c r="B44" s="4" t="s">
        <v>230</v>
      </c>
      <c r="C44" s="4" t="str">
        <f>input!$C$5</f>
        <v>INR</v>
      </c>
      <c r="D44" s="146">
        <f>backup!E39</f>
        <v>3618609.2493567811</v>
      </c>
    </row>
    <row r="45" spans="2:4" x14ac:dyDescent="0.35">
      <c r="B45" s="4" t="s">
        <v>231</v>
      </c>
      <c r="C45" s="4" t="str">
        <f>input!$C$5</f>
        <v>INR</v>
      </c>
      <c r="D45" s="146">
        <f>SUM(D42:D44)</f>
        <v>138596883.14363506</v>
      </c>
    </row>
    <row r="46" spans="2:4" x14ac:dyDescent="0.35">
      <c r="B46" s="4"/>
      <c r="C46" s="4"/>
      <c r="D46" s="145"/>
    </row>
    <row r="47" spans="2:4" x14ac:dyDescent="0.35">
      <c r="B47" s="4" t="s">
        <v>155</v>
      </c>
      <c r="C47" s="29" t="s">
        <v>156</v>
      </c>
      <c r="D47" s="146">
        <f>_xlfn.XLOOKUP($B47,input!$A:$A,input!C:C)</f>
        <v>5</v>
      </c>
    </row>
    <row r="48" spans="2:4" x14ac:dyDescent="0.35">
      <c r="B48" s="4" t="s">
        <v>69</v>
      </c>
      <c r="C48" s="4" t="str">
        <f>input!$C$5</f>
        <v>INR</v>
      </c>
      <c r="D48" s="146">
        <f>VLOOKUP(D47,Depreciation_Schedule,COLUMNS($A$199:$D$199),0)</f>
        <v>10309652.590488343</v>
      </c>
    </row>
    <row r="49" spans="2:4" x14ac:dyDescent="0.35">
      <c r="B49" s="36" t="s">
        <v>69</v>
      </c>
      <c r="C49" s="37" t="str">
        <f>input!$C$5&amp;" / 1000 pcs"</f>
        <v>INR / 1000 pcs</v>
      </c>
      <c r="D49" s="146">
        <f>D48*1000/$D$13</f>
        <v>163.70879042913049</v>
      </c>
    </row>
    <row r="50" spans="2:4" x14ac:dyDescent="0.35">
      <c r="B50" s="4"/>
      <c r="C50" s="4"/>
      <c r="D50" s="145"/>
    </row>
    <row r="51" spans="2:4" x14ac:dyDescent="0.35">
      <c r="B51" s="4" t="s">
        <v>31</v>
      </c>
      <c r="C51" s="29" t="s">
        <v>26</v>
      </c>
      <c r="D51" s="148">
        <f>_xlfn.XLOOKUP($B51,input!$A:$A,input!C:C)</f>
        <v>0.125</v>
      </c>
    </row>
    <row r="52" spans="2:4" x14ac:dyDescent="0.35">
      <c r="B52" s="4" t="s">
        <v>31</v>
      </c>
      <c r="C52" s="4" t="str">
        <f>input!$C$5</f>
        <v>INR</v>
      </c>
      <c r="D52" s="146">
        <f>VLOOKUP(D47,Interest_Schedule,COLUMNS($A$239:$D$297),0)</f>
        <v>12685279.624201512</v>
      </c>
    </row>
    <row r="53" spans="2:4" x14ac:dyDescent="0.35">
      <c r="B53" s="36" t="s">
        <v>31</v>
      </c>
      <c r="C53" s="37" t="str">
        <f>input!$C$5&amp;" / 1000 pcs"</f>
        <v>INR / 1000 pcs</v>
      </c>
      <c r="D53" s="146">
        <f>D52*1000/D13</f>
        <v>201.43179077142469</v>
      </c>
    </row>
    <row r="54" spans="2:4" x14ac:dyDescent="0.35">
      <c r="B54" s="4"/>
      <c r="C54" s="4"/>
      <c r="D54" s="145"/>
    </row>
    <row r="55" spans="2:4" x14ac:dyDescent="0.35">
      <c r="B55" s="4" t="s">
        <v>34</v>
      </c>
      <c r="C55" s="4"/>
      <c r="D55" s="149"/>
    </row>
    <row r="56" spans="2:4" x14ac:dyDescent="0.35">
      <c r="B56" s="4" t="s">
        <v>34</v>
      </c>
      <c r="C56" s="29" t="s">
        <v>26</v>
      </c>
      <c r="D56" s="147">
        <f>_xlfn.XLOOKUP(B56,input!$A:$A,input!$C:$C,0)</f>
        <v>0.14000000000000001</v>
      </c>
    </row>
    <row r="57" spans="2:4" x14ac:dyDescent="0.35">
      <c r="B57" s="36" t="s">
        <v>208</v>
      </c>
      <c r="C57" s="37" t="str">
        <f>input!$C$5&amp;" / 1000 pcs"</f>
        <v>INR / 1000 pcs</v>
      </c>
      <c r="D57" s="146">
        <f>D92</f>
        <v>31.154794520547945</v>
      </c>
    </row>
    <row r="58" spans="2:4" x14ac:dyDescent="0.35">
      <c r="B58" s="36" t="s">
        <v>210</v>
      </c>
      <c r="C58" s="37" t="str">
        <f>input!$C$5&amp;" / 1000 pcs"</f>
        <v>INR / 1000 pcs</v>
      </c>
      <c r="D58" s="146">
        <f>D93</f>
        <v>7.3244109380492857</v>
      </c>
    </row>
    <row r="59" spans="2:4" x14ac:dyDescent="0.35">
      <c r="B59" s="36" t="s">
        <v>232</v>
      </c>
      <c r="C59" s="37" t="str">
        <f>input!$C$5&amp;" / 1000 pcs"</f>
        <v>INR / 1000 pcs</v>
      </c>
      <c r="D59" s="146">
        <f>D94</f>
        <v>1.8927603252018896</v>
      </c>
    </row>
    <row r="60" spans="2:4" x14ac:dyDescent="0.35">
      <c r="B60" s="36"/>
      <c r="C60" s="37"/>
      <c r="D60" s="146"/>
    </row>
    <row r="61" spans="2:4" x14ac:dyDescent="0.35">
      <c r="B61" s="36"/>
      <c r="C61" s="37"/>
      <c r="D61" s="146"/>
    </row>
    <row r="62" spans="2:4" x14ac:dyDescent="0.35">
      <c r="B62" s="4"/>
      <c r="C62" s="4"/>
      <c r="D62" s="145"/>
    </row>
    <row r="63" spans="2:4" x14ac:dyDescent="0.35">
      <c r="B63" s="4" t="s">
        <v>153</v>
      </c>
      <c r="C63" s="29" t="s">
        <v>26</v>
      </c>
      <c r="D63" s="148">
        <f>_xlfn.XLOOKUP($B63,input!$A:$A,input!C:C)</f>
        <v>2.5000000000000001E-2</v>
      </c>
    </row>
    <row r="64" spans="2:4" x14ac:dyDescent="0.35">
      <c r="B64" s="4" t="s">
        <v>153</v>
      </c>
      <c r="C64" s="4" t="str">
        <f>input!$C$5</f>
        <v>INR</v>
      </c>
      <c r="D64" s="146">
        <f>D45*D63</f>
        <v>3464922.0785908769</v>
      </c>
    </row>
    <row r="65" spans="1:4" x14ac:dyDescent="0.35">
      <c r="B65" s="36" t="s">
        <v>153</v>
      </c>
      <c r="C65" s="37" t="str">
        <f>input!$C$5&amp;" / 1000 pcs"</f>
        <v>INR / 1000 pcs</v>
      </c>
      <c r="D65" s="146">
        <f>D64*1000/D13</f>
        <v>55.020108334264677</v>
      </c>
    </row>
    <row r="66" spans="1:4" x14ac:dyDescent="0.35">
      <c r="B66" s="4"/>
      <c r="C66" s="4"/>
      <c r="D66" s="145"/>
    </row>
    <row r="67" spans="1:4" x14ac:dyDescent="0.35">
      <c r="B67" s="4" t="s">
        <v>42</v>
      </c>
      <c r="C67" s="29" t="s">
        <v>26</v>
      </c>
      <c r="D67" s="148">
        <f>_xlfn.XLOOKUP($B67,input!$A:$A,input!C:C)</f>
        <v>2.5000000000000001E-2</v>
      </c>
    </row>
    <row r="68" spans="1:4" x14ac:dyDescent="0.35">
      <c r="B68" s="4" t="s">
        <v>42</v>
      </c>
      <c r="C68" s="4" t="str">
        <f>input!$C$5</f>
        <v>INR</v>
      </c>
      <c r="D68" s="146">
        <f>D45*D67</f>
        <v>3464922.0785908769</v>
      </c>
    </row>
    <row r="69" spans="1:4" x14ac:dyDescent="0.35">
      <c r="A69" s="94" t="s">
        <v>233</v>
      </c>
      <c r="B69" s="36" t="s">
        <v>42</v>
      </c>
      <c r="C69" s="37" t="str">
        <f>input!$C$5&amp;" / 1000 pcs"</f>
        <v>INR / 1000 pcs</v>
      </c>
      <c r="D69" s="150">
        <f>D68*1000/D13</f>
        <v>55.020108334264677</v>
      </c>
    </row>
    <row r="70" spans="1:4" x14ac:dyDescent="0.35">
      <c r="B70" s="4"/>
      <c r="C70" s="4"/>
      <c r="D70" s="145"/>
    </row>
    <row r="71" spans="1:4" x14ac:dyDescent="0.35">
      <c r="B71" s="144" t="s">
        <v>234</v>
      </c>
      <c r="C71" s="4"/>
      <c r="D71" s="145"/>
    </row>
    <row r="72" spans="1:4" x14ac:dyDescent="0.35">
      <c r="B72" s="4" t="s">
        <v>235</v>
      </c>
      <c r="C72" s="4"/>
      <c r="D72" s="146"/>
    </row>
    <row r="73" spans="1:4" x14ac:dyDescent="0.35">
      <c r="B73" s="4" t="s">
        <v>236</v>
      </c>
      <c r="C73" s="29" t="s">
        <v>237</v>
      </c>
      <c r="D73" s="146">
        <f>VLOOKUP(D$18,Machines,COLUMNS(backup!$D$42:$F$51),0)</f>
        <v>35</v>
      </c>
    </row>
    <row r="74" spans="1:4" x14ac:dyDescent="0.35">
      <c r="B74" s="4" t="s">
        <v>238</v>
      </c>
      <c r="C74" s="29" t="s">
        <v>237</v>
      </c>
      <c r="D74" s="146">
        <f>D73*20%</f>
        <v>7</v>
      </c>
    </row>
    <row r="75" spans="1:4" x14ac:dyDescent="0.35">
      <c r="B75" s="4" t="s">
        <v>239</v>
      </c>
      <c r="C75" s="29" t="s">
        <v>237</v>
      </c>
      <c r="D75" s="146">
        <f>SUM(D73:D74)</f>
        <v>42</v>
      </c>
    </row>
    <row r="76" spans="1:4" x14ac:dyDescent="0.35">
      <c r="B76" s="4" t="s">
        <v>480</v>
      </c>
      <c r="C76" s="29" t="s">
        <v>26</v>
      </c>
      <c r="D76" s="142">
        <v>0.5</v>
      </c>
    </row>
    <row r="77" spans="1:4" x14ac:dyDescent="0.35">
      <c r="B77" s="4" t="s">
        <v>481</v>
      </c>
      <c r="C77" s="29" t="s">
        <v>237</v>
      </c>
      <c r="D77" s="146">
        <f>D75*D76</f>
        <v>21</v>
      </c>
    </row>
    <row r="78" spans="1:4" x14ac:dyDescent="0.35">
      <c r="B78" s="4" t="s">
        <v>151</v>
      </c>
      <c r="C78" s="29" t="str">
        <f>input!$C$5&amp;" /KWH"</f>
        <v>INR /KWH</v>
      </c>
      <c r="D78" s="146">
        <f>_xlfn.XLOOKUP($B78,input!$A:$A,input!C:C)</f>
        <v>10.72</v>
      </c>
    </row>
    <row r="79" spans="1:4" x14ac:dyDescent="0.35">
      <c r="B79" s="4" t="s">
        <v>240</v>
      </c>
      <c r="C79" s="29" t="str">
        <f>input!$C$5&amp;" /KWH"</f>
        <v>INR /KWH</v>
      </c>
      <c r="D79" s="146">
        <f>D77*D78</f>
        <v>225.12</v>
      </c>
    </row>
    <row r="80" spans="1:4" x14ac:dyDescent="0.35">
      <c r="B80" s="4" t="s">
        <v>241</v>
      </c>
      <c r="C80" s="4" t="str">
        <f>input!$C$5</f>
        <v>INR</v>
      </c>
      <c r="D80" s="146">
        <f>D79*D26</f>
        <v>5349213.9543033345</v>
      </c>
    </row>
    <row r="81" spans="2:4" x14ac:dyDescent="0.35">
      <c r="B81" s="36" t="s">
        <v>234</v>
      </c>
      <c r="C81" s="37" t="str">
        <f>input!$C$5&amp;" / 1000 pcs"</f>
        <v>INR / 1000 pcs</v>
      </c>
      <c r="D81" s="146">
        <f>D80*1000/D13</f>
        <v>84.941111111111127</v>
      </c>
    </row>
    <row r="82" spans="2:4" x14ac:dyDescent="0.35">
      <c r="B82" s="4"/>
      <c r="C82" s="4"/>
      <c r="D82" s="145"/>
    </row>
    <row r="83" spans="2:4" x14ac:dyDescent="0.35">
      <c r="B83" s="144" t="s">
        <v>242</v>
      </c>
      <c r="C83" s="37" t="str">
        <f>input!$C$5&amp;" / 1000 pcs"</f>
        <v>INR / 1000 pcs</v>
      </c>
      <c r="D83" s="146">
        <f>$F$136*D26*1000/D13</f>
        <v>50.918205492424249</v>
      </c>
    </row>
    <row r="84" spans="2:4" x14ac:dyDescent="0.35">
      <c r="B84" s="4"/>
      <c r="C84" s="4"/>
      <c r="D84" s="145"/>
    </row>
    <row r="85" spans="2:4" x14ac:dyDescent="0.35">
      <c r="B85" s="144" t="s">
        <v>243</v>
      </c>
      <c r="C85" s="37" t="str">
        <f>input!$C$5&amp;" / 1000 pcs"</f>
        <v>INR / 1000 pcs</v>
      </c>
      <c r="D85" s="146">
        <f>D170*1000/D13</f>
        <v>86.618522117332517</v>
      </c>
    </row>
    <row r="86" spans="2:4" x14ac:dyDescent="0.35">
      <c r="B86" s="4"/>
      <c r="C86" s="4"/>
      <c r="D86" s="145"/>
    </row>
    <row r="87" spans="2:4" x14ac:dyDescent="0.35">
      <c r="B87" s="144" t="s">
        <v>59</v>
      </c>
      <c r="C87" s="37" t="str">
        <f>input!$C$5&amp;" / 1000 pcs"</f>
        <v>INR / 1000 pcs</v>
      </c>
      <c r="D87" s="146">
        <f>SUMIF($C$13:$C$85,$C$87,D$13:D$85)</f>
        <v>738.03060237375166</v>
      </c>
    </row>
    <row r="88" spans="2:4" x14ac:dyDescent="0.35">
      <c r="B88" s="4"/>
      <c r="C88" s="4"/>
      <c r="D88" s="145"/>
    </row>
    <row r="89" spans="2:4" x14ac:dyDescent="0.35">
      <c r="B89" s="4"/>
      <c r="C89" s="4"/>
      <c r="D89" s="145"/>
    </row>
    <row r="90" spans="2:4" x14ac:dyDescent="0.35">
      <c r="B90" s="144" t="s">
        <v>244</v>
      </c>
      <c r="C90" s="4"/>
      <c r="D90" s="145"/>
    </row>
    <row r="91" spans="2:4" x14ac:dyDescent="0.35">
      <c r="B91" s="35" t="s">
        <v>245</v>
      </c>
      <c r="C91" s="4"/>
      <c r="D91" s="145"/>
    </row>
    <row r="92" spans="2:4" x14ac:dyDescent="0.35">
      <c r="B92" s="4" t="s">
        <v>208</v>
      </c>
      <c r="C92" s="29" t="str">
        <f>input!$C$5&amp;" / 1000 pcs"</f>
        <v>INR / 1000 pcs</v>
      </c>
      <c r="D92" s="146">
        <f>input!C17*conversion!D105*10^3*conversion!D56*1000/D13</f>
        <v>31.154794520547945</v>
      </c>
    </row>
    <row r="93" spans="2:4" x14ac:dyDescent="0.35">
      <c r="B93" s="4" t="s">
        <v>210</v>
      </c>
      <c r="C93" s="29" t="str">
        <f>input!$C$5&amp;" / 1000 pcs"</f>
        <v>INR / 1000 pcs</v>
      </c>
      <c r="D93" s="146">
        <f>SUM(D110:D111)*D122*D56/D13</f>
        <v>7.3244109380492857</v>
      </c>
    </row>
    <row r="94" spans="2:4" x14ac:dyDescent="0.35">
      <c r="B94" s="4" t="s">
        <v>246</v>
      </c>
      <c r="C94" s="29" t="str">
        <f>input!$C$5&amp;" / 1000 pcs"</f>
        <v>INR / 1000 pcs</v>
      </c>
      <c r="D94" s="146">
        <f>D125*_xlfn.XLOOKUP(B158,input!$A:$A,input!$C:$C,0)*D56*D104/365*1000/D13</f>
        <v>1.8927603252018896</v>
      </c>
    </row>
    <row r="95" spans="2:4" x14ac:dyDescent="0.35">
      <c r="B95" s="4"/>
      <c r="C95" s="4"/>
      <c r="D95" s="145"/>
    </row>
    <row r="96" spans="2:4" x14ac:dyDescent="0.35">
      <c r="B96" s="4" t="s">
        <v>56</v>
      </c>
      <c r="C96" s="4"/>
      <c r="D96" s="146">
        <f>D13</f>
        <v>62975559</v>
      </c>
    </row>
    <row r="97" spans="2:4" x14ac:dyDescent="0.35">
      <c r="B97" s="4"/>
      <c r="C97" s="4"/>
      <c r="D97" s="145"/>
    </row>
    <row r="98" spans="2:4" x14ac:dyDescent="0.35">
      <c r="B98" s="36" t="s">
        <v>247</v>
      </c>
      <c r="C98" s="4"/>
      <c r="D98" s="145"/>
    </row>
    <row r="99" spans="2:4" x14ac:dyDescent="0.35">
      <c r="B99" s="35" t="s">
        <v>248</v>
      </c>
      <c r="C99" s="4"/>
      <c r="D99" s="145"/>
    </row>
    <row r="100" spans="2:4" x14ac:dyDescent="0.35">
      <c r="B100" s="4" t="s">
        <v>249</v>
      </c>
      <c r="C100" s="29" t="s">
        <v>250</v>
      </c>
      <c r="D100" s="146">
        <v>22</v>
      </c>
    </row>
    <row r="101" spans="2:4" x14ac:dyDescent="0.35">
      <c r="B101" s="4" t="s">
        <v>251</v>
      </c>
      <c r="C101" s="29" t="s">
        <v>250</v>
      </c>
      <c r="D101" s="146">
        <v>20</v>
      </c>
    </row>
    <row r="102" spans="2:4" x14ac:dyDescent="0.35">
      <c r="B102" s="4" t="s">
        <v>252</v>
      </c>
      <c r="C102" s="29" t="s">
        <v>253</v>
      </c>
      <c r="D102" s="146">
        <v>40</v>
      </c>
    </row>
    <row r="103" spans="2:4" x14ac:dyDescent="0.35">
      <c r="B103" s="4" t="s">
        <v>254</v>
      </c>
      <c r="C103" s="29" t="s">
        <v>8</v>
      </c>
      <c r="D103" s="146">
        <f>22/7*(D100*0.348/2)^2+4</f>
        <v>50.054121142857134</v>
      </c>
    </row>
    <row r="104" spans="2:4" x14ac:dyDescent="0.35">
      <c r="B104" s="4" t="s">
        <v>484</v>
      </c>
      <c r="C104" s="29" t="s">
        <v>255</v>
      </c>
      <c r="D104" s="173">
        <f>_xlfn.XLOOKUP(B104,input!$A:$A,input!$C:$C,0)</f>
        <v>45</v>
      </c>
    </row>
    <row r="105" spans="2:4" x14ac:dyDescent="0.35">
      <c r="B105" s="4" t="s">
        <v>256</v>
      </c>
      <c r="C105" s="29" t="s">
        <v>253</v>
      </c>
      <c r="D105" s="146">
        <f>D96*D109/10^6*D104/365</f>
        <v>147.51809026027396</v>
      </c>
    </row>
    <row r="106" spans="2:4" x14ac:dyDescent="0.35">
      <c r="B106" s="4" t="s">
        <v>257</v>
      </c>
      <c r="C106" s="29" t="s">
        <v>8</v>
      </c>
      <c r="D106" s="146">
        <f>D105/D102*D103</f>
        <v>184.59720901626716</v>
      </c>
    </row>
    <row r="107" spans="2:4" x14ac:dyDescent="0.35">
      <c r="B107" s="4"/>
      <c r="C107" s="4"/>
      <c r="D107" s="145"/>
    </row>
    <row r="108" spans="2:4" x14ac:dyDescent="0.35">
      <c r="B108" s="144" t="s">
        <v>258</v>
      </c>
      <c r="C108" s="4"/>
      <c r="D108" s="145"/>
    </row>
    <row r="109" spans="2:4" x14ac:dyDescent="0.35">
      <c r="B109" s="4" t="s">
        <v>259</v>
      </c>
      <c r="C109" s="4" t="s">
        <v>114</v>
      </c>
      <c r="D109" s="146">
        <f>input!C13</f>
        <v>19</v>
      </c>
    </row>
    <row r="110" spans="2:4" x14ac:dyDescent="0.35">
      <c r="B110" s="4" t="s">
        <v>64</v>
      </c>
      <c r="C110" s="29" t="str">
        <f>input!$C$5&amp;" / 1000 pcs"</f>
        <v>INR / 1000 pcs</v>
      </c>
      <c r="D110" s="146">
        <f>material!D53</f>
        <v>2085.3308517320561</v>
      </c>
    </row>
    <row r="111" spans="2:4" x14ac:dyDescent="0.35">
      <c r="B111" s="4" t="s">
        <v>68</v>
      </c>
      <c r="C111" s="29" t="str">
        <f>input!$C$5&amp;" / 1000 pcs"</f>
        <v>INR / 1000 pcs</v>
      </c>
      <c r="D111" s="146">
        <f>SUM(D49,D53,D69,D81,D83,D85)</f>
        <v>642.63852825568779</v>
      </c>
    </row>
    <row r="112" spans="2:4" x14ac:dyDescent="0.35">
      <c r="B112" s="4"/>
      <c r="C112" s="4"/>
      <c r="D112" s="145"/>
    </row>
    <row r="113" spans="2:6" x14ac:dyDescent="0.35">
      <c r="B113" s="36" t="s">
        <v>260</v>
      </c>
      <c r="C113" s="4"/>
      <c r="D113" s="145"/>
    </row>
    <row r="114" spans="2:6" x14ac:dyDescent="0.35">
      <c r="B114" s="4" t="s">
        <v>261</v>
      </c>
      <c r="C114" s="29" t="s">
        <v>262</v>
      </c>
      <c r="D114" s="146" t="s">
        <v>474</v>
      </c>
    </row>
    <row r="115" spans="2:6" x14ac:dyDescent="0.35">
      <c r="B115" s="4" t="s">
        <v>263</v>
      </c>
      <c r="C115" s="29" t="s">
        <v>146</v>
      </c>
      <c r="D115" s="146">
        <v>20</v>
      </c>
    </row>
    <row r="116" spans="2:6" x14ac:dyDescent="0.35">
      <c r="B116" s="4" t="s">
        <v>264</v>
      </c>
      <c r="C116" s="29" t="s">
        <v>146</v>
      </c>
      <c r="D116" s="146">
        <v>10</v>
      </c>
    </row>
    <row r="117" spans="2:6" x14ac:dyDescent="0.35">
      <c r="B117" s="4" t="s">
        <v>265</v>
      </c>
      <c r="C117" s="29" t="s">
        <v>146</v>
      </c>
      <c r="D117" s="146">
        <f>D115*D116</f>
        <v>200</v>
      </c>
    </row>
    <row r="118" spans="2:6" x14ac:dyDescent="0.35">
      <c r="B118" s="4" t="s">
        <v>266</v>
      </c>
      <c r="C118" s="29" t="s">
        <v>8</v>
      </c>
      <c r="D118" s="146">
        <f>2.5*1+4</f>
        <v>6.5</v>
      </c>
    </row>
    <row r="119" spans="2:6" x14ac:dyDescent="0.35">
      <c r="B119" s="4" t="s">
        <v>267</v>
      </c>
      <c r="C119" s="29" t="s">
        <v>146</v>
      </c>
      <c r="D119" s="146">
        <f>_xlfn.XLOOKUP(B119,input!$A:$A,input!$C:$C,0)</f>
        <v>360</v>
      </c>
    </row>
    <row r="120" spans="2:6" x14ac:dyDescent="0.35">
      <c r="B120" s="4" t="s">
        <v>268</v>
      </c>
      <c r="C120" s="29" t="s">
        <v>146</v>
      </c>
      <c r="D120" s="146">
        <f>D117*D119</f>
        <v>72000</v>
      </c>
    </row>
    <row r="121" spans="2:6" x14ac:dyDescent="0.35">
      <c r="B121" s="4" t="s">
        <v>485</v>
      </c>
      <c r="C121" s="29" t="s">
        <v>255</v>
      </c>
      <c r="D121" s="173">
        <f>_xlfn.XLOOKUP(B121,input!$A:$A,input!$C:$C,0)</f>
        <v>7</v>
      </c>
    </row>
    <row r="122" spans="2:6" x14ac:dyDescent="0.35">
      <c r="B122" s="4" t="s">
        <v>269</v>
      </c>
      <c r="C122" s="29" t="s">
        <v>146</v>
      </c>
      <c r="D122" s="146">
        <f>D96*D121/365</f>
        <v>1207750.4465753424</v>
      </c>
    </row>
    <row r="123" spans="2:6" x14ac:dyDescent="0.35">
      <c r="B123" s="4" t="s">
        <v>270</v>
      </c>
      <c r="C123" s="29" t="s">
        <v>8</v>
      </c>
      <c r="D123" s="146">
        <f>D122/D120*D118</f>
        <v>109.03302642694062</v>
      </c>
    </row>
    <row r="124" spans="2:6" x14ac:dyDescent="0.35">
      <c r="B124" s="4"/>
      <c r="C124" s="4"/>
      <c r="D124" s="145"/>
    </row>
    <row r="125" spans="2:6" x14ac:dyDescent="0.35">
      <c r="B125" s="4" t="s">
        <v>271</v>
      </c>
      <c r="C125" s="4"/>
      <c r="D125" s="146">
        <f>D106+D123</f>
        <v>293.63023544320777</v>
      </c>
    </row>
    <row r="126" spans="2:6" x14ac:dyDescent="0.35">
      <c r="B126" s="4"/>
      <c r="C126" s="4"/>
      <c r="D126" s="145"/>
    </row>
    <row r="127" spans="2:6" x14ac:dyDescent="0.35">
      <c r="F127" s="139"/>
    </row>
    <row r="128" spans="2:6" x14ac:dyDescent="0.35">
      <c r="B128" s="42" t="s">
        <v>77</v>
      </c>
    </row>
    <row r="129" spans="1:12" x14ac:dyDescent="0.35">
      <c r="B129" s="35" t="s">
        <v>169</v>
      </c>
      <c r="C129" s="4"/>
      <c r="D129" s="145">
        <v>3</v>
      </c>
      <c r="E129" s="4"/>
      <c r="F129" s="4"/>
    </row>
    <row r="130" spans="1:12" x14ac:dyDescent="0.35">
      <c r="B130" s="35" t="s">
        <v>242</v>
      </c>
      <c r="C130" s="4" t="s">
        <v>1</v>
      </c>
      <c r="D130" s="53" t="s">
        <v>470</v>
      </c>
      <c r="E130" s="53" t="s">
        <v>272</v>
      </c>
      <c r="F130" s="4" t="s">
        <v>471</v>
      </c>
    </row>
    <row r="131" spans="1:12" x14ac:dyDescent="0.35">
      <c r="B131" s="4" t="s">
        <v>45</v>
      </c>
      <c r="C131" s="4" t="str">
        <f>input!$C$5</f>
        <v>INR</v>
      </c>
      <c r="D131" s="146">
        <f>1/4</f>
        <v>0.25</v>
      </c>
      <c r="E131" s="146">
        <f>_xlfn.XLOOKUP($B131,input!$A:$A,input!C:C)</f>
        <v>541800</v>
      </c>
      <c r="F131" s="146">
        <f>D131*$D$129*$D$24*E131</f>
        <v>1625510.2331739268</v>
      </c>
      <c r="G131" s="132" t="s">
        <v>457</v>
      </c>
      <c r="L131" s="185"/>
    </row>
    <row r="132" spans="1:12" x14ac:dyDescent="0.35">
      <c r="B132" s="4" t="s">
        <v>456</v>
      </c>
      <c r="C132" s="4" t="str">
        <f>input!$C$5</f>
        <v>INR</v>
      </c>
      <c r="D132" s="146">
        <f>1/4</f>
        <v>0.25</v>
      </c>
      <c r="E132" s="146">
        <f>_xlfn.XLOOKUP(B131,input!$A:$A,input!$C:$C,0)*70%</f>
        <v>379260</v>
      </c>
      <c r="F132" s="146">
        <f>D132*$D$129*$D$24*E132</f>
        <v>1137857.1632217488</v>
      </c>
      <c r="G132" s="132" t="s">
        <v>458</v>
      </c>
      <c r="L132" s="185"/>
    </row>
    <row r="133" spans="1:12" x14ac:dyDescent="0.35">
      <c r="B133" s="4" t="s">
        <v>49</v>
      </c>
      <c r="C133" s="4" t="str">
        <f>input!$C$5</f>
        <v>INR</v>
      </c>
      <c r="D133" s="146">
        <f>1/15</f>
        <v>6.6666666666666666E-2</v>
      </c>
      <c r="E133" s="146">
        <f>_xlfn.XLOOKUP($B133,input!$A:$A,input!C:C)</f>
        <v>1260000</v>
      </c>
      <c r="F133" s="146">
        <f>D133*$D$129*$D$24*E133</f>
        <v>1008068.3616582493</v>
      </c>
      <c r="G133" s="132" t="s">
        <v>459</v>
      </c>
    </row>
    <row r="134" spans="1:12" x14ac:dyDescent="0.35">
      <c r="B134" s="4" t="s">
        <v>51</v>
      </c>
      <c r="C134" s="4" t="str">
        <f>input!$C$5</f>
        <v>INR</v>
      </c>
      <c r="D134" s="146">
        <f>1*2/30</f>
        <v>6.6666666666666666E-2</v>
      </c>
      <c r="E134" s="146">
        <f>_xlfn.XLOOKUP($B134,input!$A:$A,input!C:C)</f>
        <v>1890000</v>
      </c>
      <c r="F134" s="146">
        <f>D134*$D$24*E134</f>
        <v>504034.18082912458</v>
      </c>
      <c r="G134" s="132" t="s">
        <v>482</v>
      </c>
    </row>
    <row r="135" spans="1:12" x14ac:dyDescent="0.35">
      <c r="B135" s="4" t="s">
        <v>63</v>
      </c>
      <c r="C135" s="4" t="str">
        <f>input!$C$5</f>
        <v>INR</v>
      </c>
      <c r="D135" s="146"/>
      <c r="E135" s="146">
        <f>SUM(E131:E134)</f>
        <v>4071060</v>
      </c>
      <c r="F135" s="146">
        <f>SUM(F131:F134)</f>
        <v>4275469.9388830494</v>
      </c>
    </row>
    <row r="136" spans="1:12" x14ac:dyDescent="0.35">
      <c r="B136" s="4" t="s">
        <v>273</v>
      </c>
      <c r="C136" s="4"/>
      <c r="D136" s="146"/>
      <c r="E136" s="146"/>
      <c r="F136" s="146">
        <f>F135/(input!C98*conversion!D24)</f>
        <v>134.94886363636363</v>
      </c>
    </row>
    <row r="137" spans="1:12" x14ac:dyDescent="0.35">
      <c r="B137" s="151"/>
      <c r="C137" s="151"/>
      <c r="D137" s="152"/>
      <c r="E137" s="110"/>
    </row>
    <row r="138" spans="1:12" x14ac:dyDescent="0.35">
      <c r="B138" s="35" t="s">
        <v>274</v>
      </c>
      <c r="C138" s="4"/>
      <c r="D138" s="145" t="s">
        <v>470</v>
      </c>
      <c r="E138" s="53" t="s">
        <v>471</v>
      </c>
    </row>
    <row r="139" spans="1:12" x14ac:dyDescent="0.35">
      <c r="A139" s="94" t="s">
        <v>45</v>
      </c>
      <c r="B139" s="4" t="s">
        <v>460</v>
      </c>
      <c r="C139" s="4" t="str">
        <f>input!$C$5</f>
        <v>INR</v>
      </c>
      <c r="D139" s="146">
        <v>2</v>
      </c>
      <c r="E139" s="146">
        <f>D139*_xlfn.XLOOKUP(A139,input!$A:$A,input!$C:$C,0)</f>
        <v>1083600</v>
      </c>
      <c r="F139" s="7" t="s">
        <v>476</v>
      </c>
    </row>
    <row r="140" spans="1:12" x14ac:dyDescent="0.35">
      <c r="A140" s="94" t="s">
        <v>49</v>
      </c>
      <c r="B140" s="4" t="s">
        <v>461</v>
      </c>
      <c r="C140" s="4" t="str">
        <f>input!$C$5</f>
        <v>INR</v>
      </c>
      <c r="D140" s="146">
        <v>2</v>
      </c>
      <c r="E140" s="146">
        <f>D140*_xlfn.XLOOKUP(A140,input!$A:$A,input!$C:$C,0)</f>
        <v>2520000</v>
      </c>
      <c r="F140" s="143" t="s">
        <v>477</v>
      </c>
    </row>
    <row r="141" spans="1:12" x14ac:dyDescent="0.35">
      <c r="A141" s="94" t="s">
        <v>45</v>
      </c>
      <c r="B141" s="4" t="s">
        <v>462</v>
      </c>
      <c r="C141" s="4" t="str">
        <f>input!$C$5</f>
        <v>INR</v>
      </c>
      <c r="D141" s="146">
        <v>1</v>
      </c>
      <c r="E141" s="146">
        <f>D141*_xlfn.XLOOKUP(A141,input!$A:$A,input!$C:$C,0)</f>
        <v>541800</v>
      </c>
    </row>
    <row r="142" spans="1:12" x14ac:dyDescent="0.35">
      <c r="A142" s="94" t="s">
        <v>45</v>
      </c>
      <c r="B142" s="4" t="s">
        <v>463</v>
      </c>
      <c r="C142" s="4" t="str">
        <f>input!$C$5</f>
        <v>INR</v>
      </c>
      <c r="D142" s="146">
        <v>1</v>
      </c>
      <c r="E142" s="146">
        <f>D142*_xlfn.XLOOKUP(A142,input!$A:$A,input!$C:$C,0)</f>
        <v>541800</v>
      </c>
    </row>
    <row r="143" spans="1:12" x14ac:dyDescent="0.35">
      <c r="A143" s="94" t="s">
        <v>45</v>
      </c>
      <c r="B143" s="4" t="s">
        <v>464</v>
      </c>
      <c r="C143" s="4" t="str">
        <f>input!$C$5</f>
        <v>INR</v>
      </c>
      <c r="D143" s="146">
        <v>1</v>
      </c>
      <c r="E143" s="146">
        <f>D143*_xlfn.XLOOKUP(A143,input!$A:$A,input!$C:$C,0)</f>
        <v>541800</v>
      </c>
    </row>
    <row r="144" spans="1:12" x14ac:dyDescent="0.35">
      <c r="A144" s="94" t="s">
        <v>45</v>
      </c>
      <c r="B144" s="4" t="s">
        <v>465</v>
      </c>
      <c r="C144" s="4" t="str">
        <f>input!$C$5</f>
        <v>INR</v>
      </c>
      <c r="D144" s="146">
        <v>1</v>
      </c>
      <c r="E144" s="146">
        <f>D144*_xlfn.XLOOKUP(A144,input!$A:$A,input!$C:$C,0)</f>
        <v>541800</v>
      </c>
    </row>
    <row r="145" spans="1:6" x14ac:dyDescent="0.35">
      <c r="A145" s="94" t="s">
        <v>45</v>
      </c>
      <c r="B145" s="4" t="s">
        <v>466</v>
      </c>
      <c r="C145" s="4" t="str">
        <f>input!$C$5</f>
        <v>INR</v>
      </c>
      <c r="D145" s="146">
        <v>1</v>
      </c>
      <c r="E145" s="146">
        <f>D145*_xlfn.XLOOKUP(A145,input!$A:$A,input!$C:$C,0)</f>
        <v>541800</v>
      </c>
    </row>
    <row r="146" spans="1:6" x14ac:dyDescent="0.35">
      <c r="A146" s="94" t="s">
        <v>45</v>
      </c>
      <c r="B146" s="4" t="s">
        <v>467</v>
      </c>
      <c r="C146" s="4" t="str">
        <f>input!$C$5</f>
        <v>INR</v>
      </c>
      <c r="D146" s="146">
        <v>1</v>
      </c>
      <c r="E146" s="146">
        <f>D146*_xlfn.XLOOKUP(A146,input!$A:$A,input!$C:$C,0)</f>
        <v>541800</v>
      </c>
    </row>
    <row r="147" spans="1:6" x14ac:dyDescent="0.35">
      <c r="A147" s="94" t="s">
        <v>45</v>
      </c>
      <c r="B147" s="4" t="s">
        <v>275</v>
      </c>
      <c r="C147" s="4" t="str">
        <f>input!$C$5</f>
        <v>INR</v>
      </c>
      <c r="D147" s="146">
        <v>9</v>
      </c>
      <c r="E147" s="146">
        <f>D147*_xlfn.XLOOKUP(A147,input!$A:$A,input!$C:$C,0)</f>
        <v>4876200</v>
      </c>
      <c r="F147" s="7" t="s">
        <v>478</v>
      </c>
    </row>
    <row r="148" spans="1:6" x14ac:dyDescent="0.35">
      <c r="A148" s="94" t="s">
        <v>45</v>
      </c>
      <c r="B148" s="4" t="s">
        <v>468</v>
      </c>
      <c r="C148" s="4" t="str">
        <f>input!$C$5</f>
        <v>INR</v>
      </c>
      <c r="D148" s="146">
        <v>9</v>
      </c>
      <c r="E148" s="146">
        <f>D148*_xlfn.XLOOKUP(A148,input!$A:$A,input!$C:$C,0)</f>
        <v>4876200</v>
      </c>
      <c r="F148" s="143" t="s">
        <v>478</v>
      </c>
    </row>
    <row r="149" spans="1:6" x14ac:dyDescent="0.35">
      <c r="A149" s="94" t="s">
        <v>45</v>
      </c>
      <c r="B149" s="4" t="s">
        <v>469</v>
      </c>
      <c r="C149" s="4" t="str">
        <f>input!$C$5</f>
        <v>INR</v>
      </c>
      <c r="D149" s="146">
        <v>9</v>
      </c>
      <c r="E149" s="146">
        <f>D149*_xlfn.XLOOKUP(A149,input!$A:$A,input!$C:$C,0)</f>
        <v>4876200</v>
      </c>
      <c r="F149" s="143" t="s">
        <v>478</v>
      </c>
    </row>
    <row r="150" spans="1:6" x14ac:dyDescent="0.35">
      <c r="A150" s="94" t="s">
        <v>51</v>
      </c>
      <c r="B150" s="4" t="s">
        <v>276</v>
      </c>
      <c r="C150" s="4" t="str">
        <f>input!$C$5</f>
        <v>INR</v>
      </c>
      <c r="D150" s="146">
        <v>1</v>
      </c>
      <c r="E150" s="146">
        <f>D150*_xlfn.XLOOKUP(A150,input!$A:$A,input!$C:$C,0)</f>
        <v>1890000</v>
      </c>
    </row>
    <row r="151" spans="1:6" x14ac:dyDescent="0.35">
      <c r="B151" s="4" t="s">
        <v>63</v>
      </c>
      <c r="C151" s="4" t="str">
        <f>input!$C$5</f>
        <v>INR</v>
      </c>
      <c r="D151" s="146"/>
      <c r="E151" s="146">
        <f>SUM(E139:E150)</f>
        <v>23373000</v>
      </c>
    </row>
    <row r="153" spans="1:6" x14ac:dyDescent="0.35">
      <c r="B153" s="42" t="s">
        <v>277</v>
      </c>
    </row>
    <row r="154" spans="1:6" x14ac:dyDescent="0.35">
      <c r="B154" s="28" t="s">
        <v>0</v>
      </c>
      <c r="C154" s="28" t="s">
        <v>1</v>
      </c>
      <c r="D154" s="57" t="s">
        <v>278</v>
      </c>
      <c r="E154" s="57" t="str">
        <f>input!$C$5&amp;" / 1000 pcs"</f>
        <v>INR / 1000 pcs</v>
      </c>
    </row>
    <row r="155" spans="1:6" x14ac:dyDescent="0.35">
      <c r="B155" s="4" t="s">
        <v>23</v>
      </c>
      <c r="C155" s="4"/>
      <c r="D155" s="146" t="str">
        <f>_xlfn.XLOOKUP($B155,input!$A:$A,input!C:C)</f>
        <v>Owned</v>
      </c>
      <c r="E155" s="146"/>
    </row>
    <row r="156" spans="1:6" x14ac:dyDescent="0.35">
      <c r="B156" s="4" t="s">
        <v>279</v>
      </c>
      <c r="C156" s="4" t="s">
        <v>8</v>
      </c>
      <c r="D156" s="146">
        <f>backup!C17</f>
        <v>696.34719955758351</v>
      </c>
      <c r="E156" s="146"/>
    </row>
    <row r="157" spans="1:6" x14ac:dyDescent="0.35">
      <c r="B157" s="4" t="s">
        <v>280</v>
      </c>
      <c r="C157" s="4" t="s">
        <v>8</v>
      </c>
      <c r="D157" s="146">
        <f>backup!C15</f>
        <v>487.44303969030841</v>
      </c>
      <c r="E157" s="146"/>
    </row>
    <row r="158" spans="1:6" x14ac:dyDescent="0.35">
      <c r="B158" s="4" t="s">
        <v>10</v>
      </c>
      <c r="C158" s="4" t="str">
        <f>input!$C$5</f>
        <v>INR</v>
      </c>
      <c r="D158" s="153">
        <f>IF($D$155="Owned",_xlfn.XLOOKUP(B158,input!A:A,input!C:C,0)*conversion!D156,IF(conversion!$D$155="Leased",0))</f>
        <v>16377402.785605308</v>
      </c>
      <c r="E158" s="153"/>
    </row>
    <row r="159" spans="1:6" x14ac:dyDescent="0.35">
      <c r="B159" s="4" t="s">
        <v>15</v>
      </c>
      <c r="C159" s="4" t="str">
        <f>input!$C$5</f>
        <v>INR</v>
      </c>
      <c r="D159" s="153">
        <f>IF($D$155="Owned",_xlfn.XLOOKUP(B159,input!A:A,input!C:C,0)*conversion!D157,IF(conversion!$D$155="Leased",0))</f>
        <v>3412101.2778321588</v>
      </c>
      <c r="E159" s="153"/>
    </row>
    <row r="160" spans="1:6" x14ac:dyDescent="0.35">
      <c r="B160" s="4" t="s">
        <v>230</v>
      </c>
      <c r="C160" s="4" t="str">
        <f>input!$C$5</f>
        <v>INR</v>
      </c>
      <c r="D160" s="146">
        <f>backup!E39</f>
        <v>3618609.2493567811</v>
      </c>
      <c r="E160" s="146"/>
    </row>
    <row r="161" spans="2:7" x14ac:dyDescent="0.35">
      <c r="B161" s="4" t="s">
        <v>19</v>
      </c>
      <c r="C161" s="4" t="s">
        <v>55</v>
      </c>
      <c r="D161" s="146">
        <f>IF($D$155="Owned",0,IF($D$155="Leased",D157*_xlfn.XLOOKUP(B161,input!A:A,input!C:C,0)))</f>
        <v>0</v>
      </c>
      <c r="E161" s="146"/>
    </row>
    <row r="162" spans="2:7" x14ac:dyDescent="0.35">
      <c r="B162" s="4" t="s">
        <v>63</v>
      </c>
      <c r="C162" s="4" t="str">
        <f>input!$C$5</f>
        <v>INR</v>
      </c>
      <c r="D162" s="146">
        <f>SUM(D158:D161)</f>
        <v>23408113.312794246</v>
      </c>
      <c r="E162" s="146"/>
    </row>
    <row r="163" spans="2:7" x14ac:dyDescent="0.35">
      <c r="B163" s="4"/>
      <c r="C163" s="4"/>
      <c r="D163" s="145"/>
      <c r="E163" s="145"/>
    </row>
    <row r="164" spans="2:7" x14ac:dyDescent="0.35">
      <c r="B164" s="4" t="s">
        <v>69</v>
      </c>
      <c r="C164" s="4" t="str">
        <f>input!$C$5</f>
        <v>INR</v>
      </c>
      <c r="D164" s="146">
        <f>VLOOKUP(D47,Dep_Sch_Others,COLUMNS($A$301:$D$335),0)</f>
        <v>212674.56659663955</v>
      </c>
      <c r="E164" s="146">
        <f>D164*1000/$D$13</f>
        <v>3.3770969241676685</v>
      </c>
    </row>
    <row r="165" spans="2:7" x14ac:dyDescent="0.35">
      <c r="B165" s="4" t="s">
        <v>31</v>
      </c>
      <c r="C165" s="4" t="str">
        <f>input!$C$5</f>
        <v>INR</v>
      </c>
      <c r="D165" s="146">
        <f>VLOOKUP(D47,Interest_Sch_Others,COLUMNS($A$340:$D$397),0)</f>
        <v>1811262.901264637</v>
      </c>
      <c r="E165" s="146">
        <f t="shared" ref="E165:E168" si="0">D165*1000/$D$13</f>
        <v>28.761362821164273</v>
      </c>
    </row>
    <row r="166" spans="2:7" x14ac:dyDescent="0.35">
      <c r="B166" s="4" t="s">
        <v>19</v>
      </c>
      <c r="C166" s="4" t="str">
        <f>input!$C$5</f>
        <v>INR</v>
      </c>
      <c r="D166" s="146">
        <f>D161</f>
        <v>0</v>
      </c>
      <c r="E166" s="146">
        <f t="shared" si="0"/>
        <v>0</v>
      </c>
    </row>
    <row r="167" spans="2:7" x14ac:dyDescent="0.35">
      <c r="B167" s="4" t="s">
        <v>274</v>
      </c>
      <c r="C167" s="4" t="str">
        <f>input!$C$5</f>
        <v>INR</v>
      </c>
      <c r="D167" s="146">
        <f>E151*backup!C17/backup!C108</f>
        <v>3255144.6190518797</v>
      </c>
      <c r="E167" s="146">
        <f t="shared" si="0"/>
        <v>51.689015083643483</v>
      </c>
      <c r="G167" s="185"/>
    </row>
    <row r="168" spans="2:7" x14ac:dyDescent="0.35">
      <c r="B168" s="4" t="s">
        <v>42</v>
      </c>
      <c r="C168" s="4" t="str">
        <f>input!$C$5</f>
        <v>INR</v>
      </c>
      <c r="D168" s="146">
        <f>SUM(D159:D160)*_xlfn.XLOOKUP(B168,input!$A:$A,input!$C:$C,0)</f>
        <v>175767.76317972352</v>
      </c>
      <c r="E168" s="146">
        <f t="shared" si="0"/>
        <v>2.7910472883571154</v>
      </c>
    </row>
    <row r="169" spans="2:7" x14ac:dyDescent="0.35">
      <c r="B169" s="4"/>
      <c r="C169" s="4"/>
      <c r="D169" s="145"/>
    </row>
    <row r="170" spans="2:7" x14ac:dyDescent="0.35">
      <c r="B170" s="4" t="s">
        <v>281</v>
      </c>
      <c r="C170" s="4" t="str">
        <f>input!$C$5</f>
        <v>INR</v>
      </c>
      <c r="D170" s="146">
        <f>SUM(D164:D168)</f>
        <v>5454849.8500928795</v>
      </c>
    </row>
    <row r="171" spans="2:7" x14ac:dyDescent="0.35">
      <c r="B171" s="4" t="s">
        <v>19</v>
      </c>
      <c r="C171" s="36" t="str">
        <f>input!$C$5&amp;" / 1000 pcs"</f>
        <v>INR / 1000 pcs</v>
      </c>
      <c r="D171" s="172">
        <f>D161*1000/D13</f>
        <v>0</v>
      </c>
    </row>
    <row r="173" spans="2:7" x14ac:dyDescent="0.35">
      <c r="B173" s="28" t="s">
        <v>0</v>
      </c>
      <c r="C173" s="28" t="s">
        <v>1</v>
      </c>
      <c r="D173" s="57"/>
    </row>
    <row r="174" spans="2:7" x14ac:dyDescent="0.35">
      <c r="B174" s="4" t="s">
        <v>487</v>
      </c>
      <c r="C174" s="4"/>
      <c r="D174" s="146"/>
    </row>
    <row r="175" spans="2:7" x14ac:dyDescent="0.35">
      <c r="B175" s="4" t="s">
        <v>162</v>
      </c>
      <c r="C175" s="4" t="s">
        <v>146</v>
      </c>
      <c r="D175" s="146">
        <f>_xlfn.XLOOKUP(B175,input!$A:$A,input!$C:$C,0)</f>
        <v>360</v>
      </c>
    </row>
    <row r="176" spans="2:7" x14ac:dyDescent="0.35">
      <c r="B176" s="4" t="s">
        <v>489</v>
      </c>
      <c r="C176" s="4" t="s">
        <v>146</v>
      </c>
      <c r="D176" s="146">
        <f>_xlfn.XLOOKUP(B176,input!$A:$A,input!$C:$C,0)</f>
        <v>2000</v>
      </c>
    </row>
    <row r="177" spans="2:4" x14ac:dyDescent="0.35">
      <c r="B177" s="4" t="s">
        <v>490</v>
      </c>
      <c r="C177" s="4" t="str">
        <f>input!$C$5</f>
        <v>INR</v>
      </c>
      <c r="D177" s="146">
        <f>_xlfn.XLOOKUP(B177,input!$A:$A,input!$C:$C,0)</f>
        <v>60</v>
      </c>
    </row>
    <row r="178" spans="2:4" x14ac:dyDescent="0.35">
      <c r="B178" s="4" t="s">
        <v>491</v>
      </c>
      <c r="C178" s="4" t="str">
        <f>input!$C$5</f>
        <v>INR</v>
      </c>
      <c r="D178" s="146">
        <f>_xlfn.XLOOKUP(B178,input!$A:$A,input!$C:$C,0)</f>
        <v>25</v>
      </c>
    </row>
    <row r="179" spans="2:4" x14ac:dyDescent="0.35">
      <c r="B179" s="36" t="s">
        <v>492</v>
      </c>
      <c r="C179" s="36" t="str">
        <f>input!$C$5&amp;" / 1000 pcs"</f>
        <v>INR / 1000 pcs</v>
      </c>
      <c r="D179" s="146">
        <f>(SUM(D177:D178)*1000/D175)</f>
        <v>236.11111111111111</v>
      </c>
    </row>
    <row r="180" spans="2:4" x14ac:dyDescent="0.35">
      <c r="B180" s="4"/>
      <c r="C180" s="4"/>
      <c r="D180" s="174"/>
    </row>
    <row r="181" spans="2:4" x14ac:dyDescent="0.35">
      <c r="B181" s="4" t="s">
        <v>488</v>
      </c>
      <c r="C181" s="4"/>
      <c r="D181" s="174"/>
    </row>
    <row r="182" spans="2:4" x14ac:dyDescent="0.35">
      <c r="B182" s="4" t="s">
        <v>162</v>
      </c>
      <c r="C182" s="4" t="s">
        <v>146</v>
      </c>
      <c r="D182" s="175">
        <f>_xlfn.XLOOKUP(B182,input!$A:$A,input!$C:$C,0)</f>
        <v>360</v>
      </c>
    </row>
    <row r="183" spans="2:4" x14ac:dyDescent="0.35">
      <c r="B183" s="4" t="s">
        <v>489</v>
      </c>
      <c r="C183" s="4" t="s">
        <v>146</v>
      </c>
      <c r="D183" s="146">
        <f>_xlfn.XLOOKUP(B183,input!$A:$A,input!$C:$C,0)</f>
        <v>2000</v>
      </c>
    </row>
    <row r="184" spans="2:4" x14ac:dyDescent="0.35">
      <c r="B184" s="4" t="s">
        <v>493</v>
      </c>
      <c r="C184" s="4" t="s">
        <v>146</v>
      </c>
      <c r="D184" s="146">
        <f>D182*D183</f>
        <v>720000</v>
      </c>
    </row>
    <row r="185" spans="2:4" x14ac:dyDescent="0.35">
      <c r="B185" s="4" t="s">
        <v>447</v>
      </c>
      <c r="C185" s="4" t="str">
        <f>input!$C$5</f>
        <v>INR</v>
      </c>
      <c r="D185" s="146">
        <f>_xlfn.XLOOKUP(B185,input!$A:$A,input!$C:$C,0)</f>
        <v>8000</v>
      </c>
    </row>
    <row r="186" spans="2:4" x14ac:dyDescent="0.35">
      <c r="B186" s="36" t="s">
        <v>205</v>
      </c>
      <c r="C186" s="36" t="str">
        <f>input!$C$5&amp;" / 1000 pcs"</f>
        <v>INR / 1000 pcs</v>
      </c>
      <c r="D186" s="146">
        <f>D185*1000/D184</f>
        <v>11.111111111111111</v>
      </c>
    </row>
    <row r="189" spans="2:4" ht="14.25" x14ac:dyDescent="0.45">
      <c r="B189" s="42" t="s">
        <v>34</v>
      </c>
      <c r="C189"/>
    </row>
    <row r="190" spans="2:4" x14ac:dyDescent="0.35">
      <c r="B190" s="4" t="s">
        <v>64</v>
      </c>
      <c r="C190" s="4" t="str">
        <f>input!$C$5&amp;" /000"</f>
        <v>INR /000</v>
      </c>
      <c r="D190" s="175">
        <f>summary!B5</f>
        <v>2085.3308517320565</v>
      </c>
    </row>
    <row r="191" spans="2:4" x14ac:dyDescent="0.35">
      <c r="B191" s="4" t="s">
        <v>68</v>
      </c>
      <c r="C191" s="4" t="str">
        <f>input!$C$5&amp;" /000"</f>
        <v>INR /000</v>
      </c>
      <c r="D191" s="175">
        <f>D83+D81+E167+D65+D69+E166+D49+E164+D53+E165</f>
        <v>694.86758930159544</v>
      </c>
    </row>
    <row r="192" spans="2:4" x14ac:dyDescent="0.35">
      <c r="B192" s="4" t="str">
        <f>input!A109</f>
        <v>RM Payment term</v>
      </c>
      <c r="C192" s="4" t="s">
        <v>209</v>
      </c>
      <c r="D192" s="146">
        <f>_xlfn.XLOOKUP(B192,input!$A:$A,input!$C:$C,0)</f>
        <v>45</v>
      </c>
    </row>
    <row r="193" spans="1:4" x14ac:dyDescent="0.35">
      <c r="B193" s="4" t="str">
        <f>input!A110</f>
        <v>FG Payment term</v>
      </c>
      <c r="C193" s="4" t="s">
        <v>209</v>
      </c>
      <c r="D193" s="146">
        <f>_xlfn.XLOOKUP(B193,input!$A:$A,input!$C:$C,0)</f>
        <v>60</v>
      </c>
    </row>
    <row r="194" spans="1:4" x14ac:dyDescent="0.35">
      <c r="B194" s="4" t="s">
        <v>495</v>
      </c>
      <c r="C194" s="4" t="s">
        <v>209</v>
      </c>
      <c r="D194" s="175">
        <f>D193-D192</f>
        <v>15</v>
      </c>
    </row>
    <row r="195" spans="1:4" x14ac:dyDescent="0.35">
      <c r="B195" s="4" t="str">
        <f>input!A76</f>
        <v>Interest on Working Capital</v>
      </c>
      <c r="C195" s="4" t="s">
        <v>26</v>
      </c>
      <c r="D195" s="142">
        <f>_xlfn.XLOOKUP(B195,input!$A:$A,input!$C:$C,0)</f>
        <v>0.14000000000000001</v>
      </c>
    </row>
    <row r="196" spans="1:4" x14ac:dyDescent="0.35">
      <c r="B196" s="4" t="str">
        <f>B195</f>
        <v>Interest on Working Capital</v>
      </c>
      <c r="C196" s="4" t="str">
        <f>input!$C$5&amp;" /000"</f>
        <v>INR /000</v>
      </c>
      <c r="D196" s="146">
        <f>SUM(D190:D191)*D195*D194/365</f>
        <v>15.995662263481288</v>
      </c>
    </row>
    <row r="198" spans="1:4" x14ac:dyDescent="0.35">
      <c r="B198" s="143"/>
    </row>
    <row r="199" spans="1:4" x14ac:dyDescent="0.35">
      <c r="B199" s="28" t="s">
        <v>449</v>
      </c>
      <c r="C199" s="28" t="s">
        <v>1</v>
      </c>
      <c r="D199" s="57" t="str">
        <f>D10</f>
        <v>xxxxx</v>
      </c>
    </row>
    <row r="200" spans="1:4" x14ac:dyDescent="0.35">
      <c r="B200" s="28"/>
      <c r="C200" s="28"/>
      <c r="D200" s="57" t="str">
        <f>D11</f>
        <v xml:space="preserve">Comfort 220ml </v>
      </c>
    </row>
    <row r="201" spans="1:4" x14ac:dyDescent="0.35">
      <c r="B201" s="4" t="s">
        <v>282</v>
      </c>
      <c r="C201" s="4"/>
      <c r="D201" s="145">
        <f>D45</f>
        <v>138596883.14363506</v>
      </c>
    </row>
    <row r="202" spans="1:4" x14ac:dyDescent="0.35">
      <c r="B202" s="4"/>
      <c r="C202" s="4"/>
      <c r="D202" s="145"/>
    </row>
    <row r="203" spans="1:4" x14ac:dyDescent="0.35">
      <c r="B203" s="4" t="s">
        <v>564</v>
      </c>
      <c r="C203" s="4" t="s">
        <v>26</v>
      </c>
      <c r="D203" s="148">
        <f>_xlfn.XLOOKUP($B203,input!$A:$A,input!C:C)</f>
        <v>0.15</v>
      </c>
    </row>
    <row r="204" spans="1:4" x14ac:dyDescent="0.35">
      <c r="B204" s="4" t="s">
        <v>283</v>
      </c>
      <c r="C204" s="4" t="str">
        <f>input!$C$5</f>
        <v>INR</v>
      </c>
      <c r="D204" s="146">
        <f>D201*5%</f>
        <v>6929844.1571817538</v>
      </c>
    </row>
    <row r="205" spans="1:4" x14ac:dyDescent="0.35">
      <c r="B205" s="4" t="s">
        <v>284</v>
      </c>
      <c r="C205" s="4" t="str">
        <f>input!$C$5</f>
        <v>INR</v>
      </c>
      <c r="D205" s="146">
        <f>D201-D204</f>
        <v>131667038.98645331</v>
      </c>
    </row>
    <row r="206" spans="1:4" x14ac:dyDescent="0.35">
      <c r="A206" s="94">
        <v>1</v>
      </c>
      <c r="B206" s="4" t="s">
        <v>285</v>
      </c>
      <c r="C206" s="4" t="str">
        <f>input!$C$5</f>
        <v>INR</v>
      </c>
      <c r="D206" s="146">
        <f>D205*D$203</f>
        <v>19750055.847967997</v>
      </c>
    </row>
    <row r="207" spans="1:4" x14ac:dyDescent="0.35">
      <c r="B207" s="4" t="s">
        <v>286</v>
      </c>
      <c r="C207" s="4" t="str">
        <f>input!$C$5</f>
        <v>INR</v>
      </c>
      <c r="D207" s="146">
        <f>D205-D206</f>
        <v>111916983.13848531</v>
      </c>
    </row>
    <row r="208" spans="1:4" x14ac:dyDescent="0.35">
      <c r="A208" s="94">
        <f>A206+1</f>
        <v>2</v>
      </c>
      <c r="B208" s="4" t="s">
        <v>287</v>
      </c>
      <c r="C208" s="4" t="str">
        <f>input!$C$5</f>
        <v>INR</v>
      </c>
      <c r="D208" s="146">
        <f>D207*D$203</f>
        <v>16787547.470772795</v>
      </c>
    </row>
    <row r="209" spans="1:4" x14ac:dyDescent="0.35">
      <c r="B209" s="4" t="s">
        <v>288</v>
      </c>
      <c r="C209" s="4" t="str">
        <f>input!$C$5</f>
        <v>INR</v>
      </c>
      <c r="D209" s="146">
        <f>D207-D208</f>
        <v>95129435.66771251</v>
      </c>
    </row>
    <row r="210" spans="1:4" x14ac:dyDescent="0.35">
      <c r="A210" s="94">
        <f>A208+1</f>
        <v>3</v>
      </c>
      <c r="B210" s="4" t="s">
        <v>289</v>
      </c>
      <c r="C210" s="4" t="str">
        <f>input!$C$5</f>
        <v>INR</v>
      </c>
      <c r="D210" s="146">
        <f>D209*D$203</f>
        <v>14269415.350156875</v>
      </c>
    </row>
    <row r="211" spans="1:4" x14ac:dyDescent="0.35">
      <c r="B211" s="4" t="s">
        <v>290</v>
      </c>
      <c r="C211" s="4" t="str">
        <f>input!$C$5</f>
        <v>INR</v>
      </c>
      <c r="D211" s="146">
        <f>D209-D210</f>
        <v>80860020.317555636</v>
      </c>
    </row>
    <row r="212" spans="1:4" x14ac:dyDescent="0.35">
      <c r="A212" s="94">
        <f>A210+1</f>
        <v>4</v>
      </c>
      <c r="B212" s="4" t="s">
        <v>291</v>
      </c>
      <c r="C212" s="4" t="str">
        <f>input!$C$5</f>
        <v>INR</v>
      </c>
      <c r="D212" s="146">
        <f>D211*D$203</f>
        <v>12129003.047633344</v>
      </c>
    </row>
    <row r="213" spans="1:4" x14ac:dyDescent="0.35">
      <c r="B213" s="4" t="s">
        <v>292</v>
      </c>
      <c r="C213" s="4" t="str">
        <f>input!$C$5</f>
        <v>INR</v>
      </c>
      <c r="D213" s="146">
        <f>D211-D212</f>
        <v>68731017.269922286</v>
      </c>
    </row>
    <row r="214" spans="1:4" x14ac:dyDescent="0.35">
      <c r="A214" s="94">
        <f>A212+1</f>
        <v>5</v>
      </c>
      <c r="B214" s="4" t="s">
        <v>293</v>
      </c>
      <c r="C214" s="4" t="str">
        <f>input!$C$5</f>
        <v>INR</v>
      </c>
      <c r="D214" s="146">
        <f>D213*D$203</f>
        <v>10309652.590488343</v>
      </c>
    </row>
    <row r="215" spans="1:4" x14ac:dyDescent="0.35">
      <c r="B215" s="4" t="s">
        <v>294</v>
      </c>
      <c r="C215" s="4" t="str">
        <f>input!$C$5</f>
        <v>INR</v>
      </c>
      <c r="D215" s="146">
        <f>D213-D214</f>
        <v>58421364.679433942</v>
      </c>
    </row>
    <row r="216" spans="1:4" x14ac:dyDescent="0.35">
      <c r="A216" s="94">
        <f>A214+1</f>
        <v>6</v>
      </c>
      <c r="B216" s="4" t="s">
        <v>295</v>
      </c>
      <c r="C216" s="4" t="str">
        <f>input!$C$5</f>
        <v>INR</v>
      </c>
      <c r="D216" s="146">
        <f>D215*D$203</f>
        <v>8763204.7019150909</v>
      </c>
    </row>
    <row r="217" spans="1:4" x14ac:dyDescent="0.35">
      <c r="B217" s="4" t="s">
        <v>296</v>
      </c>
      <c r="C217" s="4" t="str">
        <f>input!$C$5</f>
        <v>INR</v>
      </c>
      <c r="D217" s="146">
        <f>D215-D216</f>
        <v>49658159.977518849</v>
      </c>
    </row>
    <row r="218" spans="1:4" x14ac:dyDescent="0.35">
      <c r="A218" s="94">
        <f>A216+1</f>
        <v>7</v>
      </c>
      <c r="B218" s="4" t="s">
        <v>297</v>
      </c>
      <c r="C218" s="4" t="str">
        <f>input!$C$5</f>
        <v>INR</v>
      </c>
      <c r="D218" s="146">
        <f>D217*D$203</f>
        <v>7448723.9966278272</v>
      </c>
    </row>
    <row r="219" spans="1:4" x14ac:dyDescent="0.35">
      <c r="B219" s="4" t="s">
        <v>298</v>
      </c>
      <c r="C219" s="4" t="str">
        <f>input!$C$5</f>
        <v>INR</v>
      </c>
      <c r="D219" s="146">
        <f>D217-D218</f>
        <v>42209435.980891019</v>
      </c>
    </row>
    <row r="220" spans="1:4" x14ac:dyDescent="0.35">
      <c r="A220" s="94">
        <f>A218+1</f>
        <v>8</v>
      </c>
      <c r="B220" s="4" t="s">
        <v>299</v>
      </c>
      <c r="C220" s="4" t="str">
        <f>input!$C$5</f>
        <v>INR</v>
      </c>
      <c r="D220" s="146">
        <f>D219*D$203</f>
        <v>6331415.3971336531</v>
      </c>
    </row>
    <row r="221" spans="1:4" x14ac:dyDescent="0.35">
      <c r="B221" s="4" t="s">
        <v>300</v>
      </c>
      <c r="C221" s="4" t="str">
        <f>input!$C$5</f>
        <v>INR</v>
      </c>
      <c r="D221" s="146">
        <f>D219-D220</f>
        <v>35878020.583757363</v>
      </c>
    </row>
    <row r="222" spans="1:4" x14ac:dyDescent="0.35">
      <c r="A222" s="94">
        <f>A220+1</f>
        <v>9</v>
      </c>
      <c r="B222" s="4" t="s">
        <v>301</v>
      </c>
      <c r="C222" s="4" t="str">
        <f>input!$C$5</f>
        <v>INR</v>
      </c>
      <c r="D222" s="146">
        <f>D221*D$203</f>
        <v>5381703.0875636041</v>
      </c>
    </row>
    <row r="223" spans="1:4" x14ac:dyDescent="0.35">
      <c r="B223" s="4" t="s">
        <v>302</v>
      </c>
      <c r="C223" s="4" t="str">
        <f>input!$C$5</f>
        <v>INR</v>
      </c>
      <c r="D223" s="146">
        <f>D221-D222</f>
        <v>30496317.496193759</v>
      </c>
    </row>
    <row r="224" spans="1:4" x14ac:dyDescent="0.35">
      <c r="A224" s="94">
        <f>A222+1</f>
        <v>10</v>
      </c>
      <c r="B224" s="4" t="s">
        <v>303</v>
      </c>
      <c r="C224" s="4" t="str">
        <f>input!$C$5</f>
        <v>INR</v>
      </c>
      <c r="D224" s="146">
        <f>D223*D$203</f>
        <v>4574447.6244290639</v>
      </c>
    </row>
    <row r="225" spans="1:4" x14ac:dyDescent="0.35">
      <c r="B225" s="4" t="s">
        <v>304</v>
      </c>
      <c r="C225" s="4" t="str">
        <f>input!$C$5</f>
        <v>INR</v>
      </c>
      <c r="D225" s="146">
        <f>D223-D224</f>
        <v>25921869.871764697</v>
      </c>
    </row>
    <row r="226" spans="1:4" x14ac:dyDescent="0.35">
      <c r="A226" s="94">
        <f>A224+1</f>
        <v>11</v>
      </c>
      <c r="B226" s="4" t="s">
        <v>305</v>
      </c>
      <c r="C226" s="4" t="str">
        <f>input!$C$5</f>
        <v>INR</v>
      </c>
      <c r="D226" s="146">
        <f>D225*D$203</f>
        <v>3888280.4807647043</v>
      </c>
    </row>
    <row r="227" spans="1:4" x14ac:dyDescent="0.35">
      <c r="B227" s="4" t="s">
        <v>306</v>
      </c>
      <c r="C227" s="4" t="str">
        <f>input!$C$5</f>
        <v>INR</v>
      </c>
      <c r="D227" s="146">
        <f>D225-D226</f>
        <v>22033589.390999991</v>
      </c>
    </row>
    <row r="228" spans="1:4" x14ac:dyDescent="0.35">
      <c r="A228" s="94">
        <f>A226+1</f>
        <v>12</v>
      </c>
      <c r="B228" s="4" t="s">
        <v>307</v>
      </c>
      <c r="C228" s="4" t="str">
        <f>input!$C$5</f>
        <v>INR</v>
      </c>
      <c r="D228" s="146">
        <f>D227*D$203</f>
        <v>3305038.4086499987</v>
      </c>
    </row>
    <row r="229" spans="1:4" x14ac:dyDescent="0.35">
      <c r="B229" s="4" t="s">
        <v>308</v>
      </c>
      <c r="C229" s="4" t="str">
        <f>input!$C$5</f>
        <v>INR</v>
      </c>
      <c r="D229" s="146">
        <f>D227-D228</f>
        <v>18728550.982349992</v>
      </c>
    </row>
    <row r="230" spans="1:4" x14ac:dyDescent="0.35">
      <c r="A230" s="94">
        <f>A228+1</f>
        <v>13</v>
      </c>
      <c r="B230" s="4" t="s">
        <v>309</v>
      </c>
      <c r="C230" s="4" t="str">
        <f>input!$C$5</f>
        <v>INR</v>
      </c>
      <c r="D230" s="146">
        <f>D229*D$203</f>
        <v>2809282.6473524985</v>
      </c>
    </row>
    <row r="231" spans="1:4" x14ac:dyDescent="0.35">
      <c r="B231" s="4" t="s">
        <v>310</v>
      </c>
      <c r="C231" s="4" t="str">
        <f>input!$C$5</f>
        <v>INR</v>
      </c>
      <c r="D231" s="146">
        <f>D229-D230</f>
        <v>15919268.334997494</v>
      </c>
    </row>
    <row r="232" spans="1:4" x14ac:dyDescent="0.35">
      <c r="A232" s="94">
        <f>A230+1</f>
        <v>14</v>
      </c>
      <c r="B232" s="4" t="s">
        <v>311</v>
      </c>
      <c r="C232" s="4" t="str">
        <f>input!$C$5</f>
        <v>INR</v>
      </c>
      <c r="D232" s="146">
        <f>D231*D$203</f>
        <v>2387890.2502496238</v>
      </c>
    </row>
    <row r="233" spans="1:4" x14ac:dyDescent="0.35">
      <c r="B233" s="4" t="s">
        <v>312</v>
      </c>
      <c r="C233" s="4" t="str">
        <f>input!$C$5</f>
        <v>INR</v>
      </c>
      <c r="D233" s="146">
        <f>D231-D232</f>
        <v>13531378.08474787</v>
      </c>
    </row>
    <row r="234" spans="1:4" x14ac:dyDescent="0.35">
      <c r="A234" s="94">
        <f>A232+1</f>
        <v>15</v>
      </c>
      <c r="B234" s="4" t="s">
        <v>313</v>
      </c>
      <c r="C234" s="4" t="str">
        <f>input!$C$5</f>
        <v>INR</v>
      </c>
      <c r="D234" s="146">
        <f>D233*D$203</f>
        <v>2029706.7127121803</v>
      </c>
    </row>
    <row r="239" spans="1:4" x14ac:dyDescent="0.35">
      <c r="B239" s="27" t="s">
        <v>314</v>
      </c>
      <c r="C239" s="27" t="s">
        <v>1</v>
      </c>
      <c r="D239" s="57" t="str">
        <f>D10</f>
        <v>xxxxx</v>
      </c>
    </row>
    <row r="240" spans="1:4" x14ac:dyDescent="0.35">
      <c r="B240" s="27"/>
      <c r="C240" s="27"/>
      <c r="D240" s="57" t="str">
        <f>D11</f>
        <v xml:space="preserve">Comfort 220ml </v>
      </c>
    </row>
    <row r="241" spans="1:4" x14ac:dyDescent="0.35">
      <c r="B241" s="4" t="s">
        <v>315</v>
      </c>
      <c r="C241" s="4" t="str">
        <f>input!$C$5</f>
        <v>INR</v>
      </c>
      <c r="D241" s="146">
        <f>D45</f>
        <v>138596883.14363506</v>
      </c>
    </row>
    <row r="242" spans="1:4" x14ac:dyDescent="0.35">
      <c r="B242" s="4"/>
      <c r="C242" s="154"/>
      <c r="D242" s="145"/>
    </row>
    <row r="243" spans="1:4" x14ac:dyDescent="0.35">
      <c r="B243" s="4" t="s">
        <v>31</v>
      </c>
      <c r="C243" s="154" t="s">
        <v>26</v>
      </c>
      <c r="D243" s="148">
        <f>_xlfn.XLOOKUP($B243,input!$A:$A,input!C:C)</f>
        <v>0.125</v>
      </c>
    </row>
    <row r="244" spans="1:4" x14ac:dyDescent="0.35">
      <c r="B244" s="4" t="s">
        <v>316</v>
      </c>
      <c r="C244" s="154" t="s">
        <v>156</v>
      </c>
      <c r="D244" s="146">
        <v>10</v>
      </c>
    </row>
    <row r="245" spans="1:4" x14ac:dyDescent="0.35">
      <c r="B245" s="4" t="s">
        <v>317</v>
      </c>
      <c r="C245" s="154"/>
      <c r="D245" s="146">
        <v>1</v>
      </c>
    </row>
    <row r="246" spans="1:4" x14ac:dyDescent="0.35">
      <c r="B246" s="4" t="s">
        <v>318</v>
      </c>
      <c r="C246" s="4" t="str">
        <f>input!$C$5</f>
        <v>INR</v>
      </c>
      <c r="D246" s="146">
        <f>-PMT((D243/D245),(D244*D245),D241)</f>
        <v>25033616.003020003</v>
      </c>
    </row>
    <row r="247" spans="1:4" x14ac:dyDescent="0.35">
      <c r="B247" s="4"/>
      <c r="C247" s="154"/>
      <c r="D247" s="145"/>
    </row>
    <row r="248" spans="1:4" x14ac:dyDescent="0.35">
      <c r="B248" s="4" t="s">
        <v>319</v>
      </c>
      <c r="C248" s="4" t="str">
        <f>input!$C$5</f>
        <v>INR</v>
      </c>
      <c r="D248" s="146">
        <f>D241</f>
        <v>138596883.14363506</v>
      </c>
    </row>
    <row r="249" spans="1:4" x14ac:dyDescent="0.35">
      <c r="A249" s="94">
        <v>1</v>
      </c>
      <c r="B249" s="4" t="s">
        <v>70</v>
      </c>
      <c r="C249" s="4" t="str">
        <f>input!$C$5</f>
        <v>INR</v>
      </c>
      <c r="D249" s="146">
        <f>D248*D$243</f>
        <v>17324610.392954383</v>
      </c>
    </row>
    <row r="250" spans="1:4" x14ac:dyDescent="0.35">
      <c r="B250" s="4" t="s">
        <v>320</v>
      </c>
      <c r="C250" s="4" t="str">
        <f>input!$C$5</f>
        <v>INR</v>
      </c>
      <c r="D250" s="146">
        <f>D$246-D249</f>
        <v>7709005.6100656204</v>
      </c>
    </row>
    <row r="251" spans="1:4" x14ac:dyDescent="0.35">
      <c r="B251" s="4" t="s">
        <v>321</v>
      </c>
      <c r="C251" s="4" t="str">
        <f>input!$C$5</f>
        <v>INR</v>
      </c>
      <c r="D251" s="146">
        <f>D248-D250</f>
        <v>130887877.53356944</v>
      </c>
    </row>
    <row r="252" spans="1:4" x14ac:dyDescent="0.35">
      <c r="B252" s="4"/>
      <c r="C252" s="154"/>
      <c r="D252" s="145"/>
    </row>
    <row r="253" spans="1:4" x14ac:dyDescent="0.35">
      <c r="B253" s="4" t="s">
        <v>319</v>
      </c>
      <c r="C253" s="4" t="str">
        <f>input!$C$5</f>
        <v>INR</v>
      </c>
      <c r="D253" s="146">
        <f>D251</f>
        <v>130887877.53356944</v>
      </c>
    </row>
    <row r="254" spans="1:4" x14ac:dyDescent="0.35">
      <c r="A254" s="94">
        <f>A249+1</f>
        <v>2</v>
      </c>
      <c r="B254" s="4" t="s">
        <v>70</v>
      </c>
      <c r="C254" s="4" t="str">
        <f>input!$C$5</f>
        <v>INR</v>
      </c>
      <c r="D254" s="146">
        <f>D253*D$243</f>
        <v>16360984.69169618</v>
      </c>
    </row>
    <row r="255" spans="1:4" x14ac:dyDescent="0.35">
      <c r="B255" s="4" t="s">
        <v>320</v>
      </c>
      <c r="C255" s="4" t="str">
        <f>input!$C$5</f>
        <v>INR</v>
      </c>
      <c r="D255" s="146">
        <f>D$246-D254</f>
        <v>8672631.3113238234</v>
      </c>
    </row>
    <row r="256" spans="1:4" x14ac:dyDescent="0.35">
      <c r="B256" s="4" t="s">
        <v>321</v>
      </c>
      <c r="C256" s="4" t="str">
        <f>input!$C$5</f>
        <v>INR</v>
      </c>
      <c r="D256" s="146">
        <f>D253-D255</f>
        <v>122215246.22224562</v>
      </c>
    </row>
    <row r="257" spans="1:4" x14ac:dyDescent="0.35">
      <c r="B257" s="4"/>
      <c r="C257" s="154"/>
      <c r="D257" s="145"/>
    </row>
    <row r="258" spans="1:4" x14ac:dyDescent="0.35">
      <c r="B258" s="4" t="s">
        <v>319</v>
      </c>
      <c r="C258" s="4" t="str">
        <f>input!$C$5</f>
        <v>INR</v>
      </c>
      <c r="D258" s="146">
        <f>D256</f>
        <v>122215246.22224562</v>
      </c>
    </row>
    <row r="259" spans="1:4" x14ac:dyDescent="0.35">
      <c r="A259" s="94">
        <f>A254+1</f>
        <v>3</v>
      </c>
      <c r="B259" s="4" t="s">
        <v>70</v>
      </c>
      <c r="C259" s="4" t="str">
        <f>input!$C$5</f>
        <v>INR</v>
      </c>
      <c r="D259" s="146">
        <f>D258*D$243</f>
        <v>15276905.777780702</v>
      </c>
    </row>
    <row r="260" spans="1:4" x14ac:dyDescent="0.35">
      <c r="B260" s="4" t="s">
        <v>320</v>
      </c>
      <c r="C260" s="4" t="str">
        <f>input!$C$5</f>
        <v>INR</v>
      </c>
      <c r="D260" s="146">
        <f>D$246-D259</f>
        <v>9756710.2252393011</v>
      </c>
    </row>
    <row r="261" spans="1:4" x14ac:dyDescent="0.35">
      <c r="B261" s="4" t="s">
        <v>321</v>
      </c>
      <c r="C261" s="4" t="str">
        <f>input!$C$5</f>
        <v>INR</v>
      </c>
      <c r="D261" s="146">
        <f>D258-D260</f>
        <v>112458535.99700631</v>
      </c>
    </row>
    <row r="262" spans="1:4" x14ac:dyDescent="0.35">
      <c r="B262" s="4"/>
      <c r="C262" s="154"/>
      <c r="D262" s="145"/>
    </row>
    <row r="263" spans="1:4" x14ac:dyDescent="0.35">
      <c r="B263" s="4" t="s">
        <v>319</v>
      </c>
      <c r="C263" s="4" t="str">
        <f>input!$C$5</f>
        <v>INR</v>
      </c>
      <c r="D263" s="146">
        <f>D261</f>
        <v>112458535.99700631</v>
      </c>
    </row>
    <row r="264" spans="1:4" x14ac:dyDescent="0.35">
      <c r="A264" s="94">
        <f>A259+1</f>
        <v>4</v>
      </c>
      <c r="B264" s="4" t="s">
        <v>70</v>
      </c>
      <c r="C264" s="4" t="str">
        <f>input!$C$5</f>
        <v>INR</v>
      </c>
      <c r="D264" s="146">
        <f>D263*D$243</f>
        <v>14057316.999625789</v>
      </c>
    </row>
    <row r="265" spans="1:4" x14ac:dyDescent="0.35">
      <c r="B265" s="4" t="s">
        <v>320</v>
      </c>
      <c r="C265" s="4" t="str">
        <f>input!$C$5</f>
        <v>INR</v>
      </c>
      <c r="D265" s="146">
        <f>D$246-D264</f>
        <v>10976299.003394214</v>
      </c>
    </row>
    <row r="266" spans="1:4" x14ac:dyDescent="0.35">
      <c r="B266" s="4" t="s">
        <v>321</v>
      </c>
      <c r="C266" s="4" t="str">
        <f>input!$C$5</f>
        <v>INR</v>
      </c>
      <c r="D266" s="146">
        <f>D263-D265</f>
        <v>101482236.9936121</v>
      </c>
    </row>
    <row r="267" spans="1:4" x14ac:dyDescent="0.35">
      <c r="B267" s="4"/>
      <c r="C267" s="154"/>
      <c r="D267" s="145"/>
    </row>
    <row r="268" spans="1:4" x14ac:dyDescent="0.35">
      <c r="B268" s="4" t="s">
        <v>319</v>
      </c>
      <c r="C268" s="4" t="str">
        <f>input!$C$5</f>
        <v>INR</v>
      </c>
      <c r="D268" s="146">
        <f>D266</f>
        <v>101482236.9936121</v>
      </c>
    </row>
    <row r="269" spans="1:4" x14ac:dyDescent="0.35">
      <c r="A269" s="94">
        <f>A264+1</f>
        <v>5</v>
      </c>
      <c r="B269" s="4" t="s">
        <v>70</v>
      </c>
      <c r="C269" s="4" t="str">
        <f>input!$C$5</f>
        <v>INR</v>
      </c>
      <c r="D269" s="146">
        <f>D268*D$243</f>
        <v>12685279.624201512</v>
      </c>
    </row>
    <row r="270" spans="1:4" x14ac:dyDescent="0.35">
      <c r="B270" s="4" t="s">
        <v>320</v>
      </c>
      <c r="C270" s="4" t="str">
        <f>input!$C$5</f>
        <v>INR</v>
      </c>
      <c r="D270" s="146">
        <f>D$246-D269</f>
        <v>12348336.378818491</v>
      </c>
    </row>
    <row r="271" spans="1:4" x14ac:dyDescent="0.35">
      <c r="B271" s="4" t="s">
        <v>321</v>
      </c>
      <c r="C271" s="4" t="str">
        <f>input!$C$5</f>
        <v>INR</v>
      </c>
      <c r="D271" s="146">
        <f>D268-D270</f>
        <v>89133900.614793599</v>
      </c>
    </row>
    <row r="272" spans="1:4" x14ac:dyDescent="0.35">
      <c r="B272" s="4"/>
      <c r="C272" s="154"/>
      <c r="D272" s="145"/>
    </row>
    <row r="273" spans="1:4" x14ac:dyDescent="0.35">
      <c r="B273" s="4" t="s">
        <v>319</v>
      </c>
      <c r="C273" s="4" t="str">
        <f>input!$C$5</f>
        <v>INR</v>
      </c>
      <c r="D273" s="146">
        <f>D271</f>
        <v>89133900.614793599</v>
      </c>
    </row>
    <row r="274" spans="1:4" x14ac:dyDescent="0.35">
      <c r="A274" s="94">
        <f>A269+1</f>
        <v>6</v>
      </c>
      <c r="B274" s="4" t="s">
        <v>70</v>
      </c>
      <c r="C274" s="4" t="str">
        <f>input!$C$5</f>
        <v>INR</v>
      </c>
      <c r="D274" s="146">
        <f>D273*D$243</f>
        <v>11141737.5768492</v>
      </c>
    </row>
    <row r="275" spans="1:4" x14ac:dyDescent="0.35">
      <c r="B275" s="4" t="s">
        <v>320</v>
      </c>
      <c r="C275" s="4" t="str">
        <f>input!$C$5</f>
        <v>INR</v>
      </c>
      <c r="D275" s="146">
        <f>D$246-D274</f>
        <v>13891878.426170804</v>
      </c>
    </row>
    <row r="276" spans="1:4" x14ac:dyDescent="0.35">
      <c r="B276" s="4" t="s">
        <v>321</v>
      </c>
      <c r="C276" s="4" t="str">
        <f>input!$C$5</f>
        <v>INR</v>
      </c>
      <c r="D276" s="146">
        <f>D273-D275</f>
        <v>75242022.188622802</v>
      </c>
    </row>
    <row r="277" spans="1:4" x14ac:dyDescent="0.35">
      <c r="B277" s="4"/>
      <c r="C277" s="154"/>
      <c r="D277" s="145"/>
    </row>
    <row r="278" spans="1:4" x14ac:dyDescent="0.35">
      <c r="B278" s="4" t="s">
        <v>319</v>
      </c>
      <c r="C278" s="4" t="str">
        <f>input!$C$5</f>
        <v>INR</v>
      </c>
      <c r="D278" s="146">
        <f>D276</f>
        <v>75242022.188622802</v>
      </c>
    </row>
    <row r="279" spans="1:4" x14ac:dyDescent="0.35">
      <c r="A279" s="94">
        <f>A274+1</f>
        <v>7</v>
      </c>
      <c r="B279" s="4" t="s">
        <v>70</v>
      </c>
      <c r="C279" s="4" t="str">
        <f>input!$C$5</f>
        <v>INR</v>
      </c>
      <c r="D279" s="146">
        <f>D278*D$243</f>
        <v>9405252.7735778503</v>
      </c>
    </row>
    <row r="280" spans="1:4" x14ac:dyDescent="0.35">
      <c r="B280" s="4" t="s">
        <v>320</v>
      </c>
      <c r="C280" s="4" t="str">
        <f>input!$C$5</f>
        <v>INR</v>
      </c>
      <c r="D280" s="146">
        <f>D$246-D279</f>
        <v>15628363.229442153</v>
      </c>
    </row>
    <row r="281" spans="1:4" x14ac:dyDescent="0.35">
      <c r="B281" s="4" t="s">
        <v>321</v>
      </c>
      <c r="C281" s="4" t="str">
        <f>input!$C$5</f>
        <v>INR</v>
      </c>
      <c r="D281" s="146">
        <f>D278-D280</f>
        <v>59613658.959180653</v>
      </c>
    </row>
    <row r="282" spans="1:4" x14ac:dyDescent="0.35">
      <c r="B282" s="4"/>
      <c r="C282" s="154"/>
      <c r="D282" s="145"/>
    </row>
    <row r="283" spans="1:4" x14ac:dyDescent="0.35">
      <c r="B283" s="4" t="s">
        <v>319</v>
      </c>
      <c r="C283" s="4" t="str">
        <f>input!$C$5</f>
        <v>INR</v>
      </c>
      <c r="D283" s="146">
        <f>D281</f>
        <v>59613658.959180653</v>
      </c>
    </row>
    <row r="284" spans="1:4" x14ac:dyDescent="0.35">
      <c r="A284" s="94">
        <f>A279+1</f>
        <v>8</v>
      </c>
      <c r="B284" s="4" t="s">
        <v>70</v>
      </c>
      <c r="C284" s="4" t="str">
        <f>input!$C$5</f>
        <v>INR</v>
      </c>
      <c r="D284" s="146">
        <f>D283*D$243</f>
        <v>7451707.3698975816</v>
      </c>
    </row>
    <row r="285" spans="1:4" x14ac:dyDescent="0.35">
      <c r="B285" s="4" t="s">
        <v>320</v>
      </c>
      <c r="C285" s="4" t="str">
        <f>input!$C$5</f>
        <v>INR</v>
      </c>
      <c r="D285" s="146">
        <f>D$246-D284</f>
        <v>17581908.633122422</v>
      </c>
    </row>
    <row r="286" spans="1:4" x14ac:dyDescent="0.35">
      <c r="B286" s="4" t="s">
        <v>321</v>
      </c>
      <c r="C286" s="4" t="str">
        <f>input!$C$5</f>
        <v>INR</v>
      </c>
      <c r="D286" s="146">
        <f>D283-D285</f>
        <v>42031750.326058231</v>
      </c>
    </row>
    <row r="287" spans="1:4" x14ac:dyDescent="0.35">
      <c r="B287" s="4"/>
      <c r="C287" s="154"/>
      <c r="D287" s="145"/>
    </row>
    <row r="288" spans="1:4" x14ac:dyDescent="0.35">
      <c r="B288" s="4" t="s">
        <v>319</v>
      </c>
      <c r="C288" s="4" t="str">
        <f>input!$C$5</f>
        <v>INR</v>
      </c>
      <c r="D288" s="146">
        <f>D286</f>
        <v>42031750.326058231</v>
      </c>
    </row>
    <row r="289" spans="1:4" x14ac:dyDescent="0.35">
      <c r="A289" s="94">
        <f>A284+1</f>
        <v>9</v>
      </c>
      <c r="B289" s="4" t="s">
        <v>70</v>
      </c>
      <c r="C289" s="4" t="str">
        <f>input!$C$5</f>
        <v>INR</v>
      </c>
      <c r="D289" s="146">
        <f>D288*D$243</f>
        <v>5253968.7907572789</v>
      </c>
    </row>
    <row r="290" spans="1:4" x14ac:dyDescent="0.35">
      <c r="B290" s="4" t="s">
        <v>320</v>
      </c>
      <c r="C290" s="4" t="str">
        <f>input!$C$5</f>
        <v>INR</v>
      </c>
      <c r="D290" s="146">
        <f>D$246-D289</f>
        <v>19779647.212262724</v>
      </c>
    </row>
    <row r="291" spans="1:4" x14ac:dyDescent="0.35">
      <c r="B291" s="4" t="s">
        <v>321</v>
      </c>
      <c r="C291" s="4" t="str">
        <f>input!$C$5</f>
        <v>INR</v>
      </c>
      <c r="D291" s="146">
        <f>D288-D290</f>
        <v>22252103.113795508</v>
      </c>
    </row>
    <row r="292" spans="1:4" x14ac:dyDescent="0.35">
      <c r="B292" s="4"/>
      <c r="C292" s="154"/>
      <c r="D292" s="145"/>
    </row>
    <row r="293" spans="1:4" x14ac:dyDescent="0.35">
      <c r="B293" s="4" t="s">
        <v>319</v>
      </c>
      <c r="C293" s="4" t="str">
        <f>input!$C$5</f>
        <v>INR</v>
      </c>
      <c r="D293" s="146">
        <f>D291</f>
        <v>22252103.113795508</v>
      </c>
    </row>
    <row r="294" spans="1:4" x14ac:dyDescent="0.35">
      <c r="A294" s="94">
        <f>A289+1</f>
        <v>10</v>
      </c>
      <c r="B294" s="4" t="s">
        <v>70</v>
      </c>
      <c r="C294" s="4" t="str">
        <f>input!$C$5</f>
        <v>INR</v>
      </c>
      <c r="D294" s="146">
        <f>D293*D$243</f>
        <v>2781512.8892244385</v>
      </c>
    </row>
    <row r="295" spans="1:4" x14ac:dyDescent="0.35">
      <c r="B295" s="4" t="s">
        <v>320</v>
      </c>
      <c r="C295" s="4" t="str">
        <f>input!$C$5</f>
        <v>INR</v>
      </c>
      <c r="D295" s="146">
        <f>D$246-D294</f>
        <v>22252103.113795564</v>
      </c>
    </row>
    <row r="296" spans="1:4" x14ac:dyDescent="0.35">
      <c r="B296" s="4" t="s">
        <v>321</v>
      </c>
      <c r="C296" s="4" t="str">
        <f>input!$C$5</f>
        <v>INR</v>
      </c>
      <c r="D296" s="146">
        <f>D293-D295</f>
        <v>-5.5879354476928711E-8</v>
      </c>
    </row>
    <row r="299" spans="1:4" ht="14.25" x14ac:dyDescent="0.45">
      <c r="B299" s="42"/>
      <c r="C299"/>
      <c r="D299"/>
    </row>
    <row r="300" spans="1:4" ht="14.25" x14ac:dyDescent="0.45">
      <c r="B300"/>
      <c r="C300"/>
      <c r="D300"/>
    </row>
    <row r="301" spans="1:4" x14ac:dyDescent="0.35">
      <c r="B301" s="27" t="s">
        <v>322</v>
      </c>
      <c r="C301" s="27" t="s">
        <v>1</v>
      </c>
      <c r="D301" s="27" t="s">
        <v>323</v>
      </c>
    </row>
    <row r="302" spans="1:4" x14ac:dyDescent="0.35">
      <c r="B302" s="35" t="s">
        <v>282</v>
      </c>
      <c r="C302" s="4" t="str">
        <f>input!$C$5</f>
        <v>INR</v>
      </c>
      <c r="D302" s="96">
        <f>D159</f>
        <v>3412101.2778321588</v>
      </c>
    </row>
    <row r="303" spans="1:4" ht="14.25" x14ac:dyDescent="0.45">
      <c r="B303" s="95"/>
      <c r="C303" s="95"/>
      <c r="D303" s="4"/>
    </row>
    <row r="304" spans="1:4" x14ac:dyDescent="0.35">
      <c r="B304" s="4" t="s">
        <v>25</v>
      </c>
      <c r="C304" s="4" t="str">
        <f>input!$C$5</f>
        <v>INR</v>
      </c>
      <c r="D304" s="148">
        <f>_xlfn.XLOOKUP($B304,input!$A:$A,input!C:C)</f>
        <v>0.1</v>
      </c>
    </row>
    <row r="305" spans="1:4" x14ac:dyDescent="0.35">
      <c r="B305" s="4" t="s">
        <v>283</v>
      </c>
      <c r="C305" s="4" t="str">
        <f>input!$C$5</f>
        <v>INR</v>
      </c>
      <c r="D305" s="33">
        <f>D302*5%</f>
        <v>170605.06389160795</v>
      </c>
    </row>
    <row r="306" spans="1:4" x14ac:dyDescent="0.35">
      <c r="B306" s="4" t="s">
        <v>324</v>
      </c>
      <c r="C306" s="4" t="str">
        <f>input!$C$5</f>
        <v>INR</v>
      </c>
      <c r="D306" s="33">
        <f>D302-D305</f>
        <v>3241496.213940551</v>
      </c>
    </row>
    <row r="307" spans="1:4" x14ac:dyDescent="0.35">
      <c r="A307" s="94">
        <v>1</v>
      </c>
      <c r="B307" s="4" t="s">
        <v>285</v>
      </c>
      <c r="C307" s="4" t="str">
        <f>input!$C$5</f>
        <v>INR</v>
      </c>
      <c r="D307" s="66">
        <f>D306*$D$304</f>
        <v>324149.62139405514</v>
      </c>
    </row>
    <row r="308" spans="1:4" x14ac:dyDescent="0.35">
      <c r="B308" s="4" t="s">
        <v>325</v>
      </c>
      <c r="C308" s="4" t="str">
        <f>input!$C$5</f>
        <v>INR</v>
      </c>
      <c r="D308" s="33">
        <f>D306-D307</f>
        <v>2917346.5925464961</v>
      </c>
    </row>
    <row r="309" spans="1:4" x14ac:dyDescent="0.35">
      <c r="A309" s="94">
        <f>A307+1</f>
        <v>2</v>
      </c>
      <c r="B309" s="4" t="s">
        <v>287</v>
      </c>
      <c r="C309" s="4" t="str">
        <f>input!$C$5</f>
        <v>INR</v>
      </c>
      <c r="D309" s="66">
        <f>D308*$D$304</f>
        <v>291734.6592546496</v>
      </c>
    </row>
    <row r="310" spans="1:4" x14ac:dyDescent="0.35">
      <c r="B310" s="4" t="s">
        <v>326</v>
      </c>
      <c r="C310" s="4" t="str">
        <f>input!$C$5</f>
        <v>INR</v>
      </c>
      <c r="D310" s="33">
        <f>D308-D309</f>
        <v>2625611.9332918464</v>
      </c>
    </row>
    <row r="311" spans="1:4" x14ac:dyDescent="0.35">
      <c r="A311" s="94">
        <f>A309+1</f>
        <v>3</v>
      </c>
      <c r="B311" s="4" t="s">
        <v>289</v>
      </c>
      <c r="C311" s="4" t="str">
        <f>input!$C$5</f>
        <v>INR</v>
      </c>
      <c r="D311" s="66">
        <f>D310*$D$304</f>
        <v>262561.19332918467</v>
      </c>
    </row>
    <row r="312" spans="1:4" x14ac:dyDescent="0.35">
      <c r="B312" s="4" t="s">
        <v>327</v>
      </c>
      <c r="C312" s="4" t="str">
        <f>input!$C$5</f>
        <v>INR</v>
      </c>
      <c r="D312" s="33">
        <f>D310-D311</f>
        <v>2363050.7399626616</v>
      </c>
    </row>
    <row r="313" spans="1:4" x14ac:dyDescent="0.35">
      <c r="A313" s="94">
        <f>A311+1</f>
        <v>4</v>
      </c>
      <c r="B313" s="4" t="s">
        <v>291</v>
      </c>
      <c r="C313" s="4" t="str">
        <f>input!$C$5</f>
        <v>INR</v>
      </c>
      <c r="D313" s="66">
        <f>D312*$D$304</f>
        <v>236305.07399626618</v>
      </c>
    </row>
    <row r="314" spans="1:4" x14ac:dyDescent="0.35">
      <c r="B314" s="4" t="s">
        <v>328</v>
      </c>
      <c r="C314" s="4" t="str">
        <f>input!$C$5</f>
        <v>INR</v>
      </c>
      <c r="D314" s="33">
        <f>D312-D313</f>
        <v>2126745.6659663953</v>
      </c>
    </row>
    <row r="315" spans="1:4" x14ac:dyDescent="0.35">
      <c r="A315" s="94">
        <f>A313+1</f>
        <v>5</v>
      </c>
      <c r="B315" s="4" t="s">
        <v>293</v>
      </c>
      <c r="C315" s="4" t="str">
        <f>input!$C$5</f>
        <v>INR</v>
      </c>
      <c r="D315" s="66">
        <f>D314*$D$304</f>
        <v>212674.56659663955</v>
      </c>
    </row>
    <row r="316" spans="1:4" x14ac:dyDescent="0.35">
      <c r="B316" s="4" t="s">
        <v>329</v>
      </c>
      <c r="C316" s="4" t="str">
        <f>input!$C$5</f>
        <v>INR</v>
      </c>
      <c r="D316" s="33">
        <f>D314-D315</f>
        <v>1914071.0993697557</v>
      </c>
    </row>
    <row r="317" spans="1:4" x14ac:dyDescent="0.35">
      <c r="A317" s="94">
        <f>A315+1</f>
        <v>6</v>
      </c>
      <c r="B317" s="4" t="s">
        <v>295</v>
      </c>
      <c r="C317" s="4" t="str">
        <f>input!$C$5</f>
        <v>INR</v>
      </c>
      <c r="D317" s="66">
        <f>D316*$D$304</f>
        <v>191407.10993697558</v>
      </c>
    </row>
    <row r="318" spans="1:4" x14ac:dyDescent="0.35">
      <c r="B318" s="4" t="s">
        <v>330</v>
      </c>
      <c r="C318" s="4" t="str">
        <f>input!$C$5</f>
        <v>INR</v>
      </c>
      <c r="D318" s="33">
        <f>D316-D317</f>
        <v>1722663.9894327801</v>
      </c>
    </row>
    <row r="319" spans="1:4" x14ac:dyDescent="0.35">
      <c r="A319" s="94">
        <f>A317+1</f>
        <v>7</v>
      </c>
      <c r="B319" s="4" t="s">
        <v>297</v>
      </c>
      <c r="C319" s="4" t="str">
        <f>input!$C$5</f>
        <v>INR</v>
      </c>
      <c r="D319" s="66">
        <f>D318*$D$304</f>
        <v>172266.39894327801</v>
      </c>
    </row>
    <row r="320" spans="1:4" x14ac:dyDescent="0.35">
      <c r="B320" s="4" t="s">
        <v>331</v>
      </c>
      <c r="C320" s="4" t="str">
        <f>input!$C$5</f>
        <v>INR</v>
      </c>
      <c r="D320" s="33">
        <f>D318-D319</f>
        <v>1550397.5904895021</v>
      </c>
    </row>
    <row r="321" spans="1:4" x14ac:dyDescent="0.35">
      <c r="A321" s="94">
        <f>A319+1</f>
        <v>8</v>
      </c>
      <c r="B321" s="4" t="s">
        <v>299</v>
      </c>
      <c r="C321" s="4" t="str">
        <f>input!$C$5</f>
        <v>INR</v>
      </c>
      <c r="D321" s="66">
        <f>D320*$D$304</f>
        <v>155039.75904895022</v>
      </c>
    </row>
    <row r="322" spans="1:4" x14ac:dyDescent="0.35">
      <c r="B322" s="4" t="s">
        <v>332</v>
      </c>
      <c r="C322" s="4" t="str">
        <f>input!$C$5</f>
        <v>INR</v>
      </c>
      <c r="D322" s="33">
        <f>D320-D321</f>
        <v>1395357.8314405519</v>
      </c>
    </row>
    <row r="323" spans="1:4" x14ac:dyDescent="0.35">
      <c r="A323" s="94">
        <f>A321+1</f>
        <v>9</v>
      </c>
      <c r="B323" s="4" t="s">
        <v>301</v>
      </c>
      <c r="C323" s="4" t="str">
        <f>input!$C$5</f>
        <v>INR</v>
      </c>
      <c r="D323" s="66">
        <f>D322*$D$304</f>
        <v>139535.7831440552</v>
      </c>
    </row>
    <row r="324" spans="1:4" x14ac:dyDescent="0.35">
      <c r="B324" s="4" t="s">
        <v>333</v>
      </c>
      <c r="C324" s="4" t="str">
        <f>input!$C$5</f>
        <v>INR</v>
      </c>
      <c r="D324" s="33">
        <f>D322-D323</f>
        <v>1255822.0482964967</v>
      </c>
    </row>
    <row r="325" spans="1:4" x14ac:dyDescent="0.35">
      <c r="A325" s="94">
        <f>A323+1</f>
        <v>10</v>
      </c>
      <c r="B325" s="4" t="s">
        <v>303</v>
      </c>
      <c r="C325" s="4" t="str">
        <f>input!$C$5</f>
        <v>INR</v>
      </c>
      <c r="D325" s="66">
        <f>D324*$D$304</f>
        <v>125582.20482964968</v>
      </c>
    </row>
    <row r="326" spans="1:4" x14ac:dyDescent="0.35">
      <c r="B326" s="4" t="s">
        <v>334</v>
      </c>
      <c r="C326" s="4" t="str">
        <f>input!$C$5</f>
        <v>INR</v>
      </c>
      <c r="D326" s="33">
        <f>D324-D325</f>
        <v>1130239.843466847</v>
      </c>
    </row>
    <row r="327" spans="1:4" x14ac:dyDescent="0.35">
      <c r="A327" s="94">
        <f>A325+1</f>
        <v>11</v>
      </c>
      <c r="B327" s="4" t="s">
        <v>305</v>
      </c>
      <c r="C327" s="4" t="str">
        <f>input!$C$5</f>
        <v>INR</v>
      </c>
      <c r="D327" s="66">
        <f>D326*$D$304</f>
        <v>113023.98434668471</v>
      </c>
    </row>
    <row r="328" spans="1:4" x14ac:dyDescent="0.35">
      <c r="B328" s="4" t="s">
        <v>335</v>
      </c>
      <c r="C328" s="4" t="str">
        <f>input!$C$5</f>
        <v>INR</v>
      </c>
      <c r="D328" s="33">
        <f>D326-D327</f>
        <v>1017215.8591201622</v>
      </c>
    </row>
    <row r="329" spans="1:4" x14ac:dyDescent="0.35">
      <c r="A329" s="94">
        <f>A327+1</f>
        <v>12</v>
      </c>
      <c r="B329" s="4" t="s">
        <v>307</v>
      </c>
      <c r="C329" s="4" t="str">
        <f>input!$C$5</f>
        <v>INR</v>
      </c>
      <c r="D329" s="66">
        <f>D328*$D$304</f>
        <v>101721.58591201622</v>
      </c>
    </row>
    <row r="330" spans="1:4" x14ac:dyDescent="0.35">
      <c r="B330" s="4" t="s">
        <v>336</v>
      </c>
      <c r="C330" s="4" t="str">
        <f>input!$C$5</f>
        <v>INR</v>
      </c>
      <c r="D330" s="33">
        <f>D328-D329</f>
        <v>915494.27320814598</v>
      </c>
    </row>
    <row r="331" spans="1:4" x14ac:dyDescent="0.35">
      <c r="A331" s="94">
        <f>A329+1</f>
        <v>13</v>
      </c>
      <c r="B331" s="4" t="s">
        <v>309</v>
      </c>
      <c r="C331" s="4" t="str">
        <f>input!$C$5</f>
        <v>INR</v>
      </c>
      <c r="D331" s="66">
        <f>D330*$D$304</f>
        <v>91549.427320814604</v>
      </c>
    </row>
    <row r="332" spans="1:4" x14ac:dyDescent="0.35">
      <c r="B332" s="4" t="s">
        <v>337</v>
      </c>
      <c r="C332" s="4" t="str">
        <f>input!$C$5</f>
        <v>INR</v>
      </c>
      <c r="D332" s="33">
        <f>D330-D331</f>
        <v>823944.84588733141</v>
      </c>
    </row>
    <row r="333" spans="1:4" x14ac:dyDescent="0.35">
      <c r="A333" s="94">
        <f>A331+1</f>
        <v>14</v>
      </c>
      <c r="B333" s="4" t="s">
        <v>311</v>
      </c>
      <c r="C333" s="4" t="str">
        <f>input!$C$5</f>
        <v>INR</v>
      </c>
      <c r="D333" s="66">
        <f>D332*$D$304</f>
        <v>82394.484588733147</v>
      </c>
    </row>
    <row r="334" spans="1:4" x14ac:dyDescent="0.35">
      <c r="B334" s="4" t="s">
        <v>338</v>
      </c>
      <c r="C334" s="4" t="str">
        <f>input!$C$5</f>
        <v>INR</v>
      </c>
      <c r="D334" s="33">
        <f>D332-D333</f>
        <v>741550.36129859823</v>
      </c>
    </row>
    <row r="335" spans="1:4" x14ac:dyDescent="0.35">
      <c r="A335" s="94">
        <f>A333+1</f>
        <v>15</v>
      </c>
      <c r="B335" s="4" t="s">
        <v>313</v>
      </c>
      <c r="C335" s="4" t="str">
        <f>input!$C$5</f>
        <v>INR</v>
      </c>
      <c r="D335" s="66">
        <f>D334*$D$304</f>
        <v>74155.036129859829</v>
      </c>
    </row>
    <row r="336" spans="1:4" ht="14.25" x14ac:dyDescent="0.45">
      <c r="B336" s="95"/>
      <c r="C336" s="95"/>
      <c r="D336" s="33"/>
    </row>
    <row r="337" spans="1:4" ht="14.25" x14ac:dyDescent="0.45">
      <c r="B337"/>
      <c r="C337"/>
      <c r="D337"/>
    </row>
    <row r="338" spans="1:4" ht="14.25" x14ac:dyDescent="0.45">
      <c r="B338" s="42"/>
      <c r="C338"/>
      <c r="D338"/>
    </row>
    <row r="339" spans="1:4" ht="14.25" x14ac:dyDescent="0.45">
      <c r="B339"/>
      <c r="C339"/>
      <c r="D339"/>
    </row>
    <row r="340" spans="1:4" x14ac:dyDescent="0.35">
      <c r="B340" s="28" t="s">
        <v>499</v>
      </c>
      <c r="C340" s="28" t="s">
        <v>1</v>
      </c>
      <c r="D340" s="28" t="s">
        <v>323</v>
      </c>
    </row>
    <row r="341" spans="1:4" x14ac:dyDescent="0.35">
      <c r="B341" s="4" t="s">
        <v>315</v>
      </c>
      <c r="C341" s="4" t="str">
        <f>input!$C$5</f>
        <v>INR</v>
      </c>
      <c r="D341" s="97">
        <f>D159+D158</f>
        <v>19789504.063437466</v>
      </c>
    </row>
    <row r="342" spans="1:4" x14ac:dyDescent="0.35">
      <c r="B342" s="4"/>
      <c r="C342" s="4"/>
      <c r="D342" s="98"/>
    </row>
    <row r="343" spans="1:4" x14ac:dyDescent="0.35">
      <c r="B343" s="4" t="s">
        <v>31</v>
      </c>
      <c r="C343" s="4" t="s">
        <v>26</v>
      </c>
      <c r="D343" s="148">
        <f>_xlfn.XLOOKUP($B343,input!$A:$A,input!C:C)</f>
        <v>0.125</v>
      </c>
    </row>
    <row r="344" spans="1:4" x14ac:dyDescent="0.35">
      <c r="B344" s="4" t="s">
        <v>316</v>
      </c>
      <c r="C344" s="4" t="s">
        <v>156</v>
      </c>
      <c r="D344" s="97">
        <v>10</v>
      </c>
    </row>
    <row r="345" spans="1:4" x14ac:dyDescent="0.35">
      <c r="B345" s="4" t="s">
        <v>317</v>
      </c>
      <c r="C345" s="4"/>
      <c r="D345" s="97">
        <v>1</v>
      </c>
    </row>
    <row r="346" spans="1:4" x14ac:dyDescent="0.35">
      <c r="B346" s="4" t="s">
        <v>318</v>
      </c>
      <c r="C346" s="4" t="str">
        <f>input!$C$5</f>
        <v>INR</v>
      </c>
      <c r="D346" s="146">
        <f>-PMT((D343/D345),(D344*D345),D341)</f>
        <v>3574415.4874023115</v>
      </c>
    </row>
    <row r="347" spans="1:4" x14ac:dyDescent="0.35">
      <c r="B347" s="4"/>
      <c r="C347" s="4"/>
      <c r="D347" s="98"/>
    </row>
    <row r="348" spans="1:4" x14ac:dyDescent="0.35">
      <c r="B348" s="4" t="s">
        <v>319</v>
      </c>
      <c r="C348" s="4" t="str">
        <f>input!$C$5</f>
        <v>INR</v>
      </c>
      <c r="D348" s="146">
        <f>D341</f>
        <v>19789504.063437466</v>
      </c>
    </row>
    <row r="349" spans="1:4" x14ac:dyDescent="0.35">
      <c r="A349" s="94">
        <v>1</v>
      </c>
      <c r="B349" s="4" t="s">
        <v>70</v>
      </c>
      <c r="C349" s="4" t="str">
        <f>input!$C$5</f>
        <v>INR</v>
      </c>
      <c r="D349" s="146">
        <f>D348*D$343</f>
        <v>2473688.0079296832</v>
      </c>
    </row>
    <row r="350" spans="1:4" x14ac:dyDescent="0.35">
      <c r="B350" s="4" t="s">
        <v>320</v>
      </c>
      <c r="C350" s="4" t="str">
        <f>input!$C$5</f>
        <v>INR</v>
      </c>
      <c r="D350" s="146">
        <f>$D$346-D349</f>
        <v>1100727.4794726283</v>
      </c>
    </row>
    <row r="351" spans="1:4" x14ac:dyDescent="0.35">
      <c r="B351" s="4" t="s">
        <v>321</v>
      </c>
      <c r="C351" s="4" t="str">
        <f>input!$C$5</f>
        <v>INR</v>
      </c>
      <c r="D351" s="146">
        <f>D348-D350</f>
        <v>18688776.583964836</v>
      </c>
    </row>
    <row r="352" spans="1:4" x14ac:dyDescent="0.35">
      <c r="B352" s="4"/>
      <c r="C352" s="4"/>
      <c r="D352" s="98"/>
    </row>
    <row r="353" spans="1:4" x14ac:dyDescent="0.35">
      <c r="B353" s="4" t="s">
        <v>319</v>
      </c>
      <c r="C353" s="4" t="str">
        <f>input!$C$5</f>
        <v>INR</v>
      </c>
      <c r="D353" s="97">
        <f>D351</f>
        <v>18688776.583964836</v>
      </c>
    </row>
    <row r="354" spans="1:4" x14ac:dyDescent="0.35">
      <c r="A354" s="94">
        <f>A349+1</f>
        <v>2</v>
      </c>
      <c r="B354" s="4" t="s">
        <v>70</v>
      </c>
      <c r="C354" s="4" t="str">
        <f>input!$C$5</f>
        <v>INR</v>
      </c>
      <c r="D354" s="146">
        <f>D353*D$343</f>
        <v>2336097.0729956045</v>
      </c>
    </row>
    <row r="355" spans="1:4" x14ac:dyDescent="0.35">
      <c r="B355" s="4" t="s">
        <v>320</v>
      </c>
      <c r="C355" s="4" t="str">
        <f>input!$C$5</f>
        <v>INR</v>
      </c>
      <c r="D355" s="146">
        <f>$D$346-D354</f>
        <v>1238318.414406707</v>
      </c>
    </row>
    <row r="356" spans="1:4" x14ac:dyDescent="0.35">
      <c r="B356" s="4" t="s">
        <v>321</v>
      </c>
      <c r="C356" s="4" t="str">
        <f>input!$C$5</f>
        <v>INR</v>
      </c>
      <c r="D356" s="146">
        <f>D353-D355</f>
        <v>17450458.16955813</v>
      </c>
    </row>
    <row r="357" spans="1:4" x14ac:dyDescent="0.35">
      <c r="B357" s="4"/>
      <c r="C357" s="4"/>
      <c r="D357" s="98"/>
    </row>
    <row r="358" spans="1:4" x14ac:dyDescent="0.35">
      <c r="B358" s="4" t="s">
        <v>319</v>
      </c>
      <c r="C358" s="4" t="str">
        <f>input!$C$5</f>
        <v>INR</v>
      </c>
      <c r="D358" s="97">
        <f>D356</f>
        <v>17450458.16955813</v>
      </c>
    </row>
    <row r="359" spans="1:4" x14ac:dyDescent="0.35">
      <c r="A359" s="94">
        <f>A354+1</f>
        <v>3</v>
      </c>
      <c r="B359" s="4" t="s">
        <v>70</v>
      </c>
      <c r="C359" s="4" t="str">
        <f>input!$C$5</f>
        <v>INR</v>
      </c>
      <c r="D359" s="146">
        <f>D358*D$343</f>
        <v>2181307.2711947663</v>
      </c>
    </row>
    <row r="360" spans="1:4" x14ac:dyDescent="0.35">
      <c r="B360" s="4" t="s">
        <v>320</v>
      </c>
      <c r="C360" s="4" t="str">
        <f>input!$C$5</f>
        <v>INR</v>
      </c>
      <c r="D360" s="146">
        <f>$D$346-D359</f>
        <v>1393108.2162075453</v>
      </c>
    </row>
    <row r="361" spans="1:4" x14ac:dyDescent="0.35">
      <c r="B361" s="4" t="s">
        <v>321</v>
      </c>
      <c r="C361" s="4" t="str">
        <f>input!$C$5</f>
        <v>INR</v>
      </c>
      <c r="D361" s="146">
        <f>D358-D360</f>
        <v>16057349.953350585</v>
      </c>
    </row>
    <row r="362" spans="1:4" x14ac:dyDescent="0.35">
      <c r="B362" s="4"/>
      <c r="C362" s="4"/>
      <c r="D362" s="98"/>
    </row>
    <row r="363" spans="1:4" x14ac:dyDescent="0.35">
      <c r="B363" s="4" t="s">
        <v>319</v>
      </c>
      <c r="C363" s="4" t="str">
        <f>input!$C$5</f>
        <v>INR</v>
      </c>
      <c r="D363" s="97">
        <f>D361</f>
        <v>16057349.953350585</v>
      </c>
    </row>
    <row r="364" spans="1:4" x14ac:dyDescent="0.35">
      <c r="A364" s="94">
        <f>A359+1</f>
        <v>4</v>
      </c>
      <c r="B364" s="4" t="s">
        <v>70</v>
      </c>
      <c r="C364" s="4" t="str">
        <f>input!$C$5</f>
        <v>INR</v>
      </c>
      <c r="D364" s="146">
        <f>D363*D$343</f>
        <v>2007168.7441688231</v>
      </c>
    </row>
    <row r="365" spans="1:4" x14ac:dyDescent="0.35">
      <c r="B365" s="4" t="s">
        <v>320</v>
      </c>
      <c r="C365" s="4" t="str">
        <f>input!$C$5</f>
        <v>INR</v>
      </c>
      <c r="D365" s="146">
        <f>$D$346-D364</f>
        <v>1567246.7432334884</v>
      </c>
    </row>
    <row r="366" spans="1:4" x14ac:dyDescent="0.35">
      <c r="B366" s="4" t="s">
        <v>321</v>
      </c>
      <c r="C366" s="4" t="str">
        <f>input!$C$5</f>
        <v>INR</v>
      </c>
      <c r="D366" s="146">
        <f>D363-D365</f>
        <v>14490103.210117096</v>
      </c>
    </row>
    <row r="367" spans="1:4" x14ac:dyDescent="0.35">
      <c r="B367" s="4"/>
      <c r="C367" s="4"/>
      <c r="D367" s="98"/>
    </row>
    <row r="368" spans="1:4" x14ac:dyDescent="0.35">
      <c r="B368" s="4" t="s">
        <v>319</v>
      </c>
      <c r="C368" s="4" t="str">
        <f>input!$C$5</f>
        <v>INR</v>
      </c>
      <c r="D368" s="97">
        <f>D366</f>
        <v>14490103.210117096</v>
      </c>
    </row>
    <row r="369" spans="1:4" x14ac:dyDescent="0.35">
      <c r="A369" s="94">
        <f>A364+1</f>
        <v>5</v>
      </c>
      <c r="B369" s="4" t="s">
        <v>70</v>
      </c>
      <c r="C369" s="4" t="str">
        <f>input!$C$5</f>
        <v>INR</v>
      </c>
      <c r="D369" s="146">
        <f>D368*D$343</f>
        <v>1811262.901264637</v>
      </c>
    </row>
    <row r="370" spans="1:4" x14ac:dyDescent="0.35">
      <c r="B370" s="4" t="s">
        <v>320</v>
      </c>
      <c r="C370" s="4" t="str">
        <f>input!$C$5</f>
        <v>INR</v>
      </c>
      <c r="D370" s="146">
        <f>$D$346-D369</f>
        <v>1763152.5861376745</v>
      </c>
    </row>
    <row r="371" spans="1:4" x14ac:dyDescent="0.35">
      <c r="B371" s="4" t="s">
        <v>321</v>
      </c>
      <c r="C371" s="4" t="str">
        <f>input!$C$5</f>
        <v>INR</v>
      </c>
      <c r="D371" s="146">
        <f>D368-D370</f>
        <v>12726950.623979421</v>
      </c>
    </row>
    <row r="372" spans="1:4" x14ac:dyDescent="0.35">
      <c r="B372" s="4"/>
      <c r="C372" s="4"/>
      <c r="D372" s="98"/>
    </row>
    <row r="373" spans="1:4" x14ac:dyDescent="0.35">
      <c r="B373" s="4" t="s">
        <v>319</v>
      </c>
      <c r="C373" s="4" t="str">
        <f>input!$C$5</f>
        <v>INR</v>
      </c>
      <c r="D373" s="97">
        <f>D371</f>
        <v>12726950.623979421</v>
      </c>
    </row>
    <row r="374" spans="1:4" x14ac:dyDescent="0.35">
      <c r="A374" s="94">
        <f>A369+1</f>
        <v>6</v>
      </c>
      <c r="B374" s="4" t="s">
        <v>70</v>
      </c>
      <c r="C374" s="4" t="str">
        <f>input!$C$5</f>
        <v>INR</v>
      </c>
      <c r="D374" s="146">
        <f>D373*D$343</f>
        <v>1590868.8279974277</v>
      </c>
    </row>
    <row r="375" spans="1:4" x14ac:dyDescent="0.35">
      <c r="B375" s="4" t="s">
        <v>320</v>
      </c>
      <c r="C375" s="4" t="str">
        <f>input!$C$5</f>
        <v>INR</v>
      </c>
      <c r="D375" s="146">
        <f>$D$346-D374</f>
        <v>1983546.6594048839</v>
      </c>
    </row>
    <row r="376" spans="1:4" x14ac:dyDescent="0.35">
      <c r="B376" s="4" t="s">
        <v>321</v>
      </c>
      <c r="C376" s="4" t="str">
        <f>input!$C$5</f>
        <v>INR</v>
      </c>
      <c r="D376" s="146">
        <f>D373-D375</f>
        <v>10743403.964574538</v>
      </c>
    </row>
    <row r="377" spans="1:4" x14ac:dyDescent="0.35">
      <c r="B377" s="4"/>
      <c r="C377" s="4"/>
      <c r="D377" s="98"/>
    </row>
    <row r="378" spans="1:4" x14ac:dyDescent="0.35">
      <c r="B378" s="4" t="s">
        <v>319</v>
      </c>
      <c r="C378" s="4" t="str">
        <f>input!$C$5</f>
        <v>INR</v>
      </c>
      <c r="D378" s="97">
        <f>D376</f>
        <v>10743403.964574538</v>
      </c>
    </row>
    <row r="379" spans="1:4" x14ac:dyDescent="0.35">
      <c r="A379" s="94">
        <f>A374+1</f>
        <v>7</v>
      </c>
      <c r="B379" s="4" t="s">
        <v>70</v>
      </c>
      <c r="C379" s="4" t="str">
        <f>input!$C$5</f>
        <v>INR</v>
      </c>
      <c r="D379" s="146">
        <f>D378*D$343</f>
        <v>1342925.4955718173</v>
      </c>
    </row>
    <row r="380" spans="1:4" x14ac:dyDescent="0.35">
      <c r="B380" s="4" t="s">
        <v>320</v>
      </c>
      <c r="C380" s="4" t="str">
        <f>input!$C$5</f>
        <v>INR</v>
      </c>
      <c r="D380" s="146">
        <f>$D$346-D379</f>
        <v>2231489.9918304943</v>
      </c>
    </row>
    <row r="381" spans="1:4" x14ac:dyDescent="0.35">
      <c r="B381" s="4" t="s">
        <v>321</v>
      </c>
      <c r="C381" s="4" t="str">
        <f>input!$C$5</f>
        <v>INR</v>
      </c>
      <c r="D381" s="146">
        <f>D378-D380</f>
        <v>8511913.9727440439</v>
      </c>
    </row>
    <row r="382" spans="1:4" x14ac:dyDescent="0.35">
      <c r="B382" s="4"/>
      <c r="C382" s="4"/>
      <c r="D382" s="98"/>
    </row>
    <row r="383" spans="1:4" x14ac:dyDescent="0.35">
      <c r="B383" s="4" t="s">
        <v>319</v>
      </c>
      <c r="C383" s="4" t="str">
        <f>input!$C$5</f>
        <v>INR</v>
      </c>
      <c r="D383" s="97">
        <f>D381</f>
        <v>8511913.9727440439</v>
      </c>
    </row>
    <row r="384" spans="1:4" x14ac:dyDescent="0.35">
      <c r="A384" s="94">
        <f>A379+1</f>
        <v>8</v>
      </c>
      <c r="B384" s="4" t="s">
        <v>70</v>
      </c>
      <c r="C384" s="4" t="str">
        <f>input!$C$5</f>
        <v>INR</v>
      </c>
      <c r="D384" s="146">
        <f>D383*D$343</f>
        <v>1063989.2465930055</v>
      </c>
    </row>
    <row r="385" spans="1:4" x14ac:dyDescent="0.35">
      <c r="B385" s="4" t="s">
        <v>320</v>
      </c>
      <c r="C385" s="4" t="str">
        <f>input!$C$5</f>
        <v>INR</v>
      </c>
      <c r="D385" s="146">
        <f>$D$346-D384</f>
        <v>2510426.240809306</v>
      </c>
    </row>
    <row r="386" spans="1:4" x14ac:dyDescent="0.35">
      <c r="B386" s="4" t="s">
        <v>321</v>
      </c>
      <c r="C386" s="4" t="str">
        <f>input!$C$5</f>
        <v>INR</v>
      </c>
      <c r="D386" s="146">
        <f>D383-D385</f>
        <v>6001487.7319347374</v>
      </c>
    </row>
    <row r="387" spans="1:4" x14ac:dyDescent="0.35">
      <c r="B387" s="4"/>
      <c r="C387" s="4"/>
      <c r="D387" s="98"/>
    </row>
    <row r="388" spans="1:4" x14ac:dyDescent="0.35">
      <c r="B388" s="4" t="s">
        <v>319</v>
      </c>
      <c r="C388" s="4" t="str">
        <f>input!$C$5</f>
        <v>INR</v>
      </c>
      <c r="D388" s="97">
        <f>D386</f>
        <v>6001487.7319347374</v>
      </c>
    </row>
    <row r="389" spans="1:4" x14ac:dyDescent="0.35">
      <c r="A389" s="94">
        <f>A384+1</f>
        <v>9</v>
      </c>
      <c r="B389" s="4" t="s">
        <v>70</v>
      </c>
      <c r="C389" s="4" t="str">
        <f>input!$C$5</f>
        <v>INR</v>
      </c>
      <c r="D389" s="146">
        <f>D388*D$343</f>
        <v>750185.96649184218</v>
      </c>
    </row>
    <row r="390" spans="1:4" x14ac:dyDescent="0.35">
      <c r="B390" s="4" t="s">
        <v>320</v>
      </c>
      <c r="C390" s="4" t="str">
        <f>input!$C$5</f>
        <v>INR</v>
      </c>
      <c r="D390" s="146">
        <f>$D$346-D389</f>
        <v>2824229.5209104693</v>
      </c>
    </row>
    <row r="391" spans="1:4" x14ac:dyDescent="0.35">
      <c r="B391" s="4" t="s">
        <v>321</v>
      </c>
      <c r="C391" s="4" t="str">
        <f>input!$C$5</f>
        <v>INR</v>
      </c>
      <c r="D391" s="146">
        <f>D388-D390</f>
        <v>3177258.2110242681</v>
      </c>
    </row>
    <row r="392" spans="1:4" x14ac:dyDescent="0.35">
      <c r="B392" s="4"/>
      <c r="C392" s="4"/>
      <c r="D392" s="98"/>
    </row>
    <row r="393" spans="1:4" x14ac:dyDescent="0.35">
      <c r="B393" s="4" t="s">
        <v>319</v>
      </c>
      <c r="C393" s="4" t="str">
        <f>input!$C$5</f>
        <v>INR</v>
      </c>
      <c r="D393" s="97">
        <f>D391</f>
        <v>3177258.2110242681</v>
      </c>
    </row>
    <row r="394" spans="1:4" x14ac:dyDescent="0.35">
      <c r="A394" s="94">
        <f>A389+1</f>
        <v>10</v>
      </c>
      <c r="B394" s="4" t="s">
        <v>70</v>
      </c>
      <c r="C394" s="4" t="str">
        <f>input!$C$5</f>
        <v>INR</v>
      </c>
      <c r="D394" s="146">
        <f>D393*D$343</f>
        <v>397157.27637803351</v>
      </c>
    </row>
    <row r="395" spans="1:4" x14ac:dyDescent="0.35">
      <c r="B395" s="4" t="s">
        <v>320</v>
      </c>
      <c r="C395" s="4" t="str">
        <f>input!$C$5</f>
        <v>INR</v>
      </c>
      <c r="D395" s="146">
        <f>$D$346-D394</f>
        <v>3177258.2110242778</v>
      </c>
    </row>
    <row r="396" spans="1:4" x14ac:dyDescent="0.35">
      <c r="B396" s="4" t="s">
        <v>321</v>
      </c>
      <c r="C396" s="4" t="str">
        <f>input!$C$5</f>
        <v>INR</v>
      </c>
      <c r="D396" s="150">
        <f>D393-D395</f>
        <v>-9.7788870334625244E-9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0BEE-993B-4803-A1CB-68F82E90422F}">
  <dimension ref="B2:K108"/>
  <sheetViews>
    <sheetView workbookViewId="0">
      <selection activeCell="K43" sqref="K43"/>
    </sheetView>
  </sheetViews>
  <sheetFormatPr defaultColWidth="9" defaultRowHeight="11.65" x14ac:dyDescent="0.35"/>
  <cols>
    <col min="1" max="1" width="9" style="156"/>
    <col min="2" max="2" width="21.86328125" style="156" bestFit="1" customWidth="1"/>
    <col min="3" max="3" width="10.1328125" style="156" customWidth="1"/>
    <col min="4" max="4" width="21.86328125" style="156" customWidth="1"/>
    <col min="5" max="5" width="13" style="156" customWidth="1"/>
    <col min="6" max="7" width="10.53125" style="156" customWidth="1"/>
    <col min="8" max="8" width="17.53125" style="156" customWidth="1"/>
    <col min="9" max="9" width="9" style="156" bestFit="1" customWidth="1"/>
    <col min="10" max="10" width="11.1328125" style="156" bestFit="1" customWidth="1"/>
    <col min="11" max="11" width="11.53125" style="156" customWidth="1"/>
    <col min="12" max="16384" width="9" style="156"/>
  </cols>
  <sheetData>
    <row r="2" spans="2:4" x14ac:dyDescent="0.35">
      <c r="B2" s="61" t="s">
        <v>339</v>
      </c>
      <c r="C2" s="62" t="s">
        <v>340</v>
      </c>
    </row>
    <row r="3" spans="2:4" x14ac:dyDescent="0.35">
      <c r="B3" s="63" t="s">
        <v>341</v>
      </c>
      <c r="C3" s="64" t="s">
        <v>342</v>
      </c>
      <c r="D3" s="63" t="s">
        <v>343</v>
      </c>
    </row>
    <row r="4" spans="2:4" x14ac:dyDescent="0.35">
      <c r="B4" s="63"/>
      <c r="C4" s="63" t="s">
        <v>108</v>
      </c>
      <c r="D4" s="63"/>
    </row>
    <row r="5" spans="2:4" x14ac:dyDescent="0.35">
      <c r="B5" s="157" t="s">
        <v>344</v>
      </c>
      <c r="C5" s="65">
        <f>C21*H43</f>
        <v>160.01085105686496</v>
      </c>
      <c r="D5" s="157" t="s">
        <v>345</v>
      </c>
    </row>
    <row r="6" spans="2:4" x14ac:dyDescent="0.35">
      <c r="B6" s="157" t="s">
        <v>346</v>
      </c>
      <c r="C6" s="65">
        <f>conversion!D106</f>
        <v>184.59720901626716</v>
      </c>
      <c r="D6" s="157" t="s">
        <v>347</v>
      </c>
    </row>
    <row r="7" spans="2:4" x14ac:dyDescent="0.35">
      <c r="B7" s="157" t="s">
        <v>348</v>
      </c>
      <c r="C7" s="65">
        <f>conversion!D123</f>
        <v>109.03302642694062</v>
      </c>
      <c r="D7" s="157" t="s">
        <v>349</v>
      </c>
    </row>
    <row r="8" spans="2:4" x14ac:dyDescent="0.35">
      <c r="B8" s="157" t="s">
        <v>350</v>
      </c>
      <c r="C8" s="65">
        <f>C5*5%</f>
        <v>8.0005425528432479</v>
      </c>
      <c r="D8" s="157" t="s">
        <v>351</v>
      </c>
    </row>
    <row r="9" spans="2:4" x14ac:dyDescent="0.35">
      <c r="B9" s="157" t="s">
        <v>352</v>
      </c>
      <c r="C9" s="65">
        <f>C5*1%</f>
        <v>1.6001085105686497</v>
      </c>
      <c r="D9" s="157" t="s">
        <v>353</v>
      </c>
    </row>
    <row r="10" spans="2:4" x14ac:dyDescent="0.35">
      <c r="B10" s="157" t="s">
        <v>354</v>
      </c>
      <c r="C10" s="65">
        <f>C5*5%</f>
        <v>8.0005425528432479</v>
      </c>
      <c r="D10" s="157" t="s">
        <v>355</v>
      </c>
    </row>
    <row r="11" spans="2:4" x14ac:dyDescent="0.35">
      <c r="B11" s="157" t="s">
        <v>356</v>
      </c>
      <c r="C11" s="65">
        <f>C5*5%</f>
        <v>8.0005425528432479</v>
      </c>
      <c r="D11" s="157" t="s">
        <v>357</v>
      </c>
    </row>
    <row r="12" spans="2:4" x14ac:dyDescent="0.35">
      <c r="B12" s="157" t="s">
        <v>358</v>
      </c>
      <c r="C12" s="65">
        <f>C5*1%</f>
        <v>1.6001085105686497</v>
      </c>
      <c r="D12" s="157" t="s">
        <v>359</v>
      </c>
    </row>
    <row r="13" spans="2:4" x14ac:dyDescent="0.35">
      <c r="B13" s="157" t="s">
        <v>360</v>
      </c>
      <c r="C13" s="65">
        <f>C5*1%</f>
        <v>1.6001085105686497</v>
      </c>
      <c r="D13" s="157" t="s">
        <v>361</v>
      </c>
    </row>
    <row r="14" spans="2:4" x14ac:dyDescent="0.35">
      <c r="B14" s="157" t="s">
        <v>362</v>
      </c>
      <c r="C14" s="65">
        <v>5</v>
      </c>
      <c r="D14" s="157"/>
    </row>
    <row r="15" spans="2:4" x14ac:dyDescent="0.35">
      <c r="B15" s="158" t="s">
        <v>363</v>
      </c>
      <c r="C15" s="66">
        <f>SUM(C5:C14)</f>
        <v>487.44303969030841</v>
      </c>
      <c r="D15" s="158"/>
    </row>
    <row r="16" spans="2:4" x14ac:dyDescent="0.35">
      <c r="B16" s="158" t="s">
        <v>364</v>
      </c>
      <c r="C16" s="159">
        <v>0.7</v>
      </c>
      <c r="D16" s="158"/>
    </row>
    <row r="17" spans="2:7" x14ac:dyDescent="0.35">
      <c r="B17" s="158" t="s">
        <v>7</v>
      </c>
      <c r="C17" s="66">
        <f>C15/C16</f>
        <v>696.34719955758351</v>
      </c>
      <c r="D17" s="158"/>
      <c r="G17" s="163"/>
    </row>
    <row r="19" spans="2:7" x14ac:dyDescent="0.35">
      <c r="B19" s="61" t="s">
        <v>365</v>
      </c>
    </row>
    <row r="20" spans="2:7" x14ac:dyDescent="0.35">
      <c r="B20" s="67" t="s">
        <v>366</v>
      </c>
      <c r="C20" s="67" t="s">
        <v>555</v>
      </c>
      <c r="E20" s="67" t="str">
        <f>K42</f>
        <v>INR Machine Cost</v>
      </c>
    </row>
    <row r="21" spans="2:7" x14ac:dyDescent="0.35">
      <c r="B21" s="67" t="s">
        <v>367</v>
      </c>
      <c r="C21" s="171">
        <f>conversion!D24</f>
        <v>4.0002712764216239</v>
      </c>
    </row>
    <row r="22" spans="2:7" ht="12" x14ac:dyDescent="0.4">
      <c r="B22" s="158" t="s">
        <v>368</v>
      </c>
      <c r="C22" s="160">
        <f>1200*C21</f>
        <v>4800.3255317059484</v>
      </c>
      <c r="E22" s="161">
        <f>_xlfn.XLOOKUP($C$20,input!$A:$A,input!C:C,0)*C22</f>
        <v>500529.94319097919</v>
      </c>
    </row>
    <row r="23" spans="2:7" ht="12" x14ac:dyDescent="0.4">
      <c r="B23" s="158" t="s">
        <v>369</v>
      </c>
      <c r="C23" s="160">
        <f>2000*C21</f>
        <v>8000.5425528432479</v>
      </c>
      <c r="E23" s="161">
        <f>_xlfn.XLOOKUP($C$20,input!$A:$A,input!C:C,0)*C23</f>
        <v>834216.57198496547</v>
      </c>
    </row>
    <row r="24" spans="2:7" ht="12" x14ac:dyDescent="0.4">
      <c r="B24" s="158" t="s">
        <v>370</v>
      </c>
      <c r="C24" s="160">
        <f>10000/10</f>
        <v>1000</v>
      </c>
      <c r="D24" s="156" t="s">
        <v>371</v>
      </c>
      <c r="E24" s="161">
        <f>_xlfn.XLOOKUP($C$20,input!$A:$A,input!C:C,0)*C24</f>
        <v>104270</v>
      </c>
    </row>
    <row r="25" spans="2:7" ht="12" x14ac:dyDescent="0.4">
      <c r="B25" s="158" t="s">
        <v>372</v>
      </c>
      <c r="C25" s="160">
        <f>1000/10</f>
        <v>100</v>
      </c>
      <c r="E25" s="161">
        <f>_xlfn.XLOOKUP($C$20,input!$A:$A,input!C:C,0)*C25</f>
        <v>10427</v>
      </c>
    </row>
    <row r="26" spans="2:7" ht="12" x14ac:dyDescent="0.4">
      <c r="B26" s="158" t="s">
        <v>373</v>
      </c>
      <c r="C26" s="160">
        <f>5000/10</f>
        <v>500</v>
      </c>
      <c r="E26" s="161">
        <f>_xlfn.XLOOKUP($C$20,input!$A:$A,input!C:C,0)*C26</f>
        <v>52135</v>
      </c>
    </row>
    <row r="27" spans="2:7" ht="12" x14ac:dyDescent="0.4">
      <c r="B27" s="158" t="s">
        <v>374</v>
      </c>
      <c r="C27" s="160">
        <f>7500/10</f>
        <v>750</v>
      </c>
      <c r="E27" s="161">
        <f>_xlfn.XLOOKUP($C$20,input!$A:$A,input!C:C,0)*C27</f>
        <v>78202.5</v>
      </c>
    </row>
    <row r="28" spans="2:7" ht="12" x14ac:dyDescent="0.4">
      <c r="B28" s="158" t="s">
        <v>375</v>
      </c>
      <c r="C28" s="160">
        <f>(500*4)/10</f>
        <v>200</v>
      </c>
      <c r="D28" s="156" t="s">
        <v>376</v>
      </c>
      <c r="E28" s="161">
        <f>_xlfn.XLOOKUP($C$20,input!$A:$A,input!C:C,0)*C28</f>
        <v>20854</v>
      </c>
    </row>
    <row r="29" spans="2:7" ht="12" x14ac:dyDescent="0.4">
      <c r="B29" s="158" t="s">
        <v>377</v>
      </c>
      <c r="C29" s="160">
        <f>15000/10</f>
        <v>1500</v>
      </c>
      <c r="D29" s="156" t="s">
        <v>378</v>
      </c>
      <c r="E29" s="161">
        <f>_xlfn.XLOOKUP($C$20,input!$A:$A,input!C:C,0)*C29</f>
        <v>156405</v>
      </c>
    </row>
    <row r="30" spans="2:7" ht="12" x14ac:dyDescent="0.4">
      <c r="B30" s="158" t="s">
        <v>379</v>
      </c>
      <c r="C30" s="160">
        <f>10000/10</f>
        <v>1000</v>
      </c>
      <c r="D30" s="156" t="s">
        <v>378</v>
      </c>
      <c r="E30" s="161">
        <f>_xlfn.XLOOKUP($C$20,input!$A:$A,input!C:C,0)*C30</f>
        <v>104270</v>
      </c>
    </row>
    <row r="31" spans="2:7" ht="12" x14ac:dyDescent="0.4">
      <c r="B31" s="158" t="s">
        <v>380</v>
      </c>
      <c r="C31" s="160">
        <f>25000/10</f>
        <v>2500</v>
      </c>
      <c r="D31" s="156" t="s">
        <v>378</v>
      </c>
      <c r="E31" s="161">
        <f>_xlfn.XLOOKUP($C$20,input!$A:$A,input!C:C,0)*C31</f>
        <v>260675</v>
      </c>
      <c r="F31" s="162"/>
      <c r="G31" s="163"/>
    </row>
    <row r="32" spans="2:7" ht="12" x14ac:dyDescent="0.4">
      <c r="B32" s="158" t="s">
        <v>381</v>
      </c>
      <c r="C32" s="160">
        <f>25000/10</f>
        <v>2500</v>
      </c>
      <c r="D32" s="156" t="s">
        <v>378</v>
      </c>
      <c r="E32" s="161">
        <f>_xlfn.XLOOKUP($C$20,input!$A:$A,input!C:C,0)*C32</f>
        <v>260675</v>
      </c>
    </row>
    <row r="33" spans="2:11" ht="12" x14ac:dyDescent="0.4">
      <c r="B33" s="158" t="s">
        <v>382</v>
      </c>
      <c r="C33" s="160">
        <f>60000/10</f>
        <v>6000</v>
      </c>
      <c r="E33" s="161">
        <f>_xlfn.XLOOKUP($C$20,input!$A:$A,input!C:C,0)*C33</f>
        <v>625620</v>
      </c>
    </row>
    <row r="34" spans="2:11" ht="12" x14ac:dyDescent="0.4">
      <c r="B34" s="158" t="s">
        <v>383</v>
      </c>
      <c r="C34" s="160"/>
      <c r="E34" s="161">
        <f>_xlfn.XLOOKUP($C$20,input!$A:$A,input!C:C,0)*C34</f>
        <v>0</v>
      </c>
    </row>
    <row r="35" spans="2:11" ht="12" x14ac:dyDescent="0.4">
      <c r="B35" s="158" t="s">
        <v>384</v>
      </c>
      <c r="C35" s="160"/>
      <c r="E35" s="161">
        <f>_xlfn.XLOOKUP($C$20,input!$A:$A,input!C:C,0)*C35</f>
        <v>0</v>
      </c>
    </row>
    <row r="36" spans="2:11" ht="12" x14ac:dyDescent="0.4">
      <c r="B36" s="158" t="s">
        <v>385</v>
      </c>
      <c r="C36" s="160">
        <v>0</v>
      </c>
      <c r="E36" s="161">
        <f>_xlfn.XLOOKUP($C$20,input!$A:$A,input!C:C,0)*C36</f>
        <v>0</v>
      </c>
    </row>
    <row r="37" spans="2:11" ht="12" x14ac:dyDescent="0.4">
      <c r="B37" s="158" t="s">
        <v>386</v>
      </c>
      <c r="C37" s="160">
        <f>(C5)*2350/(1500*0.0929)</f>
        <v>2698.4248294483864</v>
      </c>
      <c r="D37" s="156" t="s">
        <v>387</v>
      </c>
      <c r="E37" s="161">
        <f>_xlfn.XLOOKUP($C$20,input!$A:$A,input!C:C,0)*C37</f>
        <v>281364.75696658326</v>
      </c>
    </row>
    <row r="38" spans="2:11" ht="12" x14ac:dyDescent="0.4">
      <c r="B38" s="158" t="s">
        <v>388</v>
      </c>
      <c r="C38" s="160">
        <f>SUM(C22:C37)*10%</f>
        <v>3154.9292913997588</v>
      </c>
      <c r="D38" s="156" t="s">
        <v>389</v>
      </c>
      <c r="E38" s="161">
        <f>_xlfn.XLOOKUP($C$20,input!$A:$A,input!C:C,0)*C38</f>
        <v>328964.47721425281</v>
      </c>
    </row>
    <row r="39" spans="2:11" ht="12" x14ac:dyDescent="0.4">
      <c r="B39" s="158" t="s">
        <v>390</v>
      </c>
      <c r="C39" s="160">
        <f>SUM(C22:C38)</f>
        <v>34704.222205397346</v>
      </c>
      <c r="E39" s="161">
        <f>SUM(E22:E38)</f>
        <v>3618609.2493567811</v>
      </c>
      <c r="G39" s="163">
        <f>C39*103/10^7</f>
        <v>0.35745348871559268</v>
      </c>
    </row>
    <row r="41" spans="2:11" x14ac:dyDescent="0.35">
      <c r="B41" s="61" t="s">
        <v>391</v>
      </c>
      <c r="E41" s="67" t="s">
        <v>555</v>
      </c>
    </row>
    <row r="42" spans="2:11" x14ac:dyDescent="0.35">
      <c r="B42" s="67" t="s">
        <v>392</v>
      </c>
      <c r="C42" s="67" t="s">
        <v>393</v>
      </c>
      <c r="D42" s="67" t="s">
        <v>86</v>
      </c>
      <c r="E42" s="67" t="s">
        <v>228</v>
      </c>
      <c r="F42" s="67" t="s">
        <v>394</v>
      </c>
      <c r="G42" s="67" t="s">
        <v>395</v>
      </c>
      <c r="H42" s="67" t="s">
        <v>396</v>
      </c>
      <c r="K42" s="67" t="str">
        <f>input!C5&amp;" Machine Cost"</f>
        <v>INR Machine Cost</v>
      </c>
    </row>
    <row r="43" spans="2:11" ht="12" x14ac:dyDescent="0.4">
      <c r="B43" s="158" t="s">
        <v>340</v>
      </c>
      <c r="C43" s="158" t="s">
        <v>397</v>
      </c>
      <c r="D43" s="158" t="s">
        <v>150</v>
      </c>
      <c r="E43" s="164">
        <f>(285000+25000)*(100%+$C$71)</f>
        <v>323485.00000000006</v>
      </c>
      <c r="F43" s="164">
        <v>35</v>
      </c>
      <c r="G43" s="164"/>
      <c r="H43" s="164">
        <v>40</v>
      </c>
      <c r="K43" s="165">
        <f>_xlfn.XLOOKUP($E$41,input!$A:$A,input!C:C)*E43</f>
        <v>33729780.950000003</v>
      </c>
    </row>
    <row r="44" spans="2:11" ht="12" x14ac:dyDescent="0.4">
      <c r="B44" s="158" t="s">
        <v>340</v>
      </c>
      <c r="C44" s="158" t="s">
        <v>397</v>
      </c>
      <c r="D44" s="158" t="s">
        <v>398</v>
      </c>
      <c r="E44" s="164">
        <f>(450000+25000)*(100%+$C$71)</f>
        <v>495662.50000000006</v>
      </c>
      <c r="F44" s="164">
        <v>80</v>
      </c>
      <c r="G44" s="164"/>
      <c r="H44" s="164">
        <v>40</v>
      </c>
      <c r="K44" s="165">
        <f>_xlfn.XLOOKUP($E$41,input!$A:$A,input!C:C)*E44</f>
        <v>51682728.875000007</v>
      </c>
    </row>
    <row r="45" spans="2:11" ht="12" x14ac:dyDescent="0.4">
      <c r="B45" s="158" t="s">
        <v>340</v>
      </c>
      <c r="C45" s="158" t="s">
        <v>399</v>
      </c>
      <c r="D45" s="158" t="s">
        <v>399</v>
      </c>
      <c r="E45" s="164">
        <f>(310000+25000)*(100%+$C$71)</f>
        <v>349572.50000000006</v>
      </c>
      <c r="F45" s="164">
        <v>65</v>
      </c>
      <c r="G45" s="164"/>
      <c r="H45" s="164">
        <v>40</v>
      </c>
      <c r="K45" s="165">
        <f>_xlfn.XLOOKUP($E$41,input!$A:$A,input!C:C)*E45</f>
        <v>36449924.575000003</v>
      </c>
    </row>
    <row r="46" spans="2:11" ht="12" x14ac:dyDescent="0.4">
      <c r="B46" s="158" t="s">
        <v>340</v>
      </c>
      <c r="C46" s="158" t="s">
        <v>400</v>
      </c>
      <c r="D46" s="158" t="s">
        <v>400</v>
      </c>
      <c r="E46" s="164">
        <f>(310000+25000)*(100%+$C$71)</f>
        <v>349572.50000000006</v>
      </c>
      <c r="F46" s="164">
        <v>65</v>
      </c>
      <c r="G46" s="164"/>
      <c r="H46" s="164">
        <v>40</v>
      </c>
      <c r="K46" s="165">
        <f>_xlfn.XLOOKUP($E$41,input!$A:$A,input!C:C)*E46</f>
        <v>36449924.575000003</v>
      </c>
    </row>
    <row r="47" spans="2:11" ht="12" x14ac:dyDescent="0.4">
      <c r="B47" s="158" t="s">
        <v>340</v>
      </c>
      <c r="C47" s="158" t="s">
        <v>401</v>
      </c>
      <c r="D47" s="158" t="s">
        <v>401</v>
      </c>
      <c r="E47" s="164">
        <f>(95000+25000)*(100%+$C$71)</f>
        <v>125220.00000000001</v>
      </c>
      <c r="F47" s="164">
        <v>65</v>
      </c>
      <c r="G47" s="164"/>
      <c r="H47" s="164">
        <v>40</v>
      </c>
      <c r="K47" s="165">
        <f>_xlfn.XLOOKUP($E$41,input!$A:$A,input!C:C)*E47</f>
        <v>13056689.4</v>
      </c>
    </row>
    <row r="48" spans="2:11" ht="12" x14ac:dyDescent="0.4">
      <c r="B48" s="158" t="s">
        <v>340</v>
      </c>
      <c r="C48" s="158" t="s">
        <v>402</v>
      </c>
      <c r="D48" s="158" t="s">
        <v>403</v>
      </c>
      <c r="E48" s="164">
        <f>(1000000+25000)*(100%+$C$71)</f>
        <v>1069587.5</v>
      </c>
      <c r="F48" s="164">
        <v>125</v>
      </c>
      <c r="G48" s="164"/>
      <c r="H48" s="164">
        <v>40</v>
      </c>
      <c r="K48" s="165">
        <f>_xlfn.XLOOKUP($E$41,input!$A:$A,input!C:C)*E48</f>
        <v>111525888.625</v>
      </c>
    </row>
    <row r="49" spans="2:11" ht="12" x14ac:dyDescent="0.4">
      <c r="B49" s="158" t="s">
        <v>340</v>
      </c>
      <c r="C49" s="158" t="s">
        <v>404</v>
      </c>
      <c r="D49" s="158" t="s">
        <v>405</v>
      </c>
      <c r="E49" s="164">
        <f>(265000*120%+25000)*(100%+$C$71)</f>
        <v>357920.50000000006</v>
      </c>
      <c r="F49" s="164">
        <f>35*2</f>
        <v>70</v>
      </c>
      <c r="G49" s="164"/>
      <c r="H49" s="164">
        <v>40</v>
      </c>
      <c r="K49" s="165">
        <f>_xlfn.XLOOKUP($E$41,input!$A:$A,input!C:C)*E49</f>
        <v>37320370.535000004</v>
      </c>
    </row>
    <row r="50" spans="2:11" ht="12" x14ac:dyDescent="0.4">
      <c r="B50" s="158" t="s">
        <v>340</v>
      </c>
      <c r="C50" s="158" t="s">
        <v>404</v>
      </c>
      <c r="D50" s="158" t="s">
        <v>406</v>
      </c>
      <c r="E50" s="164">
        <f>(550000+25000)*(100%+$C$71)</f>
        <v>600012.5</v>
      </c>
      <c r="F50" s="164">
        <f>35*2</f>
        <v>70</v>
      </c>
      <c r="G50" s="164"/>
      <c r="H50" s="164">
        <v>40</v>
      </c>
      <c r="K50" s="165">
        <f>_xlfn.XLOOKUP($E$41,input!$A:$A,input!C:C)*E50</f>
        <v>62563303.375</v>
      </c>
    </row>
    <row r="51" spans="2:11" ht="12" x14ac:dyDescent="0.4">
      <c r="B51" s="158" t="s">
        <v>340</v>
      </c>
      <c r="C51" s="158" t="s">
        <v>407</v>
      </c>
      <c r="D51" s="158" t="s">
        <v>408</v>
      </c>
      <c r="E51" s="164">
        <f>(900000*120%+25000)*(100%+$C$71)</f>
        <v>1153067.5</v>
      </c>
      <c r="F51" s="164">
        <f>65*2</f>
        <v>130</v>
      </c>
      <c r="G51" s="164"/>
      <c r="H51" s="164">
        <v>40</v>
      </c>
      <c r="K51" s="165">
        <f>_xlfn.XLOOKUP($E$41,input!$A:$A,input!C:C)*E51</f>
        <v>120230348.22499999</v>
      </c>
    </row>
    <row r="52" spans="2:11" x14ac:dyDescent="0.35">
      <c r="B52" s="158"/>
      <c r="C52" s="158"/>
      <c r="D52" s="158"/>
      <c r="E52" s="158"/>
      <c r="F52" s="158"/>
      <c r="G52" s="158"/>
      <c r="H52" s="158"/>
    </row>
    <row r="54" spans="2:11" x14ac:dyDescent="0.35">
      <c r="B54" s="61" t="s">
        <v>409</v>
      </c>
    </row>
    <row r="55" spans="2:11" ht="12" x14ac:dyDescent="0.4">
      <c r="B55" s="158" t="s">
        <v>410</v>
      </c>
      <c r="C55" s="158" t="s">
        <v>411</v>
      </c>
      <c r="D55" s="158">
        <v>1200</v>
      </c>
      <c r="E55" s="158" t="s">
        <v>412</v>
      </c>
      <c r="F55" s="166">
        <f>D55*D56/10^6</f>
        <v>1.2</v>
      </c>
    </row>
    <row r="56" spans="2:11" ht="12" x14ac:dyDescent="0.4">
      <c r="B56" s="158"/>
      <c r="C56" s="158" t="s">
        <v>413</v>
      </c>
      <c r="D56" s="158">
        <v>1000</v>
      </c>
      <c r="E56" s="158" t="s">
        <v>414</v>
      </c>
      <c r="F56" s="166">
        <f>D56*D57/10^6</f>
        <v>1.1000000000000001</v>
      </c>
    </row>
    <row r="57" spans="2:11" ht="12" x14ac:dyDescent="0.4">
      <c r="B57" s="158"/>
      <c r="C57" s="158" t="s">
        <v>415</v>
      </c>
      <c r="D57" s="158">
        <v>1100</v>
      </c>
      <c r="E57" s="158" t="s">
        <v>416</v>
      </c>
      <c r="F57" s="166">
        <f>D55*D57/10^6</f>
        <v>1.32</v>
      </c>
    </row>
    <row r="58" spans="2:11" ht="12" x14ac:dyDescent="0.4">
      <c r="B58" s="158"/>
      <c r="C58" s="158"/>
      <c r="D58" s="158"/>
      <c r="E58" s="158"/>
      <c r="F58" s="166">
        <f>2*(SUM(F55:F57))</f>
        <v>7.24</v>
      </c>
      <c r="G58" s="156" t="s">
        <v>417</v>
      </c>
    </row>
    <row r="60" spans="2:11" x14ac:dyDescent="0.35">
      <c r="B60" s="61" t="s">
        <v>418</v>
      </c>
      <c r="D60" s="156" t="s">
        <v>419</v>
      </c>
    </row>
    <row r="62" spans="2:11" x14ac:dyDescent="0.35">
      <c r="B62" s="158" t="s">
        <v>420</v>
      </c>
      <c r="C62" s="167">
        <v>0</v>
      </c>
    </row>
    <row r="63" spans="2:11" x14ac:dyDescent="0.35">
      <c r="B63" s="158" t="s">
        <v>421</v>
      </c>
      <c r="C63" s="167">
        <v>5.0000000000000001E-3</v>
      </c>
    </row>
    <row r="64" spans="2:11" x14ac:dyDescent="0.35">
      <c r="B64" s="158" t="s">
        <v>422</v>
      </c>
      <c r="C64" s="167">
        <v>6.9999999999999999E-4</v>
      </c>
    </row>
    <row r="65" spans="2:4" x14ac:dyDescent="0.35">
      <c r="B65" s="158" t="s">
        <v>423</v>
      </c>
      <c r="C65" s="167">
        <v>2.0000000000000001E-4</v>
      </c>
    </row>
    <row r="66" spans="2:4" x14ac:dyDescent="0.35">
      <c r="B66" s="158" t="s">
        <v>424</v>
      </c>
      <c r="C66" s="167">
        <v>8.0000000000000004E-4</v>
      </c>
    </row>
    <row r="67" spans="2:4" x14ac:dyDescent="0.35">
      <c r="B67" s="158" t="s">
        <v>425</v>
      </c>
      <c r="C67" s="167">
        <v>1.1000000000000001E-3</v>
      </c>
    </row>
    <row r="68" spans="2:4" x14ac:dyDescent="0.35">
      <c r="B68" s="158" t="s">
        <v>426</v>
      </c>
      <c r="C68" s="167">
        <v>6.9999999999999999E-4</v>
      </c>
    </row>
    <row r="69" spans="2:4" x14ac:dyDescent="0.35">
      <c r="B69" s="158" t="s">
        <v>427</v>
      </c>
      <c r="C69" s="167">
        <v>0.01</v>
      </c>
    </row>
    <row r="70" spans="2:4" x14ac:dyDescent="0.35">
      <c r="B70" s="158" t="s">
        <v>428</v>
      </c>
      <c r="C70" s="167">
        <v>2.5000000000000001E-2</v>
      </c>
    </row>
    <row r="71" spans="2:4" x14ac:dyDescent="0.35">
      <c r="B71" s="68" t="s">
        <v>63</v>
      </c>
      <c r="C71" s="69">
        <f>SUM(C62:C70)</f>
        <v>4.3500000000000004E-2</v>
      </c>
    </row>
    <row r="73" spans="2:4" x14ac:dyDescent="0.35">
      <c r="B73" s="27" t="s">
        <v>429</v>
      </c>
      <c r="C73" s="7"/>
      <c r="D73" s="51"/>
    </row>
    <row r="74" spans="2:4" x14ac:dyDescent="0.35">
      <c r="B74" s="4" t="s">
        <v>430</v>
      </c>
      <c r="C74" s="7"/>
      <c r="D74" s="51"/>
    </row>
    <row r="75" spans="2:4" x14ac:dyDescent="0.35">
      <c r="B75" s="4" t="s">
        <v>431</v>
      </c>
      <c r="C75" s="7"/>
      <c r="D75" s="51"/>
    </row>
    <row r="76" spans="2:4" x14ac:dyDescent="0.35">
      <c r="B76" s="4" t="s">
        <v>118</v>
      </c>
      <c r="C76" s="7"/>
      <c r="D76" s="51"/>
    </row>
    <row r="77" spans="2:4" x14ac:dyDescent="0.35">
      <c r="B77" s="4" t="s">
        <v>432</v>
      </c>
      <c r="C77" s="7"/>
      <c r="D77" s="51"/>
    </row>
    <row r="78" spans="2:4" x14ac:dyDescent="0.35">
      <c r="B78" s="4" t="s">
        <v>433</v>
      </c>
      <c r="C78" s="7"/>
      <c r="D78" s="51"/>
    </row>
    <row r="79" spans="2:4" x14ac:dyDescent="0.35">
      <c r="B79" s="4" t="s">
        <v>434</v>
      </c>
      <c r="C79" s="7"/>
      <c r="D79" s="51"/>
    </row>
    <row r="80" spans="2:4" x14ac:dyDescent="0.35">
      <c r="B80" s="7"/>
      <c r="C80" s="7"/>
      <c r="D80" s="51"/>
    </row>
    <row r="81" spans="2:4" x14ac:dyDescent="0.35">
      <c r="B81" s="28" t="s">
        <v>60</v>
      </c>
      <c r="C81" s="7"/>
      <c r="D81" s="51"/>
    </row>
    <row r="82" spans="2:4" x14ac:dyDescent="0.35">
      <c r="B82" s="4" t="s">
        <v>188</v>
      </c>
      <c r="C82" s="7"/>
      <c r="D82" s="51"/>
    </row>
    <row r="83" spans="2:4" x14ac:dyDescent="0.35">
      <c r="B83" s="4" t="s">
        <v>158</v>
      </c>
      <c r="C83" s="7"/>
      <c r="D83" s="51"/>
    </row>
    <row r="84" spans="2:4" x14ac:dyDescent="0.35">
      <c r="B84" s="7"/>
      <c r="C84" s="7"/>
      <c r="D84" s="51"/>
    </row>
    <row r="85" spans="2:4" x14ac:dyDescent="0.35">
      <c r="B85" s="7"/>
      <c r="C85" s="7"/>
      <c r="D85" s="51"/>
    </row>
    <row r="86" spans="2:4" x14ac:dyDescent="0.35">
      <c r="B86" s="27" t="s">
        <v>166</v>
      </c>
      <c r="C86" s="27" t="s">
        <v>435</v>
      </c>
      <c r="D86" s="52" t="s">
        <v>165</v>
      </c>
    </row>
    <row r="87" spans="2:4" x14ac:dyDescent="0.35">
      <c r="B87" s="4" t="s">
        <v>436</v>
      </c>
      <c r="C87" s="4">
        <v>8</v>
      </c>
      <c r="D87" s="53">
        <v>8</v>
      </c>
    </row>
    <row r="88" spans="2:4" x14ac:dyDescent="0.35">
      <c r="B88" s="4" t="s">
        <v>167</v>
      </c>
      <c r="C88" s="4">
        <v>11</v>
      </c>
      <c r="D88" s="53">
        <v>10</v>
      </c>
    </row>
    <row r="89" spans="2:4" x14ac:dyDescent="0.35">
      <c r="B89" s="4" t="s">
        <v>437</v>
      </c>
      <c r="C89" s="4">
        <v>11</v>
      </c>
      <c r="D89" s="53">
        <v>10</v>
      </c>
    </row>
    <row r="90" spans="2:4" x14ac:dyDescent="0.35">
      <c r="B90" s="4" t="s">
        <v>438</v>
      </c>
      <c r="C90" s="4">
        <v>14</v>
      </c>
      <c r="D90" s="53">
        <v>12</v>
      </c>
    </row>
    <row r="91" spans="2:4" x14ac:dyDescent="0.35">
      <c r="B91" s="4" t="s">
        <v>439</v>
      </c>
      <c r="C91" s="4">
        <v>11</v>
      </c>
      <c r="D91" s="53">
        <v>10</v>
      </c>
    </row>
    <row r="92" spans="2:4" x14ac:dyDescent="0.35">
      <c r="B92" s="4" t="s">
        <v>440</v>
      </c>
      <c r="C92" s="4">
        <v>24</v>
      </c>
      <c r="D92" s="53">
        <v>21</v>
      </c>
    </row>
    <row r="93" spans="2:4" x14ac:dyDescent="0.35">
      <c r="B93" s="7"/>
      <c r="C93" s="7"/>
      <c r="D93" s="51"/>
    </row>
    <row r="94" spans="2:4" x14ac:dyDescent="0.35">
      <c r="B94" s="28" t="s">
        <v>441</v>
      </c>
      <c r="C94" s="7"/>
      <c r="D94" s="51"/>
    </row>
    <row r="95" spans="2:4" x14ac:dyDescent="0.35">
      <c r="B95" s="4" t="s">
        <v>435</v>
      </c>
      <c r="C95" s="7"/>
      <c r="D95" s="51"/>
    </row>
    <row r="96" spans="2:4" x14ac:dyDescent="0.35">
      <c r="B96" s="4" t="s">
        <v>165</v>
      </c>
      <c r="C96" s="7"/>
      <c r="D96" s="51"/>
    </row>
    <row r="97" spans="2:4" ht="12" x14ac:dyDescent="0.4">
      <c r="B97" s="168"/>
      <c r="C97" s="168"/>
      <c r="D97" s="169"/>
    </row>
    <row r="98" spans="2:4" ht="12" x14ac:dyDescent="0.4">
      <c r="B98" s="168"/>
      <c r="C98" s="168"/>
      <c r="D98" s="169"/>
    </row>
    <row r="99" spans="2:4" ht="12" x14ac:dyDescent="0.4">
      <c r="B99" s="28" t="s">
        <v>54</v>
      </c>
      <c r="C99" s="168"/>
      <c r="D99" s="169"/>
    </row>
    <row r="100" spans="2:4" ht="12" x14ac:dyDescent="0.4">
      <c r="B100" s="29" t="s">
        <v>442</v>
      </c>
      <c r="C100" s="168"/>
      <c r="D100" s="169"/>
    </row>
    <row r="101" spans="2:4" ht="12" x14ac:dyDescent="0.4">
      <c r="B101" s="41" t="s">
        <v>443</v>
      </c>
      <c r="C101" s="168"/>
      <c r="D101" s="169"/>
    </row>
    <row r="102" spans="2:4" ht="12" x14ac:dyDescent="0.4">
      <c r="B102" s="29" t="s">
        <v>444</v>
      </c>
      <c r="C102" s="168"/>
      <c r="D102" s="169"/>
    </row>
    <row r="104" spans="2:4" x14ac:dyDescent="0.35">
      <c r="B104" s="28" t="s">
        <v>23</v>
      </c>
    </row>
    <row r="105" spans="2:4" x14ac:dyDescent="0.35">
      <c r="B105" s="29" t="s">
        <v>159</v>
      </c>
    </row>
    <row r="106" spans="2:4" x14ac:dyDescent="0.35">
      <c r="B106" s="41" t="s">
        <v>187</v>
      </c>
    </row>
    <row r="108" spans="2:4" x14ac:dyDescent="0.35">
      <c r="B108" s="155" t="s">
        <v>479</v>
      </c>
      <c r="C108" s="170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01959-AEC6-4655-BBB0-0BF364697EF1}">
  <dimension ref="A1:AF39"/>
  <sheetViews>
    <sheetView zoomScale="96" workbookViewId="0"/>
  </sheetViews>
  <sheetFormatPr defaultRowHeight="14.25" x14ac:dyDescent="0.45"/>
  <cols>
    <col min="1" max="1" width="12.796875" customWidth="1"/>
    <col min="2" max="2" width="14.6640625" customWidth="1"/>
    <col min="3" max="3" width="9.86328125" customWidth="1"/>
    <col min="4" max="4" width="12.86328125" customWidth="1"/>
    <col min="5" max="5" width="14.33203125" customWidth="1"/>
    <col min="6" max="6" width="14.86328125" customWidth="1"/>
    <col min="7" max="7" width="17.19921875" customWidth="1"/>
    <col min="8" max="9" width="14.796875" customWidth="1"/>
    <col min="10" max="11" width="12.33203125" bestFit="1" customWidth="1"/>
    <col min="12" max="12" width="12.19921875" customWidth="1"/>
    <col min="13" max="13" width="10.46484375" customWidth="1"/>
    <col min="14" max="14" width="14.46484375" customWidth="1"/>
    <col min="15" max="15" width="14.1328125" customWidth="1"/>
    <col min="16" max="16" width="13.86328125" customWidth="1"/>
    <col min="17" max="17" width="10.796875" customWidth="1"/>
    <col min="18" max="18" width="12.33203125" customWidth="1"/>
    <col min="19" max="19" width="11.1328125" customWidth="1"/>
    <col min="20" max="20" width="10.86328125" customWidth="1"/>
    <col min="21" max="22" width="10" bestFit="1" customWidth="1"/>
  </cols>
  <sheetData>
    <row r="1" spans="1:32" x14ac:dyDescent="0.45">
      <c r="A1" s="226">
        <f>SUM(D4:P20)-[1]Database!$A$1</f>
        <v>0</v>
      </c>
      <c r="F1" s="187"/>
    </row>
    <row r="2" spans="1:32" ht="28.5" x14ac:dyDescent="0.45">
      <c r="D2" s="188" t="s">
        <v>518</v>
      </c>
      <c r="E2" s="234" t="s">
        <v>152</v>
      </c>
      <c r="F2" s="234"/>
      <c r="G2" s="234"/>
      <c r="J2" s="188" t="s">
        <v>519</v>
      </c>
      <c r="K2" s="188" t="s">
        <v>519</v>
      </c>
      <c r="L2" s="188" t="s">
        <v>519</v>
      </c>
      <c r="O2" s="191" t="s">
        <v>507</v>
      </c>
      <c r="P2" s="191" t="s">
        <v>508</v>
      </c>
      <c r="AE2" t="s">
        <v>520</v>
      </c>
      <c r="AF2">
        <v>300</v>
      </c>
    </row>
    <row r="3" spans="1:32" ht="41.25" customHeight="1" x14ac:dyDescent="0.45">
      <c r="A3" s="189" t="s">
        <v>91</v>
      </c>
      <c r="B3" s="189" t="s">
        <v>54</v>
      </c>
      <c r="C3" s="189" t="s">
        <v>506</v>
      </c>
      <c r="D3" s="190" t="s">
        <v>151</v>
      </c>
      <c r="E3" s="190" t="s">
        <v>45</v>
      </c>
      <c r="F3" s="190" t="s">
        <v>49</v>
      </c>
      <c r="G3" s="190" t="s">
        <v>51</v>
      </c>
      <c r="H3" s="189" t="s">
        <v>564</v>
      </c>
      <c r="I3" s="189" t="s">
        <v>25</v>
      </c>
      <c r="J3" s="190" t="s">
        <v>10</v>
      </c>
      <c r="K3" s="190" t="s">
        <v>15</v>
      </c>
      <c r="L3" s="190" t="s">
        <v>19</v>
      </c>
      <c r="M3" s="191" t="s">
        <v>31</v>
      </c>
      <c r="N3" s="191" t="s">
        <v>34</v>
      </c>
      <c r="O3" s="191" t="s">
        <v>555</v>
      </c>
      <c r="P3" s="211" t="s">
        <v>554</v>
      </c>
      <c r="Q3" s="213" t="s">
        <v>123</v>
      </c>
      <c r="R3" s="213" t="s">
        <v>132</v>
      </c>
      <c r="S3" s="213" t="s">
        <v>140</v>
      </c>
      <c r="T3" s="213" t="s">
        <v>125</v>
      </c>
      <c r="U3" s="213" t="s">
        <v>134</v>
      </c>
      <c r="V3" s="213" t="s">
        <v>142</v>
      </c>
      <c r="AE3" t="e">
        <f>#REF!/AF2</f>
        <v>#REF!</v>
      </c>
    </row>
    <row r="4" spans="1:32" x14ac:dyDescent="0.45">
      <c r="A4" s="192" t="s">
        <v>521</v>
      </c>
      <c r="B4" s="192" t="s">
        <v>522</v>
      </c>
      <c r="C4" s="192" t="s">
        <v>523</v>
      </c>
      <c r="D4" s="193" cm="1">
        <f t="array" ref="D4">_xlfn.XLOOKUP(
   $A4,
   [1]Database!$A$5:$A$20,
   _xlfn.XLOOKUP(
      D$3,
      [1]Database!$D$4:$T$4,
      [1]Database!$D$5:$T$20
   )
)</f>
        <v>129.15</v>
      </c>
      <c r="E4" s="193" cm="1">
        <f t="array" ref="E4">_xlfn.XLOOKUP(
   $A4,
   [1]Database!$A$5:$A$20,
   _xlfn.XLOOKUP(
      E$3,
      [1]Database!$D$4:$T$4,
      [1]Database!$D$5:$T$20
   )
)</f>
        <v>9792000</v>
      </c>
      <c r="F4" s="193" cm="1">
        <f t="array" ref="F4">_xlfn.XLOOKUP(
   $A4,
   [1]Database!$A$5:$A$20,
   _xlfn.XLOOKUP(
      F$3,
      [1]Database!$D$4:$T$4,
      [1]Database!$D$5:$T$20
   )
)</f>
        <v>1632000.0000000002</v>
      </c>
      <c r="G4" s="193" cm="1">
        <f t="array" ref="G4">_xlfn.XLOOKUP(
   $A4,
   [1]Database!$A$5:$A$20,
   _xlfn.XLOOKUP(
      G$3,
      [1]Database!$D$4:$T$4,
      [1]Database!$D$5:$T$20
   )
)</f>
        <v>13056000.000000002</v>
      </c>
      <c r="H4" s="195" cm="1">
        <f t="array" ref="H4">_xlfn.XLOOKUP(
   $A4,
   [1]Database!$A$5:$A$20,
   _xlfn.XLOOKUP(
      H$3,
      [1]Database!$D$4:$T$4,
      [1]Database!$D$5:$T$20
   )
)</f>
        <v>0.1</v>
      </c>
      <c r="I4" s="195" cm="1">
        <f t="array" ref="I4">_xlfn.XLOOKUP(
   $A4,
   [1]Database!$A$5:$A$20,
   _xlfn.XLOOKUP(
      I$3,
      [1]Database!$D$4:$T$4,
      [1]Database!$D$5:$T$20
   )
)</f>
        <v>0.02</v>
      </c>
      <c r="J4" s="193" cm="1">
        <f t="array" ref="J4">_xlfn.XLOOKUP(
   $A4,
   [1]Database!$A$5:$A$20,
   _xlfn.XLOOKUP(
      J$3,
      [1]Database!$D$4:$T$4,
      [1]Database!$D$5:$T$20
   )
)</f>
        <v>194373</v>
      </c>
      <c r="K4" s="193" cm="1">
        <f t="array" ref="K4">_xlfn.XLOOKUP(
   $A4,
   [1]Database!$A$5:$A$20,
   _xlfn.XLOOKUP(
      K$3,
      [1]Database!$D$4:$T$4,
      [1]Database!$D$5:$T$20
   )
)</f>
        <v>0</v>
      </c>
      <c r="L4" s="193" cm="1">
        <f t="array" ref="L4">_xlfn.XLOOKUP(
   $A4,
   [1]Database!$A$5:$A$20,
   _xlfn.XLOOKUP(
      L$3,
      [1]Database!$D$4:$T$4,
      [1]Database!$D$5:$T$20
   )
)</f>
        <v>100148.96</v>
      </c>
      <c r="M4" s="195" cm="1">
        <f t="array" ref="M4">_xlfn.XLOOKUP(
   $A4,
   [1]Database!$A$5:$A$20,
   _xlfn.XLOOKUP(
      M$3,
      [1]Database!$D$4:$T$4,
      [1]Database!$D$5:$T$20
   )
)</f>
        <v>0.36959999999999998</v>
      </c>
      <c r="N4" s="195" cm="1">
        <f t="array" ref="N4">_xlfn.XLOOKUP(
   $A4,
   [1]Database!$A$5:$A$20,
   _xlfn.XLOOKUP(
      N$3,
      [1]Database!$D$4:$T$4,
      [1]Database!$D$5:$T$20
   )
)</f>
        <v>0.36959999999999998</v>
      </c>
      <c r="O4" s="193" cm="1">
        <f t="array" ref="O4">_xlfn.XLOOKUP(
   $A4,
   [1]Database!$A$5:$A$20,
   _xlfn.XLOOKUP(
      O$3,
      [1]Database!$D$4:$T$4,
      [1]Database!$D$5:$T$20
   )
)</f>
        <v>1684.16</v>
      </c>
      <c r="P4" s="193" cm="1">
        <f t="array" ref="P4">_xlfn.XLOOKUP(
   $A4,
   [1]Database!$A$5:$A$20,
   _xlfn.XLOOKUP(
      P$3,
      [1]Database!$D$4:$T$4,
      [1]Database!$D$5:$T$20
   )
)</f>
        <v>1451.24</v>
      </c>
      <c r="Q4" s="214">
        <f>Q$7*$O4</f>
        <v>7268.3609859019862</v>
      </c>
      <c r="R4" s="214">
        <f t="shared" ref="R4:V6" si="0">R$7*$O4</f>
        <v>7268.3609859019862</v>
      </c>
      <c r="S4" s="214">
        <f t="shared" si="0"/>
        <v>7268.3609859019862</v>
      </c>
      <c r="T4" s="214">
        <f t="shared" si="0"/>
        <v>4036.8168744007676</v>
      </c>
      <c r="U4" s="214">
        <f t="shared" si="0"/>
        <v>4036.8168744007676</v>
      </c>
      <c r="V4" s="214">
        <f t="shared" si="0"/>
        <v>4036.8168744007676</v>
      </c>
    </row>
    <row r="5" spans="1:32" x14ac:dyDescent="0.45">
      <c r="A5" s="192" t="s">
        <v>524</v>
      </c>
      <c r="B5" s="192" t="s">
        <v>525</v>
      </c>
      <c r="C5" s="192" t="s">
        <v>526</v>
      </c>
      <c r="D5" s="193" cm="1">
        <f t="array" ref="D5">_xlfn.XLOOKUP(
   $A5,
   [1]Database!$A$5:$A$20,
   _xlfn.XLOOKUP(
      D$3,
      [1]Database!$D$4:$T$4,
      [1]Database!$D$5:$T$20
   )
)</f>
        <v>0.65700000000000003</v>
      </c>
      <c r="E5" s="193" cm="1">
        <f t="array" ref="E5">_xlfn.XLOOKUP(
   $A5,
   [1]Database!$A$5:$A$20,
   _xlfn.XLOOKUP(
      E$3,
      [1]Database!$D$4:$T$4,
      [1]Database!$D$5:$T$20
   )
)</f>
        <v>73000</v>
      </c>
      <c r="F5" s="193" cm="1">
        <f t="array" ref="F5">_xlfn.XLOOKUP(
   $A5,
   [1]Database!$A$5:$A$20,
   _xlfn.XLOOKUP(
      F$3,
      [1]Database!$D$4:$T$4,
      [1]Database!$D$5:$T$20
   )
)</f>
        <v>210240</v>
      </c>
      <c r="G5" s="193" cm="1">
        <f t="array" ref="G5">_xlfn.XLOOKUP(
   $A5,
   [1]Database!$A$5:$A$20,
   _xlfn.XLOOKUP(
      G$3,
      [1]Database!$D$4:$T$4,
      [1]Database!$D$5:$T$20
   )
)</f>
        <v>315360</v>
      </c>
      <c r="H5" s="195" cm="1">
        <f t="array" ref="H5">_xlfn.XLOOKUP(
   $A5,
   [1]Database!$A$5:$A$20,
   _xlfn.XLOOKUP(
      H$3,
      [1]Database!$D$4:$T$4,
      [1]Database!$D$5:$T$20
   )
)</f>
        <v>0.1</v>
      </c>
      <c r="I5" s="195" cm="1">
        <f t="array" ref="I5">_xlfn.XLOOKUP(
   $A5,
   [1]Database!$A$5:$A$20,
   _xlfn.XLOOKUP(
      I$3,
      [1]Database!$D$4:$T$4,
      [1]Database!$D$5:$T$20
   )
)</f>
        <v>0.04</v>
      </c>
      <c r="J5" s="193" cm="1">
        <f t="array" ref="J5">_xlfn.XLOOKUP(
   $A5,
   [1]Database!$A$5:$A$20,
   _xlfn.XLOOKUP(
      J$3,
      [1]Database!$D$4:$T$4,
      [1]Database!$D$5:$T$20
   )
)</f>
        <v>2533.6</v>
      </c>
      <c r="K5" s="193" cm="1">
        <f t="array" ref="K5">_xlfn.XLOOKUP(
   $A5,
   [1]Database!$A$5:$A$20,
   _xlfn.XLOOKUP(
      K$3,
      [1]Database!$D$4:$T$4,
      [1]Database!$D$5:$T$20
   )
)</f>
        <v>14843.75</v>
      </c>
      <c r="L5" s="193" cm="1">
        <f t="array" ref="L5">_xlfn.XLOOKUP(
   $A5,
   [1]Database!$A$5:$A$20,
   _xlfn.XLOOKUP(
      L$3,
      [1]Database!$D$4:$T$4,
      [1]Database!$D$5:$T$20
   )
)</f>
        <v>161.679</v>
      </c>
      <c r="M5" s="195" cm="1">
        <f t="array" ref="M5">_xlfn.XLOOKUP(
   $A5,
   [1]Database!$A$5:$A$20,
   _xlfn.XLOOKUP(
      M$3,
      [1]Database!$D$4:$T$4,
      [1]Database!$D$5:$T$20
   )
)</f>
        <v>0.15</v>
      </c>
      <c r="N5" s="195" cm="1">
        <f t="array" ref="N5">_xlfn.XLOOKUP(
   $A5,
   [1]Database!$A$5:$A$20,
   _xlfn.XLOOKUP(
      N$3,
      [1]Database!$D$4:$T$4,
      [1]Database!$D$5:$T$20
   )
)</f>
        <v>0.15</v>
      </c>
      <c r="O5" s="193" cm="1">
        <f t="array" ref="O5">_xlfn.XLOOKUP(
   $A5,
   [1]Database!$A$5:$A$20,
   _xlfn.XLOOKUP(
      O$3,
      [1]Database!$D$4:$T$4,
      [1]Database!$D$5:$T$20
   )
)</f>
        <v>6.23</v>
      </c>
      <c r="P5" s="193" cm="1">
        <f t="array" ref="P5">_xlfn.XLOOKUP(
   $A5,
   [1]Database!$A$5:$A$20,
   _xlfn.XLOOKUP(
      P$3,
      [1]Database!$D$4:$T$4,
      [1]Database!$D$5:$T$20
   )
)</f>
        <v>5.37</v>
      </c>
      <c r="Q5" s="214">
        <f>Q$7*$O5</f>
        <v>26.886928167258084</v>
      </c>
      <c r="R5" s="214">
        <f t="shared" si="0"/>
        <v>26.886928167258084</v>
      </c>
      <c r="S5" s="214">
        <f t="shared" si="0"/>
        <v>26.886928167258084</v>
      </c>
      <c r="T5" s="214">
        <f t="shared" si="0"/>
        <v>14.932885906040271</v>
      </c>
      <c r="U5" s="214">
        <f t="shared" si="0"/>
        <v>14.932885906040271</v>
      </c>
      <c r="V5" s="214">
        <f t="shared" si="0"/>
        <v>14.932885906040271</v>
      </c>
    </row>
    <row r="6" spans="1:32" x14ac:dyDescent="0.45">
      <c r="A6" s="192" t="s">
        <v>515</v>
      </c>
      <c r="B6" s="192" t="s">
        <v>516</v>
      </c>
      <c r="C6" s="192" t="s">
        <v>517</v>
      </c>
      <c r="D6" s="193" cm="1">
        <f t="array" ref="D6">_xlfn.XLOOKUP(
   $A6,
   [1]Database!$A$5:$A$20,
   _xlfn.XLOOKUP(
      D$3,
      [1]Database!$D$4:$T$4,
      [1]Database!$D$5:$T$20
   )
)</f>
        <v>0.79400000000000004</v>
      </c>
      <c r="E6" s="193" cm="1">
        <f t="array" ref="E6">_xlfn.XLOOKUP(
   $A6,
   [1]Database!$A$5:$A$20,
   _xlfn.XLOOKUP(
      E$3,
      [1]Database!$D$4:$T$4,
      [1]Database!$D$5:$T$20
   )
)</f>
        <v>420000</v>
      </c>
      <c r="F6" s="193" cm="1">
        <f t="array" ref="F6">_xlfn.XLOOKUP(
   $A6,
   [1]Database!$A$5:$A$20,
   _xlfn.XLOOKUP(
      F$3,
      [1]Database!$D$4:$T$4,
      [1]Database!$D$5:$T$20
   )
)</f>
        <v>420000</v>
      </c>
      <c r="G6" s="193" cm="1">
        <f t="array" ref="G6">_xlfn.XLOOKUP(
   $A6,
   [1]Database!$A$5:$A$20,
   _xlfn.XLOOKUP(
      G$3,
      [1]Database!$D$4:$T$4,
      [1]Database!$D$5:$T$20
   )
)</f>
        <v>487199.99999999994</v>
      </c>
      <c r="H6" s="195" cm="1">
        <f t="array" ref="H6">_xlfn.XLOOKUP(
   $A6,
   [1]Database!$A$5:$A$20,
   _xlfn.XLOOKUP(
      H$3,
      [1]Database!$D$4:$T$4,
      [1]Database!$D$5:$T$20
   )
)</f>
        <v>0.1</v>
      </c>
      <c r="I6" s="195" cm="1">
        <f t="array" ref="I6">_xlfn.XLOOKUP(
   $A6,
   [1]Database!$A$5:$A$20,
   _xlfn.XLOOKUP(
      I$3,
      [1]Database!$D$4:$T$4,
      [1]Database!$D$5:$T$20
   )
)</f>
        <v>0.1</v>
      </c>
      <c r="J6" s="193" cm="1">
        <f t="array" ref="J6">_xlfn.XLOOKUP(
   $A6,
   [1]Database!$A$5:$A$20,
   _xlfn.XLOOKUP(
      J$3,
      [1]Database!$D$4:$T$4,
      [1]Database!$D$5:$T$20
   )
)</f>
        <v>1228.5</v>
      </c>
      <c r="K6" s="193" cm="1">
        <f t="array" ref="K6">_xlfn.XLOOKUP(
   $A6,
   [1]Database!$A$5:$A$20,
   _xlfn.XLOOKUP(
      K$3,
      [1]Database!$D$4:$T$4,
      [1]Database!$D$5:$T$20
   )
)</f>
        <v>1056.51</v>
      </c>
      <c r="L6" s="193" cm="1">
        <f t="array" ref="L6">_xlfn.XLOOKUP(
   $A6,
   [1]Database!$A$5:$A$20,
   _xlfn.XLOOKUP(
      L$3,
      [1]Database!$D$4:$T$4,
      [1]Database!$D$5:$T$20
   )
)</f>
        <v>3046.68</v>
      </c>
      <c r="M6" s="195" cm="1">
        <f t="array" ref="M6">_xlfn.XLOOKUP(
   $A6,
   [1]Database!$A$5:$A$20,
   _xlfn.XLOOKUP(
      M$3,
      [1]Database!$D$4:$T$4,
      [1]Database!$D$5:$T$20
   )
)</f>
        <v>4.9000000000000002E-2</v>
      </c>
      <c r="N6" s="195" cm="1">
        <f t="array" ref="N6">_xlfn.XLOOKUP(
   $A6,
   [1]Database!$A$5:$A$20,
   _xlfn.XLOOKUP(
      N$3,
      [1]Database!$D$4:$T$4,
      [1]Database!$D$5:$T$20
   )
)</f>
        <v>0.03</v>
      </c>
      <c r="O6" s="193" cm="1">
        <f t="array" ref="O6">_xlfn.XLOOKUP(
   $A6,
   [1]Database!$A$5:$A$20,
   _xlfn.XLOOKUP(
      O$3,
      [1]Database!$D$4:$T$4,
      [1]Database!$D$5:$T$20
   )
)</f>
        <v>8.19</v>
      </c>
      <c r="P6" s="193" cm="1">
        <f t="array" ref="P6">_xlfn.XLOOKUP(
   $A6,
   [1]Database!$A$5:$A$20,
   _xlfn.XLOOKUP(
      P$3,
      [1]Database!$D$4:$T$4,
      [1]Database!$D$5:$T$20
   )
)</f>
        <v>7.11</v>
      </c>
      <c r="Q6" s="214">
        <f>Q$7*$O6</f>
        <v>35.345737028867362</v>
      </c>
      <c r="R6" s="214">
        <f t="shared" si="0"/>
        <v>35.345737028867362</v>
      </c>
      <c r="S6" s="214">
        <f t="shared" si="0"/>
        <v>35.345737028867362</v>
      </c>
      <c r="T6" s="214">
        <f t="shared" si="0"/>
        <v>19.630872483221477</v>
      </c>
      <c r="U6" s="214">
        <f t="shared" si="0"/>
        <v>19.630872483221477</v>
      </c>
      <c r="V6" s="214">
        <f t="shared" si="0"/>
        <v>19.630872483221477</v>
      </c>
    </row>
    <row r="7" spans="1:32" x14ac:dyDescent="0.45">
      <c r="A7" s="192" t="s">
        <v>527</v>
      </c>
      <c r="B7" s="192" t="s">
        <v>528</v>
      </c>
      <c r="C7" s="192" t="s">
        <v>448</v>
      </c>
      <c r="D7" s="193" cm="1">
        <f t="array" ref="D7">_xlfn.XLOOKUP(
   $A7,
   [1]Database!$A$5:$A$20,
   _xlfn.XLOOKUP(
      D$3,
      [1]Database!$D$4:$T$4,
      [1]Database!$D$5:$T$20
   )
)</f>
        <v>0.153</v>
      </c>
      <c r="E7" s="193" cm="1">
        <f t="array" ref="E7">_xlfn.XLOOKUP(
   $A7,
   [1]Database!$A$5:$A$20,
   _xlfn.XLOOKUP(
      E$3,
      [1]Database!$D$4:$T$4,
      [1]Database!$D$5:$T$20
   )
)</f>
        <v>34800</v>
      </c>
      <c r="F7" s="193" cm="1">
        <f t="array" ref="F7">_xlfn.XLOOKUP(
   $A7,
   [1]Database!$A$5:$A$20,
   _xlfn.XLOOKUP(
      F$3,
      [1]Database!$D$4:$T$4,
      [1]Database!$D$5:$T$20
   )
)</f>
        <v>71050</v>
      </c>
      <c r="G7" s="193" cm="1">
        <f t="array" ref="G7">_xlfn.XLOOKUP(
   $A7,
   [1]Database!$A$5:$A$20,
   _xlfn.XLOOKUP(
      G$3,
      [1]Database!$D$4:$T$4,
      [1]Database!$D$5:$T$20
   )
)</f>
        <v>94250</v>
      </c>
      <c r="H7" s="195" cm="1">
        <f t="array" ref="H7">_xlfn.XLOOKUP(
   $A7,
   [1]Database!$A$5:$A$20,
   _xlfn.XLOOKUP(
      H$3,
      [1]Database!$D$4:$T$4,
      [1]Database!$D$5:$T$20
   )
)</f>
        <v>0.1</v>
      </c>
      <c r="I7" s="195" cm="1">
        <f t="array" ref="I7">_xlfn.XLOOKUP(
   $A7,
   [1]Database!$A$5:$A$20,
   _xlfn.XLOOKUP(
      I$3,
      [1]Database!$D$4:$T$4,
      [1]Database!$D$5:$T$20
   )
)</f>
        <v>0.1</v>
      </c>
      <c r="J7" s="193" cm="1">
        <f t="array" ref="J7">_xlfn.XLOOKUP(
   $A7,
   [1]Database!$A$5:$A$20,
   _xlfn.XLOOKUP(
      J$3,
      [1]Database!$D$4:$T$4,
      [1]Database!$D$5:$T$20
   )
)</f>
        <v>0</v>
      </c>
      <c r="K7" s="193" cm="1">
        <f t="array" ref="K7">_xlfn.XLOOKUP(
   $A7,
   [1]Database!$A$5:$A$20,
   _xlfn.XLOOKUP(
      K$3,
      [1]Database!$D$4:$T$4,
      [1]Database!$D$5:$T$20
   )
)</f>
        <v>0</v>
      </c>
      <c r="L7" s="193" cm="1">
        <f t="array" ref="L7">_xlfn.XLOOKUP(
   $A7,
   [1]Database!$A$5:$A$20,
   _xlfn.XLOOKUP(
      L$3,
      [1]Database!$D$4:$T$4,
      [1]Database!$D$5:$T$20
   )
)</f>
        <v>0</v>
      </c>
      <c r="M7" s="195" cm="1">
        <f t="array" ref="M7">_xlfn.XLOOKUP(
   $A7,
   [1]Database!$A$5:$A$20,
   _xlfn.XLOOKUP(
      M$3,
      [1]Database!$D$4:$T$4,
      [1]Database!$D$5:$T$20
   )
)</f>
        <v>3.4500000000000003E-2</v>
      </c>
      <c r="N7" s="195" cm="1">
        <f t="array" ref="N7">_xlfn.XLOOKUP(
   $A7,
   [1]Database!$A$5:$A$20,
   _xlfn.XLOOKUP(
      N$3,
      [1]Database!$D$4:$T$4,
      [1]Database!$D$5:$T$20
   )
)</f>
        <v>3.4500000000000003E-2</v>
      </c>
      <c r="O7" s="193" cm="1">
        <f t="array" ref="O7">_xlfn.XLOOKUP(
   $A7,
   [1]Database!$A$5:$A$20,
   _xlfn.XLOOKUP(
      O$3,
      [1]Database!$D$4:$T$4,
      [1]Database!$D$5:$T$20
   )
)</f>
        <v>1</v>
      </c>
      <c r="P7" s="193" cm="1">
        <f t="array" ref="P7">_xlfn.XLOOKUP(
   $A7,
   [1]Database!$A$5:$A$20,
   _xlfn.XLOOKUP(
      P$3,
      [1]Database!$D$4:$T$4,
      [1]Database!$D$5:$T$20
   )
)</f>
        <v>0.86</v>
      </c>
      <c r="Q7" s="214">
        <v>4.3157188069435124</v>
      </c>
      <c r="R7" s="214">
        <v>4.3157188069435124</v>
      </c>
      <c r="S7" s="214">
        <v>4.3157188069435124</v>
      </c>
      <c r="T7" s="215">
        <v>2.3969319271332696</v>
      </c>
      <c r="U7" s="215">
        <v>2.3969319271332696</v>
      </c>
      <c r="V7" s="215">
        <v>2.3969319271332696</v>
      </c>
    </row>
    <row r="8" spans="1:32" x14ac:dyDescent="0.45">
      <c r="A8" s="192" t="s">
        <v>529</v>
      </c>
      <c r="B8" s="192" t="s">
        <v>528</v>
      </c>
      <c r="C8" s="192" t="s">
        <v>448</v>
      </c>
      <c r="D8" s="193" cm="1">
        <f t="array" ref="D8">_xlfn.XLOOKUP(
   $A8,
   [1]Database!$A$5:$A$20,
   _xlfn.XLOOKUP(
      D$3,
      [1]Database!$D$4:$T$4,
      [1]Database!$D$5:$T$20
   )
)</f>
        <v>0.251</v>
      </c>
      <c r="E8" s="193" cm="1">
        <f t="array" ref="E8">_xlfn.XLOOKUP(
   $A8,
   [1]Database!$A$5:$A$20,
   _xlfn.XLOOKUP(
      E$3,
      [1]Database!$D$4:$T$4,
      [1]Database!$D$5:$T$20
   )
)</f>
        <v>36000</v>
      </c>
      <c r="F8" s="193" cm="1">
        <f t="array" ref="F8">_xlfn.XLOOKUP(
   $A8,
   [1]Database!$A$5:$A$20,
   _xlfn.XLOOKUP(
      F$3,
      [1]Database!$D$4:$T$4,
      [1]Database!$D$5:$T$20
   )
)</f>
        <v>75000</v>
      </c>
      <c r="G8" s="193" cm="1">
        <f t="array" ref="G8">_xlfn.XLOOKUP(
   $A8,
   [1]Database!$A$5:$A$20,
   _xlfn.XLOOKUP(
      G$3,
      [1]Database!$D$4:$T$4,
      [1]Database!$D$5:$T$20
   )
)</f>
        <v>85000</v>
      </c>
      <c r="H8" s="195" cm="1">
        <f t="array" ref="H8">_xlfn.XLOOKUP(
   $A8,
   [1]Database!$A$5:$A$20,
   _xlfn.XLOOKUP(
      H$3,
      [1]Database!$D$4:$T$4,
      [1]Database!$D$5:$T$20
   )
)</f>
        <v>0.1</v>
      </c>
      <c r="I8" s="195" cm="1">
        <f t="array" ref="I8">_xlfn.XLOOKUP(
   $A8,
   [1]Database!$A$5:$A$20,
   _xlfn.XLOOKUP(
      I$3,
      [1]Database!$D$4:$T$4,
      [1]Database!$D$5:$T$20
   )
)</f>
        <v>0.1</v>
      </c>
      <c r="J8" s="193" cm="1">
        <f t="array" ref="J8">_xlfn.XLOOKUP(
   $A8,
   [1]Database!$A$5:$A$20,
   _xlfn.XLOOKUP(
      J$3,
      [1]Database!$D$4:$T$4,
      [1]Database!$D$5:$T$20
   )
)</f>
        <v>0</v>
      </c>
      <c r="K8" s="193" cm="1">
        <f t="array" ref="K8">_xlfn.XLOOKUP(
   $A8,
   [1]Database!$A$5:$A$20,
   _xlfn.XLOOKUP(
      K$3,
      [1]Database!$D$4:$T$4,
      [1]Database!$D$5:$T$20
   )
)</f>
        <v>0</v>
      </c>
      <c r="L8" s="193" cm="1">
        <f t="array" ref="L8">_xlfn.XLOOKUP(
   $A8,
   [1]Database!$A$5:$A$20,
   _xlfn.XLOOKUP(
      L$3,
      [1]Database!$D$4:$T$4,
      [1]Database!$D$5:$T$20
   )
)</f>
        <v>0</v>
      </c>
      <c r="M8" s="195" cm="1">
        <f t="array" ref="M8">_xlfn.XLOOKUP(
   $A8,
   [1]Database!$A$5:$A$20,
   _xlfn.XLOOKUP(
      M$3,
      [1]Database!$D$4:$T$4,
      [1]Database!$D$5:$T$20
   )
)</f>
        <v>3.95E-2</v>
      </c>
      <c r="N8" s="195" cm="1">
        <f t="array" ref="N8">_xlfn.XLOOKUP(
   $A8,
   [1]Database!$A$5:$A$20,
   _xlfn.XLOOKUP(
      N$3,
      [1]Database!$D$4:$T$4,
      [1]Database!$D$5:$T$20
   )
)</f>
        <v>3.95E-2</v>
      </c>
      <c r="O8" s="193" cm="1">
        <f t="array" ref="O8">_xlfn.XLOOKUP(
   $A8,
   [1]Database!$A$5:$A$20,
   _xlfn.XLOOKUP(
      O$3,
      [1]Database!$D$4:$T$4,
      [1]Database!$D$5:$T$20
   )
)</f>
        <v>1</v>
      </c>
      <c r="P8" s="193" cm="1">
        <f t="array" ref="P8">_xlfn.XLOOKUP(
   $A8,
   [1]Database!$A$5:$A$20,
   _xlfn.XLOOKUP(
      P$3,
      [1]Database!$D$4:$T$4,
      [1]Database!$D$5:$T$20
   )
)</f>
        <v>0.86</v>
      </c>
      <c r="Q8" s="214">
        <f t="shared" ref="Q8:V8" si="1">Q$7*$O8</f>
        <v>4.3157188069435124</v>
      </c>
      <c r="R8" s="214">
        <f t="shared" si="1"/>
        <v>4.3157188069435124</v>
      </c>
      <c r="S8" s="214">
        <f t="shared" si="1"/>
        <v>4.3157188069435124</v>
      </c>
      <c r="T8" s="214">
        <f t="shared" si="1"/>
        <v>2.3969319271332696</v>
      </c>
      <c r="U8" s="214">
        <f t="shared" si="1"/>
        <v>2.3969319271332696</v>
      </c>
      <c r="V8" s="214">
        <f t="shared" si="1"/>
        <v>2.3969319271332696</v>
      </c>
    </row>
    <row r="9" spans="1:32" x14ac:dyDescent="0.45">
      <c r="A9" s="192" t="s">
        <v>530</v>
      </c>
      <c r="B9" s="192" t="s">
        <v>531</v>
      </c>
      <c r="C9" s="192" t="s">
        <v>532</v>
      </c>
      <c r="D9" s="193" cm="1">
        <f t="array" ref="D9">_xlfn.XLOOKUP(
   $A9,
   [1]Database!$A$5:$A$20,
   _xlfn.XLOOKUP(
      D$3,
      [1]Database!$D$4:$T$4,
      [1]Database!$D$5:$T$20
   )
)</f>
        <v>92.17</v>
      </c>
      <c r="E9" s="193" cm="1">
        <f t="array" ref="E9">_xlfn.XLOOKUP(
   $A9,
   [1]Database!$A$5:$A$20,
   _xlfn.XLOOKUP(
      E$3,
      [1]Database!$D$4:$T$4,
      [1]Database!$D$5:$T$20
   )
)</f>
        <v>4476000</v>
      </c>
      <c r="F9" s="193" cm="1">
        <f t="array" ref="F9">_xlfn.XLOOKUP(
   $A9,
   [1]Database!$A$5:$A$20,
   _xlfn.XLOOKUP(
      F$3,
      [1]Database!$D$4:$T$4,
      [1]Database!$D$5:$T$20
   )
)</f>
        <v>10800000</v>
      </c>
      <c r="G9" s="193" cm="1">
        <f t="array" ref="G9">_xlfn.XLOOKUP(
   $A9,
   [1]Database!$A$5:$A$20,
   _xlfn.XLOOKUP(
      G$3,
      [1]Database!$D$4:$T$4,
      [1]Database!$D$5:$T$20
   )
)</f>
        <v>16560000.000000002</v>
      </c>
      <c r="H9" s="195" cm="1">
        <f t="array" ref="H9">_xlfn.XLOOKUP(
   $A9,
   [1]Database!$A$5:$A$20,
   _xlfn.XLOOKUP(
      H$3,
      [1]Database!$D$4:$T$4,
      [1]Database!$D$5:$T$20
   )
)</f>
        <v>0.02</v>
      </c>
      <c r="I9" s="195" cm="1">
        <f t="array" ref="I9">_xlfn.XLOOKUP(
   $A9,
   [1]Database!$A$5:$A$20,
   _xlfn.XLOOKUP(
      I$3,
      [1]Database!$D$4:$T$4,
      [1]Database!$D$5:$T$20
   )
)</f>
        <v>0.14499999999999999</v>
      </c>
      <c r="J9" s="193" cm="1">
        <f t="array" ref="J9">_xlfn.XLOOKUP(
   $A9,
   [1]Database!$A$5:$A$20,
   _xlfn.XLOOKUP(
      J$3,
      [1]Database!$D$4:$T$4,
      [1]Database!$D$5:$T$20
   )
)</f>
        <v>0</v>
      </c>
      <c r="K9" s="193" cm="1">
        <f t="array" ref="K9">_xlfn.XLOOKUP(
   $A9,
   [1]Database!$A$5:$A$20,
   _xlfn.XLOOKUP(
      K$3,
      [1]Database!$D$4:$T$4,
      [1]Database!$D$5:$T$20
   )
)</f>
        <v>0</v>
      </c>
      <c r="L9" s="193" cm="1">
        <f t="array" ref="L9">_xlfn.XLOOKUP(
   $A9,
   [1]Database!$A$5:$A$20,
   _xlfn.XLOOKUP(
      L$3,
      [1]Database!$D$4:$T$4,
      [1]Database!$D$5:$T$20
   )
)</f>
        <v>0</v>
      </c>
      <c r="M9" s="195" cm="1">
        <f t="array" ref="M9">_xlfn.XLOOKUP(
   $A9,
   [1]Database!$A$5:$A$20,
   _xlfn.XLOOKUP(
      M$3,
      [1]Database!$D$4:$T$4,
      [1]Database!$D$5:$T$20
   )
)</f>
        <v>7.4999999999999997E-2</v>
      </c>
      <c r="N9" s="195" cm="1">
        <f t="array" ref="N9">_xlfn.XLOOKUP(
   $A9,
   [1]Database!$A$5:$A$20,
   _xlfn.XLOOKUP(
      N$3,
      [1]Database!$D$4:$T$4,
      [1]Database!$D$5:$T$20
   )
)</f>
        <v>0.03</v>
      </c>
      <c r="O9" s="193" cm="1">
        <f t="array" ref="O9">_xlfn.XLOOKUP(
   $A9,
   [1]Database!$A$5:$A$20,
   _xlfn.XLOOKUP(
      O$3,
      [1]Database!$D$4:$T$4,
      [1]Database!$D$5:$T$20
   )
)</f>
        <v>381.2</v>
      </c>
      <c r="P9" s="193" cm="1">
        <f t="array" ref="P9">_xlfn.XLOOKUP(
   $A9,
   [1]Database!$A$5:$A$20,
   _xlfn.XLOOKUP(
      P$3,
      [1]Database!$D$4:$T$4,
      [1]Database!$D$5:$T$20
   )
)</f>
        <v>328.47</v>
      </c>
      <c r="Q9" s="214">
        <f t="shared" ref="Q9:S10" si="2">Q$7*$O9</f>
        <v>1645.152009206867</v>
      </c>
      <c r="R9" s="214">
        <f t="shared" si="2"/>
        <v>1645.152009206867</v>
      </c>
      <c r="S9" s="214">
        <f t="shared" si="2"/>
        <v>1645.152009206867</v>
      </c>
      <c r="T9" s="214">
        <f t="shared" ref="T9:V9" si="3">T$7*$O9</f>
        <v>913.71045062320241</v>
      </c>
      <c r="U9" s="214">
        <f t="shared" si="3"/>
        <v>913.71045062320241</v>
      </c>
      <c r="V9" s="214">
        <f t="shared" si="3"/>
        <v>913.71045062320241</v>
      </c>
    </row>
    <row r="10" spans="1:32" x14ac:dyDescent="0.45">
      <c r="A10" s="192" t="s">
        <v>108</v>
      </c>
      <c r="B10" s="192" t="s">
        <v>533</v>
      </c>
      <c r="C10" s="192" t="s">
        <v>55</v>
      </c>
      <c r="D10" s="193" cm="1">
        <f t="array" ref="D10">_xlfn.XLOOKUP(
   $A10,
   [1]Database!$A$5:$A$20,
   _xlfn.XLOOKUP(
      D$3,
      [1]Database!$D$4:$T$4,
      [1]Database!$D$5:$T$20
   )
)</f>
        <v>10.72</v>
      </c>
      <c r="E10" s="193" cm="1">
        <f t="array" ref="E10">_xlfn.XLOOKUP(
   $A10,
   [1]Database!$A$5:$A$20,
   _xlfn.XLOOKUP(
      E$3,
      [1]Database!$D$4:$T$4,
      [1]Database!$D$5:$T$20
   )
)</f>
        <v>541800</v>
      </c>
      <c r="F10" s="193" cm="1">
        <f t="array" ref="F10">_xlfn.XLOOKUP(
   $A10,
   [1]Database!$A$5:$A$20,
   _xlfn.XLOOKUP(
      F$3,
      [1]Database!$D$4:$T$4,
      [1]Database!$D$5:$T$20
   )
)</f>
        <v>1260000</v>
      </c>
      <c r="G10" s="193" cm="1">
        <f t="array" ref="G10">_xlfn.XLOOKUP(
   $A10,
   [1]Database!$A$5:$A$20,
   _xlfn.XLOOKUP(
      G$3,
      [1]Database!$D$4:$T$4,
      [1]Database!$D$5:$T$20
   )
)</f>
        <v>1890000</v>
      </c>
      <c r="H10" s="195" cm="1">
        <f t="array" ref="H10">_xlfn.XLOOKUP(
   $A10,
   [1]Database!$A$5:$A$20,
   _xlfn.XLOOKUP(
      H$3,
      [1]Database!$D$4:$T$4,
      [1]Database!$D$5:$T$20
   )
)</f>
        <v>0.15</v>
      </c>
      <c r="I10" s="195" cm="1">
        <f t="array" ref="I10">_xlfn.XLOOKUP(
   $A10,
   [1]Database!$A$5:$A$20,
   _xlfn.XLOOKUP(
      I$3,
      [1]Database!$D$4:$T$4,
      [1]Database!$D$5:$T$20
   )
)</f>
        <v>0.1</v>
      </c>
      <c r="J10" s="193" cm="1">
        <f t="array" ref="J10">_xlfn.XLOOKUP(
   $A10,
   [1]Database!$A$5:$A$20,
   _xlfn.XLOOKUP(
      J$3,
      [1]Database!$D$4:$T$4,
      [1]Database!$D$5:$T$20
   )
)</f>
        <v>23519.018667714194</v>
      </c>
      <c r="K10" s="193" cm="1">
        <f t="array" ref="K10">_xlfn.XLOOKUP(
   $A10,
   [1]Database!$A$5:$A$20,
   _xlfn.XLOOKUP(
      K$3,
      [1]Database!$D$4:$T$4,
      [1]Database!$D$5:$T$20
   )
)</f>
        <v>7000</v>
      </c>
      <c r="L10" s="193" cm="1">
        <f t="array" ref="L10">_xlfn.XLOOKUP(
   $A10,
   [1]Database!$A$5:$A$20,
   _xlfn.XLOOKUP(
      L$3,
      [1]Database!$D$4:$T$4,
      [1]Database!$D$5:$T$20
   )
)</f>
        <v>2136.331306739994</v>
      </c>
      <c r="M10" s="195" cm="1">
        <f t="array" ref="M10">_xlfn.XLOOKUP(
   $A10,
   [1]Database!$A$5:$A$20,
   _xlfn.XLOOKUP(
      M$3,
      [1]Database!$D$4:$T$4,
      [1]Database!$D$5:$T$20
   )
)</f>
        <v>0.125</v>
      </c>
      <c r="N10" s="195" cm="1">
        <f t="array" ref="N10">_xlfn.XLOOKUP(
   $A10,
   [1]Database!$A$5:$A$20,
   _xlfn.XLOOKUP(
      N$3,
      [1]Database!$D$4:$T$4,
      [1]Database!$D$5:$T$20
   )
)</f>
        <v>0.14000000000000001</v>
      </c>
      <c r="O10" s="193" cm="1">
        <f t="array" ref="O10">_xlfn.XLOOKUP(
   $A10,
   [1]Database!$A$5:$A$20,
   _xlfn.XLOOKUP(
      O$3,
      [1]Database!$D$4:$T$4,
      [1]Database!$D$5:$T$20
   )
)</f>
        <v>104.27</v>
      </c>
      <c r="P10" s="193" cm="1">
        <f t="array" ref="P10">_xlfn.XLOOKUP(
   $A10,
   [1]Database!$A$5:$A$20,
   _xlfn.XLOOKUP(
      P$3,
      [1]Database!$D$4:$T$4,
      [1]Database!$D$5:$T$20
   )
)</f>
        <v>87</v>
      </c>
      <c r="Q10" s="214">
        <f t="shared" si="2"/>
        <v>450</v>
      </c>
      <c r="R10" s="214">
        <f t="shared" si="2"/>
        <v>450</v>
      </c>
      <c r="S10" s="214">
        <f t="shared" si="2"/>
        <v>450</v>
      </c>
      <c r="T10" s="214">
        <f t="shared" ref="T10:V19" si="4">T$7*$O10</f>
        <v>249.92809204218602</v>
      </c>
      <c r="U10" s="214">
        <f t="shared" si="4"/>
        <v>249.92809204218602</v>
      </c>
      <c r="V10" s="214">
        <f t="shared" si="4"/>
        <v>249.92809204218602</v>
      </c>
    </row>
    <row r="11" spans="1:32" x14ac:dyDescent="0.45">
      <c r="A11" s="192" t="s">
        <v>534</v>
      </c>
      <c r="B11" s="192" t="s">
        <v>535</v>
      </c>
      <c r="C11" s="192" t="s">
        <v>536</v>
      </c>
      <c r="D11" s="193" cm="1">
        <f t="array" ref="D11">_xlfn.XLOOKUP(
   $A11,
   [1]Database!$A$5:$A$20,
   _xlfn.XLOOKUP(
      D$3,
      [1]Database!$D$4:$T$4,
      [1]Database!$D$5:$T$20
   )
)</f>
        <v>1114.74</v>
      </c>
      <c r="E11" s="193" cm="1">
        <f t="array" ref="E11">_xlfn.XLOOKUP(
   $A11,
   [1]Database!$A$5:$A$20,
   _xlfn.XLOOKUP(
      E$3,
      [1]Database!$D$4:$T$4,
      [1]Database!$D$5:$T$20
   )
)</f>
        <v>7332000</v>
      </c>
      <c r="F11" s="193" cm="1">
        <f t="array" ref="F11">_xlfn.XLOOKUP(
   $A11,
   [1]Database!$A$5:$A$20,
   _xlfn.XLOOKUP(
      F$3,
      [1]Database!$D$4:$T$4,
      [1]Database!$D$5:$T$20
   )
)</f>
        <v>19552000</v>
      </c>
      <c r="G11" s="193" cm="1">
        <f t="array" ref="G11">_xlfn.XLOOKUP(
   $A11,
   [1]Database!$A$5:$A$20,
   _xlfn.XLOOKUP(
      G$3,
      [1]Database!$D$4:$T$4,
      [1]Database!$D$5:$T$20
   )
)</f>
        <v>24440000</v>
      </c>
      <c r="H11" s="195" cm="1">
        <f t="array" ref="H11">_xlfn.XLOOKUP(
   $A11,
   [1]Database!$A$5:$A$20,
   _xlfn.XLOOKUP(
      H$3,
      [1]Database!$D$4:$T$4,
      [1]Database!$D$5:$T$20
   )
)</f>
        <v>0.25</v>
      </c>
      <c r="I11" s="195" cm="1">
        <f t="array" ref="I11">_xlfn.XLOOKUP(
   $A11,
   [1]Database!$A$5:$A$20,
   _xlfn.XLOOKUP(
      I$3,
      [1]Database!$D$4:$T$4,
      [1]Database!$D$5:$T$20
   )
)</f>
        <v>0.1</v>
      </c>
      <c r="J11" s="193" cm="1">
        <f t="array" ref="J11">_xlfn.XLOOKUP(
   $A11,
   [1]Database!$A$5:$A$20,
   _xlfn.XLOOKUP(
      J$3,
      [1]Database!$D$4:$T$4,
      [1]Database!$D$5:$T$20
   )
)</f>
        <v>1700000</v>
      </c>
      <c r="K11" s="193" cm="1">
        <f t="array" ref="K11">_xlfn.XLOOKUP(
   $A11,
   [1]Database!$A$5:$A$20,
   _xlfn.XLOOKUP(
      K$3,
      [1]Database!$D$4:$T$4,
      [1]Database!$D$5:$T$20
   )
)</f>
        <v>5500000</v>
      </c>
      <c r="L11" s="193" cm="1">
        <f t="array" ref="L11">_xlfn.XLOOKUP(
   $A11,
   [1]Database!$A$5:$A$20,
   _xlfn.XLOOKUP(
      L$3,
      [1]Database!$D$4:$T$4,
      [1]Database!$D$5:$T$20
   )
)</f>
        <v>420000</v>
      </c>
      <c r="M11" s="195" cm="1">
        <f t="array" ref="M11">_xlfn.XLOOKUP(
   $A11,
   [1]Database!$A$5:$A$20,
   _xlfn.XLOOKUP(
      M$3,
      [1]Database!$D$4:$T$4,
      [1]Database!$D$5:$T$20
   )
)</f>
        <v>0.1</v>
      </c>
      <c r="N11" s="195" cm="1">
        <f t="array" ref="N11">_xlfn.XLOOKUP(
   $A11,
   [1]Database!$A$5:$A$20,
   _xlfn.XLOOKUP(
      N$3,
      [1]Database!$D$4:$T$4,
      [1]Database!$D$5:$T$20
   )
)</f>
        <v>0.12</v>
      </c>
      <c r="O11" s="193" cm="1">
        <f t="array" ref="O11">_xlfn.XLOOKUP(
   $A11,
   [1]Database!$A$5:$A$20,
   _xlfn.XLOOKUP(
      O$3,
      [1]Database!$D$4:$T$4,
      [1]Database!$D$5:$T$20
   )
)</f>
        <v>19314.2</v>
      </c>
      <c r="P11" s="193" cm="1">
        <f t="array" ref="P11">_xlfn.XLOOKUP(
   $A11,
   [1]Database!$A$5:$A$20,
   _xlfn.XLOOKUP(
      P$3,
      [1]Database!$D$4:$T$4,
      [1]Database!$D$5:$T$20
   )
)</f>
        <v>16665.3</v>
      </c>
      <c r="Q11" s="214">
        <f t="shared" ref="Q11:S19" si="5">Q$7*$O11</f>
        <v>83354.656181068392</v>
      </c>
      <c r="R11" s="214">
        <f t="shared" si="5"/>
        <v>83354.656181068392</v>
      </c>
      <c r="S11" s="214">
        <f t="shared" si="5"/>
        <v>83354.656181068392</v>
      </c>
      <c r="T11" s="214">
        <f t="shared" si="4"/>
        <v>46294.8226270374</v>
      </c>
      <c r="U11" s="214">
        <f t="shared" si="4"/>
        <v>46294.8226270374</v>
      </c>
      <c r="V11" s="214">
        <f t="shared" si="4"/>
        <v>46294.8226270374</v>
      </c>
    </row>
    <row r="12" spans="1:32" x14ac:dyDescent="0.45">
      <c r="A12" s="192" t="s">
        <v>537</v>
      </c>
      <c r="B12" s="192" t="s">
        <v>538</v>
      </c>
      <c r="C12" s="192" t="s">
        <v>539</v>
      </c>
      <c r="D12" s="193" cm="1">
        <f t="array" ref="D12">_xlfn.XLOOKUP(
   $A12,
   [1]Database!$A$5:$A$20,
   _xlfn.XLOOKUP(
      D$3,
      [1]Database!$D$4:$T$4,
      [1]Database!$D$5:$T$20
   )
)</f>
        <v>3.972</v>
      </c>
      <c r="E12" s="193" cm="1">
        <f t="array" ref="E12">_xlfn.XLOOKUP(
   $A12,
   [1]Database!$A$5:$A$20,
   _xlfn.XLOOKUP(
      E$3,
      [1]Database!$D$4:$T$4,
      [1]Database!$D$5:$T$20
   )
)</f>
        <v>180000</v>
      </c>
      <c r="F12" s="193" cm="1">
        <f t="array" ref="F12">_xlfn.XLOOKUP(
   $A12,
   [1]Database!$A$5:$A$20,
   _xlfn.XLOOKUP(
      F$3,
      [1]Database!$D$4:$T$4,
      [1]Database!$D$5:$T$20
   )
)</f>
        <v>492000</v>
      </c>
      <c r="G12" s="193" cm="1">
        <f t="array" ref="G12">_xlfn.XLOOKUP(
   $A12,
   [1]Database!$A$5:$A$20,
   _xlfn.XLOOKUP(
      G$3,
      [1]Database!$D$4:$T$4,
      [1]Database!$D$5:$T$20
   )
)</f>
        <v>852000</v>
      </c>
      <c r="H12" s="195" cm="1">
        <f t="array" ref="H12">_xlfn.XLOOKUP(
   $A12,
   [1]Database!$A$5:$A$20,
   _xlfn.XLOOKUP(
      H$3,
      [1]Database!$D$4:$T$4,
      [1]Database!$D$5:$T$20
   )
)</f>
        <v>0.1</v>
      </c>
      <c r="I12" s="195" cm="1">
        <f t="array" ref="I12">_xlfn.XLOOKUP(
   $A12,
   [1]Database!$A$5:$A$20,
   _xlfn.XLOOKUP(
      I$3,
      [1]Database!$D$4:$T$4,
      [1]Database!$D$5:$T$20
   )
)</f>
        <v>0.05</v>
      </c>
      <c r="J12" s="193" cm="1">
        <f t="array" ref="J12">_xlfn.XLOOKUP(
   $A12,
   [1]Database!$A$5:$A$20,
   _xlfn.XLOOKUP(
      J$3,
      [1]Database!$D$4:$T$4,
      [1]Database!$D$5:$T$20
   )
)</f>
        <v>0</v>
      </c>
      <c r="K12" s="193" cm="1">
        <f t="array" ref="K12">_xlfn.XLOOKUP(
   $A12,
   [1]Database!$A$5:$A$20,
   _xlfn.XLOOKUP(
      K$3,
      [1]Database!$D$4:$T$4,
      [1]Database!$D$5:$T$20
   )
)</f>
        <v>0</v>
      </c>
      <c r="L12" s="193" cm="1">
        <f t="array" ref="L12">_xlfn.XLOOKUP(
   $A12,
   [1]Database!$A$5:$A$20,
   _xlfn.XLOOKUP(
      L$3,
      [1]Database!$D$4:$T$4,
      [1]Database!$D$5:$T$20
   )
)</f>
        <v>0</v>
      </c>
      <c r="M12" s="195" cm="1">
        <f t="array" ref="M12">_xlfn.XLOOKUP(
   $A12,
   [1]Database!$A$5:$A$20,
   _xlfn.XLOOKUP(
      M$3,
      [1]Database!$D$4:$T$4,
      [1]Database!$D$5:$T$20
   )
)</f>
        <v>7.2800000000000004E-2</v>
      </c>
      <c r="N12" s="195" cm="1">
        <f t="array" ref="N12">_xlfn.XLOOKUP(
   $A12,
   [1]Database!$A$5:$A$20,
   _xlfn.XLOOKUP(
      N$3,
      [1]Database!$D$4:$T$4,
      [1]Database!$D$5:$T$20
   )
)</f>
        <v>7.2800000000000004E-2</v>
      </c>
      <c r="O12" s="193" cm="1">
        <f t="array" ref="O12">_xlfn.XLOOKUP(
   $A12,
   [1]Database!$A$5:$A$20,
   _xlfn.XLOOKUP(
      O$3,
      [1]Database!$D$4:$T$4,
      [1]Database!$D$5:$T$20
   )
)</f>
        <v>21.26</v>
      </c>
      <c r="P12" s="193" cm="1">
        <f t="array" ref="P12">_xlfn.XLOOKUP(
   $A12,
   [1]Database!$A$5:$A$20,
   _xlfn.XLOOKUP(
      P$3,
      [1]Database!$D$4:$T$4,
      [1]Database!$D$5:$T$20
   )
)</f>
        <v>18.32</v>
      </c>
      <c r="Q12" s="214">
        <f t="shared" si="5"/>
        <v>91.752181835619083</v>
      </c>
      <c r="R12" s="214">
        <f t="shared" si="5"/>
        <v>91.752181835619083</v>
      </c>
      <c r="S12" s="214">
        <f t="shared" si="5"/>
        <v>91.752181835619083</v>
      </c>
      <c r="T12" s="214">
        <f t="shared" si="4"/>
        <v>50.958772770853315</v>
      </c>
      <c r="U12" s="214">
        <f t="shared" si="4"/>
        <v>50.958772770853315</v>
      </c>
      <c r="V12" s="214">
        <f t="shared" si="4"/>
        <v>50.958772770853315</v>
      </c>
    </row>
    <row r="13" spans="1:32" x14ac:dyDescent="0.45">
      <c r="A13" s="192" t="s">
        <v>540</v>
      </c>
      <c r="B13" s="192" t="s">
        <v>541</v>
      </c>
      <c r="C13" s="192" t="s">
        <v>542</v>
      </c>
      <c r="D13" s="193" cm="1">
        <f t="array" ref="D13">_xlfn.XLOOKUP(
   $A13,
   [1]Database!$A$5:$A$20,
   _xlfn.XLOOKUP(
      D$3,
      [1]Database!$D$4:$T$4,
      [1]Database!$D$5:$T$20
   )
)</f>
        <v>41.99</v>
      </c>
      <c r="E13" s="193" cm="1">
        <f t="array" ref="E13">_xlfn.XLOOKUP(
   $A13,
   [1]Database!$A$5:$A$20,
   _xlfn.XLOOKUP(
      E$3,
      [1]Database!$D$4:$T$4,
      [1]Database!$D$5:$T$20
   )
)</f>
        <v>504000</v>
      </c>
      <c r="F13" s="193" cm="1">
        <f t="array" ref="F13">_xlfn.XLOOKUP(
   $A13,
   [1]Database!$A$5:$A$20,
   _xlfn.XLOOKUP(
      F$3,
      [1]Database!$D$4:$T$4,
      [1]Database!$D$5:$T$20
   )
)</f>
        <v>384000</v>
      </c>
      <c r="G13" s="193" cm="1">
        <f t="array" ref="G13">_xlfn.XLOOKUP(
   $A13,
   [1]Database!$A$5:$A$20,
   _xlfn.XLOOKUP(
      G$3,
      [1]Database!$D$4:$T$4,
      [1]Database!$D$5:$T$20
   )
)</f>
        <v>2400000</v>
      </c>
      <c r="H13" s="195" cm="1">
        <f t="array" ref="H13">_xlfn.XLOOKUP(
   $A13,
   [1]Database!$A$5:$A$20,
   _xlfn.XLOOKUP(
      H$3,
      [1]Database!$D$4:$T$4,
      [1]Database!$D$5:$T$20
   )
)</f>
        <v>0.15</v>
      </c>
      <c r="I13" s="195" cm="1">
        <f t="array" ref="I13">_xlfn.XLOOKUP(
   $A13,
   [1]Database!$A$5:$A$20,
   _xlfn.XLOOKUP(
      I$3,
      [1]Database!$D$4:$T$4,
      [1]Database!$D$5:$T$20
   )
)</f>
        <v>0.1</v>
      </c>
      <c r="J13" s="193" cm="1">
        <f t="array" ref="J13">_xlfn.XLOOKUP(
   $A13,
   [1]Database!$A$5:$A$20,
   _xlfn.XLOOKUP(
      J$3,
      [1]Database!$D$4:$T$4,
      [1]Database!$D$5:$T$20
   )
)</f>
        <v>0</v>
      </c>
      <c r="K13" s="193" cm="1">
        <f t="array" ref="K13">_xlfn.XLOOKUP(
   $A13,
   [1]Database!$A$5:$A$20,
   _xlfn.XLOOKUP(
      K$3,
      [1]Database!$D$4:$T$4,
      [1]Database!$D$5:$T$20
   )
)</f>
        <v>0</v>
      </c>
      <c r="L13" s="193" cm="1">
        <f t="array" ref="L13">_xlfn.XLOOKUP(
   $A13,
   [1]Database!$A$5:$A$20,
   _xlfn.XLOOKUP(
      L$3,
      [1]Database!$D$4:$T$4,
      [1]Database!$D$5:$T$20
   )
)</f>
        <v>0</v>
      </c>
      <c r="M13" s="195" cm="1">
        <f t="array" ref="M13">_xlfn.XLOOKUP(
   $A13,
   [1]Database!$A$5:$A$20,
   _xlfn.XLOOKUP(
      M$3,
      [1]Database!$D$4:$T$4,
      [1]Database!$D$5:$T$20
   )
)</f>
        <v>0.18</v>
      </c>
      <c r="N13" s="195" cm="1">
        <f t="array" ref="N13">_xlfn.XLOOKUP(
   $A13,
   [1]Database!$A$5:$A$20,
   _xlfn.XLOOKUP(
      N$3,
      [1]Database!$D$4:$T$4,
      [1]Database!$D$5:$T$20
   )
)</f>
        <v>0.09</v>
      </c>
      <c r="O13" s="193" cm="1">
        <f t="array" ref="O13">_xlfn.XLOOKUP(
   $A13,
   [1]Database!$A$5:$A$20,
   _xlfn.XLOOKUP(
      O$3,
      [1]Database!$D$4:$T$4,
      [1]Database!$D$5:$T$20
   )
)</f>
        <v>328.52</v>
      </c>
      <c r="P13" s="193" cm="1">
        <f t="array" ref="P13">_xlfn.XLOOKUP(
   $A13,
   [1]Database!$A$5:$A$20,
   _xlfn.XLOOKUP(
      P$3,
      [1]Database!$D$4:$T$4,
      [1]Database!$D$5:$T$20
   )
)</f>
        <v>282.99</v>
      </c>
      <c r="Q13" s="214">
        <f t="shared" si="5"/>
        <v>1417.7999424570826</v>
      </c>
      <c r="R13" s="214">
        <f t="shared" si="5"/>
        <v>1417.7999424570826</v>
      </c>
      <c r="S13" s="214">
        <f t="shared" si="5"/>
        <v>1417.7999424570826</v>
      </c>
      <c r="T13" s="214">
        <f t="shared" si="4"/>
        <v>787.44007670182168</v>
      </c>
      <c r="U13" s="214">
        <f t="shared" si="4"/>
        <v>787.44007670182168</v>
      </c>
      <c r="V13" s="214">
        <f t="shared" si="4"/>
        <v>787.44007670182168</v>
      </c>
    </row>
    <row r="14" spans="1:32" x14ac:dyDescent="0.45">
      <c r="A14" s="192" t="s">
        <v>512</v>
      </c>
      <c r="B14" s="192" t="s">
        <v>513</v>
      </c>
      <c r="C14" s="192" t="s">
        <v>514</v>
      </c>
      <c r="D14" s="193" cm="1">
        <f t="array" ref="D14">_xlfn.XLOOKUP(
   $A14,
   [1]Database!$A$5:$A$20,
   _xlfn.XLOOKUP(
      D$3,
      [1]Database!$D$4:$T$4,
      [1]Database!$D$5:$T$20
   )
)</f>
        <v>8.8469999999999995</v>
      </c>
      <c r="E14" s="193" cm="1">
        <f t="array" ref="E14">_xlfn.XLOOKUP(
   $A14,
   [1]Database!$A$5:$A$20,
   _xlfn.XLOOKUP(
      E$3,
      [1]Database!$D$4:$T$4,
      [1]Database!$D$5:$T$20
   )
)</f>
        <v>242879.99999999997</v>
      </c>
      <c r="F14" s="193" cm="1">
        <f t="array" ref="F14">_xlfn.XLOOKUP(
   $A14,
   [1]Database!$A$5:$A$20,
   _xlfn.XLOOKUP(
      F$3,
      [1]Database!$D$4:$T$4,
      [1]Database!$D$5:$T$20
   )
)</f>
        <v>473470.52499999997</v>
      </c>
      <c r="G14" s="193" cm="1">
        <f t="array" ref="G14">_xlfn.XLOOKUP(
   $A14,
   [1]Database!$A$5:$A$20,
   _xlfn.XLOOKUP(
      G$3,
      [1]Database!$D$4:$T$4,
      [1]Database!$D$5:$T$20
   )
)</f>
        <v>538167.68499999994</v>
      </c>
      <c r="H14" s="195" cm="1">
        <f t="array" ref="H14">_xlfn.XLOOKUP(
   $A14,
   [1]Database!$A$5:$A$20,
   _xlfn.XLOOKUP(
      H$3,
      [1]Database!$D$4:$T$4,
      [1]Database!$D$5:$T$20
   )
)</f>
        <v>0.1</v>
      </c>
      <c r="I14" s="195" cm="1">
        <f t="array" ref="I14">_xlfn.XLOOKUP(
   $A14,
   [1]Database!$A$5:$A$20,
   _xlfn.XLOOKUP(
      I$3,
      [1]Database!$D$4:$T$4,
      [1]Database!$D$5:$T$20
   )
)</f>
        <v>0.1</v>
      </c>
      <c r="J14" s="193" cm="1">
        <f t="array" ref="J14">_xlfn.XLOOKUP(
   $A14,
   [1]Database!$A$5:$A$20,
   _xlfn.XLOOKUP(
      J$3,
      [1]Database!$D$4:$T$4,
      [1]Database!$D$5:$T$20
   )
)</f>
        <v>16240</v>
      </c>
      <c r="K14" s="193" cm="1">
        <f t="array" ref="K14">_xlfn.XLOOKUP(
   $A14,
   [1]Database!$A$5:$A$20,
   _xlfn.XLOOKUP(
      K$3,
      [1]Database!$D$4:$T$4,
      [1]Database!$D$5:$T$20
   )
)</f>
        <v>20000</v>
      </c>
      <c r="L14" s="193" cm="1">
        <f t="array" ref="L14">_xlfn.XLOOKUP(
   $A14,
   [1]Database!$A$5:$A$20,
   _xlfn.XLOOKUP(
      L$3,
      [1]Database!$D$4:$T$4,
      [1]Database!$D$5:$T$20
   )
)</f>
        <v>3240</v>
      </c>
      <c r="M14" s="195" cm="1">
        <f t="array" ref="M14">_xlfn.XLOOKUP(
   $A14,
   [1]Database!$A$5:$A$20,
   _xlfn.XLOOKUP(
      M$3,
      [1]Database!$D$4:$T$4,
      [1]Database!$D$5:$T$20
   )
)</f>
        <v>0.1</v>
      </c>
      <c r="N14" s="195" cm="1">
        <f t="array" ref="N14">_xlfn.XLOOKUP(
   $A14,
   [1]Database!$A$5:$A$20,
   _xlfn.XLOOKUP(
      N$3,
      [1]Database!$D$4:$T$4,
      [1]Database!$D$5:$T$20
   )
)</f>
        <v>8.6300000000000002E-2</v>
      </c>
      <c r="O14" s="193" cm="1">
        <f t="array" ref="O14">_xlfn.XLOOKUP(
   $A14,
   [1]Database!$A$5:$A$20,
   _xlfn.XLOOKUP(
      O$3,
      [1]Database!$D$4:$T$4,
      [1]Database!$D$5:$T$20
   )
)</f>
        <v>67.87</v>
      </c>
      <c r="P14" s="193" cm="1">
        <f t="array" ref="P14">_xlfn.XLOOKUP(
   $A14,
   [1]Database!$A$5:$A$20,
   _xlfn.XLOOKUP(
      P$3,
      [1]Database!$D$4:$T$4,
      [1]Database!$D$5:$T$20
   )
)</f>
        <v>58.89</v>
      </c>
      <c r="Q14" s="214">
        <f t="shared" si="5"/>
        <v>292.9078354272562</v>
      </c>
      <c r="R14" s="214">
        <f t="shared" si="5"/>
        <v>292.9078354272562</v>
      </c>
      <c r="S14" s="214">
        <f t="shared" si="5"/>
        <v>292.9078354272562</v>
      </c>
      <c r="T14" s="214">
        <f t="shared" si="4"/>
        <v>162.67976989453501</v>
      </c>
      <c r="U14" s="214">
        <f t="shared" si="4"/>
        <v>162.67976989453501</v>
      </c>
      <c r="V14" s="214">
        <f t="shared" si="4"/>
        <v>162.67976989453501</v>
      </c>
    </row>
    <row r="15" spans="1:32" x14ac:dyDescent="0.45">
      <c r="A15" s="192" t="s">
        <v>543</v>
      </c>
      <c r="B15" s="192" t="s">
        <v>544</v>
      </c>
      <c r="C15" s="192" t="s">
        <v>545</v>
      </c>
      <c r="D15" s="193" cm="1">
        <f t="array" ref="D15">_xlfn.XLOOKUP(
   $A15,
   [1]Database!$A$5:$A$20,
   _xlfn.XLOOKUP(
      D$3,
      [1]Database!$D$4:$T$4,
      [1]Database!$D$5:$T$20
   )
)</f>
        <v>1.7949999999999999</v>
      </c>
      <c r="E15" s="193" cm="1">
        <f t="array" ref="E15">_xlfn.XLOOKUP(
   $A15,
   [1]Database!$A$5:$A$20,
   _xlfn.XLOOKUP(
      E$3,
      [1]Database!$D$4:$T$4,
      [1]Database!$D$5:$T$20
   )
)</f>
        <v>231858</v>
      </c>
      <c r="F15" s="193" cm="1">
        <f t="array" ref="F15">_xlfn.XLOOKUP(
   $A15,
   [1]Database!$A$5:$A$20,
   _xlfn.XLOOKUP(
      F$3,
      [1]Database!$D$4:$T$4,
      [1]Database!$D$5:$T$20
   )
)</f>
        <v>494630.40000000002</v>
      </c>
      <c r="G15" s="193" cm="1">
        <f t="array" ref="G15">_xlfn.XLOOKUP(
   $A15,
   [1]Database!$A$5:$A$20,
   _xlfn.XLOOKUP(
      G$3,
      [1]Database!$D$4:$T$4,
      [1]Database!$D$5:$T$20
   )
)</f>
        <v>772860</v>
      </c>
      <c r="H15" s="195" cm="1">
        <f t="array" ref="H15">_xlfn.XLOOKUP(
   $A15,
   [1]Database!$A$5:$A$20,
   _xlfn.XLOOKUP(
      H$3,
      [1]Database!$D$4:$T$4,
      [1]Database!$D$5:$T$20
   )
)</f>
        <v>0.2</v>
      </c>
      <c r="I15" s="195" cm="1">
        <f t="array" ref="I15">_xlfn.XLOOKUP(
   $A15,
   [1]Database!$A$5:$A$20,
   _xlfn.XLOOKUP(
      I$3,
      [1]Database!$D$4:$T$4,
      [1]Database!$D$5:$T$20
   )
)</f>
        <v>0.05</v>
      </c>
      <c r="J15" s="193" cm="1">
        <f t="array" ref="J15">_xlfn.XLOOKUP(
   $A15,
   [1]Database!$A$5:$A$20,
   _xlfn.XLOOKUP(
      J$3,
      [1]Database!$D$4:$T$4,
      [1]Database!$D$5:$T$20
   )
)</f>
        <v>0</v>
      </c>
      <c r="K15" s="193" cm="1">
        <f t="array" ref="K15">_xlfn.XLOOKUP(
   $A15,
   [1]Database!$A$5:$A$20,
   _xlfn.XLOOKUP(
      K$3,
      [1]Database!$D$4:$T$4,
      [1]Database!$D$5:$T$20
   )
)</f>
        <v>0</v>
      </c>
      <c r="L15" s="193" cm="1">
        <f t="array" ref="L15">_xlfn.XLOOKUP(
   $A15,
   [1]Database!$A$5:$A$20,
   _xlfn.XLOOKUP(
      L$3,
      [1]Database!$D$4:$T$4,
      [1]Database!$D$5:$T$20
   )
)</f>
        <v>0</v>
      </c>
      <c r="M15" s="195" cm="1">
        <f t="array" ref="M15">_xlfn.XLOOKUP(
   $A15,
   [1]Database!$A$5:$A$20,
   _xlfn.XLOOKUP(
      M$3,
      [1]Database!$D$4:$T$4,
      [1]Database!$D$5:$T$20
   )
)</f>
        <v>0.10249999999999999</v>
      </c>
      <c r="N15" s="195" cm="1">
        <f t="array" ref="N15">_xlfn.XLOOKUP(
   $A15,
   [1]Database!$A$5:$A$20,
   _xlfn.XLOOKUP(
      N$3,
      [1]Database!$D$4:$T$4,
      [1]Database!$D$5:$T$20
   )
)</f>
        <v>0.27500000000000002</v>
      </c>
      <c r="O15" s="193" cm="1">
        <f t="array" ref="O15">_xlfn.XLOOKUP(
   $A15,
   [1]Database!$A$5:$A$20,
   _xlfn.XLOOKUP(
      O$3,
      [1]Database!$D$4:$T$4,
      [1]Database!$D$5:$T$20
   )
)</f>
        <v>19.88</v>
      </c>
      <c r="P15" s="193" cm="1">
        <f t="array" ref="P15">_xlfn.XLOOKUP(
   $A15,
   [1]Database!$A$5:$A$20,
   _xlfn.XLOOKUP(
      P$3,
      [1]Database!$D$4:$T$4,
      [1]Database!$D$5:$T$20
   )
)</f>
        <v>17.13</v>
      </c>
      <c r="Q15" s="214">
        <f t="shared" si="5"/>
        <v>85.796489882037022</v>
      </c>
      <c r="R15" s="214">
        <f t="shared" si="5"/>
        <v>85.796489882037022</v>
      </c>
      <c r="S15" s="214">
        <f t="shared" si="5"/>
        <v>85.796489882037022</v>
      </c>
      <c r="T15" s="214">
        <f t="shared" si="4"/>
        <v>47.651006711409401</v>
      </c>
      <c r="U15" s="214">
        <f t="shared" si="4"/>
        <v>47.651006711409401</v>
      </c>
      <c r="V15" s="214">
        <f t="shared" si="4"/>
        <v>47.651006711409401</v>
      </c>
    </row>
    <row r="16" spans="1:32" x14ac:dyDescent="0.45">
      <c r="A16" s="192" t="s">
        <v>546</v>
      </c>
      <c r="B16" s="192" t="s">
        <v>547</v>
      </c>
      <c r="C16" s="192" t="s">
        <v>548</v>
      </c>
      <c r="D16" s="193" cm="1">
        <f t="array" ref="D16">_xlfn.XLOOKUP(
   $A16,
   [1]Database!$A$5:$A$20,
   _xlfn.XLOOKUP(
      D$3,
      [1]Database!$D$4:$T$4,
      [1]Database!$D$5:$T$20
   )
)</f>
        <v>4.3499999999999996</v>
      </c>
      <c r="E16" s="193" cm="1">
        <f t="array" ref="E16">_xlfn.XLOOKUP(
   $A16,
   [1]Database!$A$5:$A$20,
   _xlfn.XLOOKUP(
      E$3,
      [1]Database!$D$4:$T$4,
      [1]Database!$D$5:$T$20
   )
)</f>
        <v>281880</v>
      </c>
      <c r="F16" s="193" cm="1">
        <f t="array" ref="F16">_xlfn.XLOOKUP(
   $A16,
   [1]Database!$A$5:$A$20,
   _xlfn.XLOOKUP(
      F$3,
      [1]Database!$D$4:$T$4,
      [1]Database!$D$5:$T$20
   )
)</f>
        <v>548100</v>
      </c>
      <c r="G16" s="193" cm="1">
        <f t="array" ref="G16">_xlfn.XLOOKUP(
   $A16,
   [1]Database!$A$5:$A$20,
   _xlfn.XLOOKUP(
      G$3,
      [1]Database!$D$4:$T$4,
      [1]Database!$D$5:$T$20
   )
)</f>
        <v>532440</v>
      </c>
      <c r="H16" s="195" cm="1">
        <f t="array" ref="H16">_xlfn.XLOOKUP(
   $A16,
   [1]Database!$A$5:$A$20,
   _xlfn.XLOOKUP(
      H$3,
      [1]Database!$D$4:$T$4,
      [1]Database!$D$5:$T$20
   )
)</f>
        <v>0.1</v>
      </c>
      <c r="I16" s="195" cm="1">
        <f t="array" ref="I16">_xlfn.XLOOKUP(
   $A16,
   [1]Database!$A$5:$A$20,
   _xlfn.XLOOKUP(
      I$3,
      [1]Database!$D$4:$T$4,
      [1]Database!$D$5:$T$20
   )
)</f>
        <v>0.1</v>
      </c>
      <c r="J16" s="193" cm="1">
        <f t="array" ref="J16">_xlfn.XLOOKUP(
   $A16,
   [1]Database!$A$5:$A$20,
   _xlfn.XLOOKUP(
      J$3,
      [1]Database!$D$4:$T$4,
      [1]Database!$D$5:$T$20
   )
)</f>
        <v>0</v>
      </c>
      <c r="K16" s="193" cm="1">
        <f t="array" ref="K16">_xlfn.XLOOKUP(
   $A16,
   [1]Database!$A$5:$A$20,
   _xlfn.XLOOKUP(
      K$3,
      [1]Database!$D$4:$T$4,
      [1]Database!$D$5:$T$20
   )
)</f>
        <v>0</v>
      </c>
      <c r="L16" s="193" cm="1">
        <f t="array" ref="L16">_xlfn.XLOOKUP(
   $A16,
   [1]Database!$A$5:$A$20,
   _xlfn.XLOOKUP(
      L$3,
      [1]Database!$D$4:$T$4,
      [1]Database!$D$5:$T$20
   )
)</f>
        <v>0</v>
      </c>
      <c r="M16" s="195" cm="1">
        <f t="array" ref="M16">_xlfn.XLOOKUP(
   $A16,
   [1]Database!$A$5:$A$20,
   _xlfn.XLOOKUP(
      M$3,
      [1]Database!$D$4:$T$4,
      [1]Database!$D$5:$T$20
   )
)</f>
        <v>0.42499999999999999</v>
      </c>
      <c r="N16" s="195" cm="1">
        <f t="array" ref="N16">_xlfn.XLOOKUP(
   $A16,
   [1]Database!$A$5:$A$20,
   _xlfn.XLOOKUP(
      N$3,
      [1]Database!$D$4:$T$4,
      [1]Database!$D$5:$T$20
   )
)</f>
        <v>0.39500000000000002</v>
      </c>
      <c r="O16" s="193" cm="1">
        <f t="array" ref="O16">_xlfn.XLOOKUP(
   $A16,
   [1]Database!$A$5:$A$20,
   _xlfn.XLOOKUP(
      O$3,
      [1]Database!$D$4:$T$4,
      [1]Database!$D$5:$T$20
   )
)</f>
        <v>49.29</v>
      </c>
      <c r="P16" s="193" cm="1">
        <f t="array" ref="P16">_xlfn.XLOOKUP(
   $A16,
   [1]Database!$A$5:$A$20,
   _xlfn.XLOOKUP(
      P$3,
      [1]Database!$D$4:$T$4,
      [1]Database!$D$5:$T$20
   )
)</f>
        <v>42.43</v>
      </c>
      <c r="Q16" s="214">
        <f t="shared" si="5"/>
        <v>212.72177999424574</v>
      </c>
      <c r="R16" s="214">
        <f t="shared" si="5"/>
        <v>212.72177999424574</v>
      </c>
      <c r="S16" s="214">
        <f t="shared" si="5"/>
        <v>212.72177999424574</v>
      </c>
      <c r="T16" s="214">
        <f t="shared" si="4"/>
        <v>118.14477468839885</v>
      </c>
      <c r="U16" s="214">
        <f t="shared" si="4"/>
        <v>118.14477468839885</v>
      </c>
      <c r="V16" s="214">
        <f t="shared" si="4"/>
        <v>118.14477468839885</v>
      </c>
    </row>
    <row r="17" spans="1:22" x14ac:dyDescent="0.45">
      <c r="A17" s="192" t="s">
        <v>549</v>
      </c>
      <c r="B17" s="192" t="s">
        <v>550</v>
      </c>
      <c r="C17" s="192" t="s">
        <v>551</v>
      </c>
      <c r="D17" s="193" cm="1">
        <f t="array" ref="D17">_xlfn.XLOOKUP(
   $A17,
   [1]Database!$A$5:$A$20,
   _xlfn.XLOOKUP(
      D$3,
      [1]Database!$D$4:$T$4,
      [1]Database!$D$5:$T$20
   )
)</f>
        <v>0.34599999999999997</v>
      </c>
      <c r="E17" s="193" cm="1">
        <f t="array" ref="E17">_xlfn.XLOOKUP(
   $A17,
   [1]Database!$A$5:$A$20,
   _xlfn.XLOOKUP(
      E$3,
      [1]Database!$D$4:$T$4,
      [1]Database!$D$5:$T$20
   )
)</f>
        <v>39900</v>
      </c>
      <c r="F17" s="193" cm="1">
        <f t="array" ref="F17">_xlfn.XLOOKUP(
   $A17,
   [1]Database!$A$5:$A$20,
   _xlfn.XLOOKUP(
      F$3,
      [1]Database!$D$4:$T$4,
      [1]Database!$D$5:$T$20
   )
)</f>
        <v>57190</v>
      </c>
      <c r="G17" s="193" cm="1">
        <f t="array" ref="G17">_xlfn.XLOOKUP(
   $A17,
   [1]Database!$A$5:$A$20,
   _xlfn.XLOOKUP(
      G$3,
      [1]Database!$D$4:$T$4,
      [1]Database!$D$5:$T$20
   )
)</f>
        <v>66500</v>
      </c>
      <c r="H17" s="195" cm="1">
        <f t="array" ref="H17">_xlfn.XLOOKUP(
   $A17,
   [1]Database!$A$5:$A$20,
   _xlfn.XLOOKUP(
      H$3,
      [1]Database!$D$4:$T$4,
      [1]Database!$D$5:$T$20
   )
)</f>
        <v>0.18</v>
      </c>
      <c r="I17" s="195" cm="1">
        <f t="array" ref="I17">_xlfn.XLOOKUP(
   $A17,
   [1]Database!$A$5:$A$20,
   _xlfn.XLOOKUP(
      I$3,
      [1]Database!$D$4:$T$4,
      [1]Database!$D$5:$T$20
   )
)</f>
        <v>0.03</v>
      </c>
      <c r="J17" s="193" cm="1">
        <f t="array" ref="J17">_xlfn.XLOOKUP(
   $A17,
   [1]Database!$A$5:$A$20,
   _xlfn.XLOOKUP(
      J$3,
      [1]Database!$D$4:$T$4,
      [1]Database!$D$5:$T$20
   )
)</f>
        <v>0</v>
      </c>
      <c r="K17" s="193" cm="1">
        <f t="array" ref="K17">_xlfn.XLOOKUP(
   $A17,
   [1]Database!$A$5:$A$20,
   _xlfn.XLOOKUP(
      K$3,
      [1]Database!$D$4:$T$4,
      [1]Database!$D$5:$T$20
   )
)</f>
        <v>0</v>
      </c>
      <c r="L17" s="193" cm="1">
        <f t="array" ref="L17">_xlfn.XLOOKUP(
   $A17,
   [1]Database!$A$5:$A$20,
   _xlfn.XLOOKUP(
      L$3,
      [1]Database!$D$4:$T$4,
      [1]Database!$D$5:$T$20
   )
)</f>
        <v>0</v>
      </c>
      <c r="M17" s="195" cm="1">
        <f t="array" ref="M17">_xlfn.XLOOKUP(
   $A17,
   [1]Database!$A$5:$A$20,
   _xlfn.XLOOKUP(
      M$3,
      [1]Database!$D$4:$T$4,
      [1]Database!$D$5:$T$20
   )
)</f>
        <v>0.112</v>
      </c>
      <c r="N17" s="195" cm="1">
        <f t="array" ref="N17">_xlfn.XLOOKUP(
   $A17,
   [1]Database!$A$5:$A$20,
   _xlfn.XLOOKUP(
      N$3,
      [1]Database!$D$4:$T$4,
      [1]Database!$D$5:$T$20
   )
)</f>
        <v>0.113</v>
      </c>
      <c r="O17" s="193" cm="1">
        <f t="array" ref="O17">_xlfn.XLOOKUP(
   $A17,
   [1]Database!$A$5:$A$20,
   _xlfn.XLOOKUP(
      O$3,
      [1]Database!$D$4:$T$4,
      [1]Database!$D$5:$T$20
   )
)</f>
        <v>0.88</v>
      </c>
      <c r="P17" s="193" cm="1">
        <f t="array" ref="P17">_xlfn.XLOOKUP(
   $A17,
   [1]Database!$A$5:$A$20,
   _xlfn.XLOOKUP(
      P$3,
      [1]Database!$D$4:$T$4,
      [1]Database!$D$5:$T$20
   )
)</f>
        <v>0.76</v>
      </c>
      <c r="Q17" s="214">
        <f t="shared" si="5"/>
        <v>3.7978325501102908</v>
      </c>
      <c r="R17" s="214">
        <f t="shared" si="5"/>
        <v>3.7978325501102908</v>
      </c>
      <c r="S17" s="214">
        <f t="shared" si="5"/>
        <v>3.7978325501102908</v>
      </c>
      <c r="T17" s="214">
        <f t="shared" si="4"/>
        <v>2.1093000958772774</v>
      </c>
      <c r="U17" s="214">
        <f t="shared" si="4"/>
        <v>2.1093000958772774</v>
      </c>
      <c r="V17" s="214">
        <f t="shared" si="4"/>
        <v>2.1093000958772774</v>
      </c>
    </row>
    <row r="18" spans="1:22" x14ac:dyDescent="0.45">
      <c r="A18" s="192" t="s">
        <v>552</v>
      </c>
      <c r="B18" s="192" t="s">
        <v>553</v>
      </c>
      <c r="C18" s="192" t="s">
        <v>554</v>
      </c>
      <c r="D18" s="193" cm="1">
        <f t="array" ref="D18">_xlfn.XLOOKUP(
   $A18,
   [1]Database!$A$5:$A$20,
   _xlfn.XLOOKUP(
      D$3,
      [1]Database!$D$4:$T$4,
      [1]Database!$D$5:$T$20
   )
)</f>
        <v>0.14899999999999999</v>
      </c>
      <c r="E18" s="193" cm="1">
        <f t="array" ref="E18">_xlfn.XLOOKUP(
   $A18,
   [1]Database!$A$5:$A$20,
   _xlfn.XLOOKUP(
      E$3,
      [1]Database!$D$4:$T$4,
      [1]Database!$D$5:$T$20
   )
)</f>
        <v>98250.599999999991</v>
      </c>
      <c r="F18" s="193" cm="1">
        <f t="array" ref="F18">_xlfn.XLOOKUP(
   $A18,
   [1]Database!$A$5:$A$20,
   _xlfn.XLOOKUP(
      F$3,
      [1]Database!$D$4:$T$4,
      [1]Database!$D$5:$T$20
   )
)</f>
        <v>130993.79999999999</v>
      </c>
      <c r="G18" s="193" cm="1">
        <f t="array" ref="G18">_xlfn.XLOOKUP(
   $A18,
   [1]Database!$A$5:$A$20,
   _xlfn.XLOOKUP(
      G$3,
      [1]Database!$D$4:$T$4,
      [1]Database!$D$5:$T$20
   )
)</f>
        <v>117125.4</v>
      </c>
      <c r="H18" s="195" cm="1">
        <f t="array" ref="H18">_xlfn.XLOOKUP(
   $A18,
   [1]Database!$A$5:$A$20,
   _xlfn.XLOOKUP(
      H$3,
      [1]Database!$D$4:$T$4,
      [1]Database!$D$5:$T$20
   )
)</f>
        <v>0.1</v>
      </c>
      <c r="I18" s="195" cm="1">
        <f t="array" ref="I18">_xlfn.XLOOKUP(
   $A18,
   [1]Database!$A$5:$A$20,
   _xlfn.XLOOKUP(
      I$3,
      [1]Database!$D$4:$T$4,
      [1]Database!$D$5:$T$20
   )
)</f>
        <v>0.1</v>
      </c>
      <c r="J18" s="193" cm="1">
        <f t="array" ref="J18">_xlfn.XLOOKUP(
   $A18,
   [1]Database!$A$5:$A$20,
   _xlfn.XLOOKUP(
      J$3,
      [1]Database!$D$4:$T$4,
      [1]Database!$D$5:$T$20
   )
)</f>
        <v>2.4700000000000002</v>
      </c>
      <c r="K18" s="193" cm="1">
        <f t="array" ref="K18">_xlfn.XLOOKUP(
   $A18,
   [1]Database!$A$5:$A$20,
   _xlfn.XLOOKUP(
      K$3,
      [1]Database!$D$4:$T$4,
      [1]Database!$D$5:$T$20
   )
)</f>
        <v>0</v>
      </c>
      <c r="L18" s="193" cm="1">
        <f t="array" ref="L18">_xlfn.XLOOKUP(
   $A18,
   [1]Database!$A$5:$A$20,
   _xlfn.XLOOKUP(
      L$3,
      [1]Database!$D$4:$T$4,
      [1]Database!$D$5:$T$20
   )
)</f>
        <v>0</v>
      </c>
      <c r="M18" s="195" cm="1">
        <f t="array" ref="M18">_xlfn.XLOOKUP(
   $A18,
   [1]Database!$A$5:$A$20,
   _xlfn.XLOOKUP(
      M$3,
      [1]Database!$D$4:$T$4,
      [1]Database!$D$5:$T$20
   )
)</f>
        <v>3.8899999999999997E-2</v>
      </c>
      <c r="N18" s="195" cm="1">
        <f t="array" ref="N18">_xlfn.XLOOKUP(
   $A18,
   [1]Database!$A$5:$A$20,
   _xlfn.XLOOKUP(
      N$3,
      [1]Database!$D$4:$T$4,
      [1]Database!$D$5:$T$20
   )
)</f>
        <v>3.6400000000000002E-2</v>
      </c>
      <c r="O18" s="193" cm="1">
        <f t="array" ref="O18">_xlfn.XLOOKUP(
   $A18,
   [1]Database!$A$5:$A$20,
   _xlfn.XLOOKUP(
      O$3,
      [1]Database!$D$4:$T$4,
      [1]Database!$D$5:$T$20
   )
)</f>
        <v>1.1599999999999999</v>
      </c>
      <c r="P18" s="193" cm="1">
        <f t="array" ref="P18">_xlfn.XLOOKUP(
   $A18,
   [1]Database!$A$5:$A$20,
   _xlfn.XLOOKUP(
      P$3,
      [1]Database!$D$4:$T$4,
      [1]Database!$D$5:$T$20
   )
)</f>
        <v>1</v>
      </c>
      <c r="Q18" s="214">
        <f t="shared" si="5"/>
        <v>5.0062338160544737</v>
      </c>
      <c r="R18" s="214">
        <f t="shared" si="5"/>
        <v>5.0062338160544737</v>
      </c>
      <c r="S18" s="214">
        <f t="shared" si="5"/>
        <v>5.0062338160544737</v>
      </c>
      <c r="T18" s="214">
        <f t="shared" si="4"/>
        <v>2.7804410354745928</v>
      </c>
      <c r="U18" s="214">
        <f t="shared" si="4"/>
        <v>2.7804410354745928</v>
      </c>
      <c r="V18" s="214">
        <f t="shared" si="4"/>
        <v>2.7804410354745928</v>
      </c>
    </row>
    <row r="19" spans="1:22" x14ac:dyDescent="0.45">
      <c r="A19" s="192" t="s">
        <v>509</v>
      </c>
      <c r="B19" s="192" t="s">
        <v>510</v>
      </c>
      <c r="C19" s="192" t="s">
        <v>511</v>
      </c>
      <c r="D19" s="193" cm="1">
        <f t="array" ref="D19">_xlfn.XLOOKUP(
   $A19,
   [1]Database!$A$5:$A$20,
   _xlfn.XLOOKUP(
      D$3,
      [1]Database!$D$4:$T$4,
      [1]Database!$D$5:$T$20
   )
)</f>
        <v>1744</v>
      </c>
      <c r="E19" s="193" cm="1">
        <f t="array" ref="E19">_xlfn.XLOOKUP(
   $A19,
   [1]Database!$A$5:$A$20,
   _xlfn.XLOOKUP(
      E$3,
      [1]Database!$D$4:$T$4,
      [1]Database!$D$5:$T$20
   )
)</f>
        <v>139920000</v>
      </c>
      <c r="F19" s="193" cm="1">
        <f t="array" ref="F19">_xlfn.XLOOKUP(
   $A19,
   [1]Database!$A$5:$A$20,
   _xlfn.XLOOKUP(
      F$3,
      [1]Database!$D$4:$T$4,
      [1]Database!$D$5:$T$20
   )
)</f>
        <v>827162156.94999993</v>
      </c>
      <c r="G19" s="193" cm="1">
        <f t="array" ref="G19">_xlfn.XLOOKUP(
   $A19,
   [1]Database!$A$5:$A$20,
   _xlfn.XLOOKUP(
      G$3,
      [1]Database!$D$4:$T$4,
      [1]Database!$D$5:$T$20
   )
)</f>
        <v>921734762.02499998</v>
      </c>
      <c r="H19" s="195" cm="1">
        <f t="array" ref="H19">_xlfn.XLOOKUP(
   $A19,
   [1]Database!$A$5:$A$20,
   _xlfn.XLOOKUP(
      H$3,
      [1]Database!$D$4:$T$4,
      [1]Database!$D$5:$T$20
   )
)</f>
        <v>0.1</v>
      </c>
      <c r="I19" s="195" cm="1">
        <f t="array" ref="I19">_xlfn.XLOOKUP(
   $A19,
   [1]Database!$A$5:$A$20,
   _xlfn.XLOOKUP(
      I$3,
      [1]Database!$D$4:$T$4,
      [1]Database!$D$5:$T$20
   )
)</f>
        <v>0.1</v>
      </c>
      <c r="J19" s="193" cm="1">
        <f t="array" ref="J19">_xlfn.XLOOKUP(
   $A19,
   [1]Database!$A$5:$A$20,
   _xlfn.XLOOKUP(
      J$3,
      [1]Database!$D$4:$T$4,
      [1]Database!$D$5:$T$20
   )
)</f>
        <v>3586051.86</v>
      </c>
      <c r="K19" s="193" cm="1">
        <f t="array" ref="K19">_xlfn.XLOOKUP(
   $A19,
   [1]Database!$A$5:$A$20,
   _xlfn.XLOOKUP(
      K$3,
      [1]Database!$D$4:$T$4,
      [1]Database!$D$5:$T$20
   )
)</f>
        <v>3403710.24</v>
      </c>
      <c r="L19" s="193" cm="1">
        <f t="array" ref="L19">_xlfn.XLOOKUP(
   $A19,
   [1]Database!$A$5:$A$20,
   _xlfn.XLOOKUP(
      L$3,
      [1]Database!$D$4:$T$4,
      [1]Database!$D$5:$T$20
   )
)</f>
        <v>5470248.5999999996</v>
      </c>
      <c r="M19" s="195" cm="1">
        <f t="array" ref="M19">_xlfn.XLOOKUP(
   $A19,
   [1]Database!$A$5:$A$20,
   _xlfn.XLOOKUP(
      M$3,
      [1]Database!$D$4:$T$4,
      [1]Database!$D$5:$T$20
   )
)</f>
        <v>5.8999999999999997E-2</v>
      </c>
      <c r="N19" s="195" cm="1">
        <f t="array" ref="N19">_xlfn.XLOOKUP(
   $A19,
   [1]Database!$A$5:$A$20,
   _xlfn.XLOOKUP(
      N$3,
      [1]Database!$D$4:$T$4,
      [1]Database!$D$5:$T$20
   )
)</f>
        <v>6.2E-2</v>
      </c>
      <c r="O19" s="193" cm="1">
        <f t="array" ref="O19">_xlfn.XLOOKUP(
   $A19,
   [1]Database!$A$5:$A$20,
   _xlfn.XLOOKUP(
      O$3,
      [1]Database!$D$4:$T$4,
      [1]Database!$D$5:$T$20
   )
)</f>
        <v>30390.27</v>
      </c>
      <c r="P19" s="193" cm="1">
        <f t="array" ref="P19">_xlfn.XLOOKUP(
   $A19,
   [1]Database!$A$5:$A$20,
   _xlfn.XLOOKUP(
      P$3,
      [1]Database!$D$4:$T$4,
      [1]Database!$D$5:$T$20
   )
)</f>
        <v>26369</v>
      </c>
      <c r="Q19" s="214">
        <f t="shared" si="5"/>
        <v>131155.85978709121</v>
      </c>
      <c r="R19" s="214">
        <f t="shared" si="5"/>
        <v>131155.85978709121</v>
      </c>
      <c r="S19" s="214">
        <f t="shared" si="5"/>
        <v>131155.85978709121</v>
      </c>
      <c r="T19" s="214">
        <f t="shared" si="4"/>
        <v>72843.408437200385</v>
      </c>
      <c r="U19" s="214">
        <f t="shared" si="4"/>
        <v>72843.408437200385</v>
      </c>
      <c r="V19" s="214">
        <f t="shared" si="4"/>
        <v>72843.408437200385</v>
      </c>
    </row>
    <row r="20" spans="1:22" x14ac:dyDescent="0.45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212"/>
      <c r="Q20" s="214"/>
      <c r="R20" s="214"/>
      <c r="S20" s="214"/>
      <c r="T20" s="214"/>
      <c r="U20" s="214"/>
      <c r="V20" s="214"/>
    </row>
    <row r="21" spans="1:22" x14ac:dyDescent="0.45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212"/>
      <c r="Q21" s="214"/>
      <c r="R21" s="214"/>
      <c r="S21" s="214"/>
      <c r="T21" s="214"/>
      <c r="U21" s="214"/>
      <c r="V21" s="214"/>
    </row>
    <row r="22" spans="1:22" x14ac:dyDescent="0.45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212"/>
      <c r="Q22" s="214"/>
      <c r="R22" s="214"/>
      <c r="S22" s="214"/>
      <c r="T22" s="214"/>
      <c r="U22" s="214"/>
      <c r="V22" s="214"/>
    </row>
    <row r="23" spans="1:22" x14ac:dyDescent="0.45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212"/>
      <c r="Q23" s="214"/>
      <c r="R23" s="214"/>
      <c r="S23" s="214"/>
      <c r="T23" s="214"/>
      <c r="U23" s="214"/>
      <c r="V23" s="214"/>
    </row>
    <row r="24" spans="1:22" x14ac:dyDescent="0.45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212"/>
      <c r="Q24" s="214"/>
      <c r="R24" s="214"/>
      <c r="S24" s="214"/>
      <c r="T24" s="214"/>
      <c r="U24" s="214"/>
      <c r="V24" s="214"/>
    </row>
    <row r="25" spans="1:22" x14ac:dyDescent="0.4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212"/>
      <c r="Q25" s="214"/>
      <c r="R25" s="214"/>
      <c r="S25" s="214"/>
      <c r="T25" s="214"/>
      <c r="U25" s="214"/>
      <c r="V25" s="214"/>
    </row>
    <row r="26" spans="1:22" x14ac:dyDescent="0.45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4"/>
      <c r="O26" s="192"/>
      <c r="P26" s="212"/>
      <c r="Q26" s="214"/>
      <c r="R26" s="214"/>
      <c r="S26" s="214"/>
      <c r="T26" s="214"/>
      <c r="U26" s="214"/>
      <c r="V26" s="214"/>
    </row>
    <row r="27" spans="1:22" x14ac:dyDescent="0.45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212"/>
      <c r="Q27" s="214"/>
      <c r="R27" s="214"/>
      <c r="S27" s="214"/>
      <c r="T27" s="214"/>
      <c r="U27" s="214"/>
      <c r="V27" s="214"/>
    </row>
    <row r="28" spans="1:22" x14ac:dyDescent="0.4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212"/>
      <c r="Q28" s="214"/>
      <c r="R28" s="214"/>
      <c r="S28" s="214"/>
      <c r="T28" s="214"/>
      <c r="U28" s="214"/>
      <c r="V28" s="214"/>
    </row>
    <row r="29" spans="1:22" x14ac:dyDescent="0.45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212"/>
      <c r="Q29" s="214"/>
      <c r="R29" s="214"/>
      <c r="S29" s="214"/>
      <c r="T29" s="214"/>
      <c r="U29" s="214"/>
      <c r="V29" s="214"/>
    </row>
    <row r="30" spans="1:22" x14ac:dyDescent="0.4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212"/>
      <c r="Q30" s="214"/>
      <c r="R30" s="214"/>
      <c r="S30" s="214"/>
      <c r="T30" s="214"/>
      <c r="U30" s="214"/>
      <c r="V30" s="214"/>
    </row>
    <row r="31" spans="1:22" x14ac:dyDescent="0.45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212"/>
      <c r="Q31" s="214"/>
      <c r="R31" s="214"/>
      <c r="S31" s="214"/>
      <c r="T31" s="214"/>
      <c r="U31" s="214"/>
      <c r="V31" s="214"/>
    </row>
    <row r="32" spans="1:22" x14ac:dyDescent="0.45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212"/>
      <c r="Q32" s="214"/>
      <c r="R32" s="214"/>
      <c r="S32" s="214"/>
      <c r="T32" s="214"/>
      <c r="U32" s="214"/>
      <c r="V32" s="214"/>
    </row>
    <row r="33" spans="1:22" x14ac:dyDescent="0.4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212"/>
      <c r="Q33" s="214"/>
      <c r="R33" s="214"/>
      <c r="S33" s="214"/>
      <c r="T33" s="214"/>
      <c r="U33" s="214"/>
      <c r="V33" s="214"/>
    </row>
    <row r="34" spans="1:22" x14ac:dyDescent="0.45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212"/>
      <c r="Q34" s="214"/>
      <c r="R34" s="214"/>
      <c r="S34" s="214"/>
      <c r="T34" s="214"/>
      <c r="U34" s="214"/>
      <c r="V34" s="214"/>
    </row>
    <row r="35" spans="1:22" x14ac:dyDescent="0.4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212"/>
      <c r="Q35" s="214"/>
      <c r="R35" s="214"/>
      <c r="S35" s="214"/>
      <c r="T35" s="214"/>
      <c r="U35" s="214"/>
      <c r="V35" s="214"/>
    </row>
    <row r="36" spans="1:22" x14ac:dyDescent="0.45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212"/>
      <c r="Q36" s="214"/>
      <c r="R36" s="214"/>
      <c r="S36" s="214"/>
      <c r="T36" s="214"/>
      <c r="U36" s="214"/>
      <c r="V36" s="214"/>
    </row>
    <row r="37" spans="1:22" x14ac:dyDescent="0.45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212"/>
      <c r="Q37" s="214"/>
      <c r="R37" s="214"/>
      <c r="S37" s="214"/>
      <c r="T37" s="214"/>
      <c r="U37" s="214"/>
      <c r="V37" s="214"/>
    </row>
    <row r="38" spans="1:22" x14ac:dyDescent="0.45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212"/>
      <c r="Q38" s="214"/>
      <c r="R38" s="214"/>
      <c r="S38" s="214"/>
      <c r="T38" s="214"/>
      <c r="U38" s="214"/>
      <c r="V38" s="214"/>
    </row>
    <row r="39" spans="1:22" x14ac:dyDescent="0.45">
      <c r="Q39" s="177"/>
      <c r="R39" s="177"/>
      <c r="S39" s="177"/>
      <c r="T39" s="177"/>
      <c r="U39" s="177"/>
      <c r="V39" s="177"/>
    </row>
  </sheetData>
  <mergeCells count="1">
    <mergeCell ref="E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2A87-9B2D-420C-9050-AF47F46E5BDC}">
  <dimension ref="A3:E26"/>
  <sheetViews>
    <sheetView workbookViewId="0">
      <selection activeCell="E6" sqref="E6"/>
    </sheetView>
  </sheetViews>
  <sheetFormatPr defaultRowHeight="14.25" x14ac:dyDescent="0.45"/>
  <cols>
    <col min="1" max="1" width="4.796875" bestFit="1" customWidth="1"/>
    <col min="2" max="2" width="9.3984375" bestFit="1" customWidth="1"/>
    <col min="3" max="3" width="10.59765625" bestFit="1" customWidth="1"/>
    <col min="4" max="4" width="13.3984375" customWidth="1"/>
    <col min="5" max="5" width="43.86328125" bestFit="1" customWidth="1"/>
  </cols>
  <sheetData>
    <row r="3" spans="1:5" x14ac:dyDescent="0.45">
      <c r="A3" s="224" t="s">
        <v>558</v>
      </c>
      <c r="B3" s="224" t="s">
        <v>559</v>
      </c>
      <c r="C3" s="224" t="s">
        <v>560</v>
      </c>
      <c r="D3" s="224" t="s">
        <v>561</v>
      </c>
      <c r="E3" s="224" t="s">
        <v>562</v>
      </c>
    </row>
    <row r="4" spans="1:5" x14ac:dyDescent="0.45">
      <c r="A4" s="192">
        <v>1</v>
      </c>
      <c r="B4" s="192" t="s">
        <v>563</v>
      </c>
      <c r="C4" s="193">
        <v>3197.5</v>
      </c>
      <c r="D4" s="192"/>
      <c r="E4" s="192"/>
    </row>
    <row r="5" spans="1:5" x14ac:dyDescent="0.45">
      <c r="A5" s="192"/>
      <c r="B5" s="192"/>
      <c r="C5" s="193">
        <v>3185.6</v>
      </c>
      <c r="D5" s="225">
        <f>(C4-C5)/C4</f>
        <v>3.7216575449570263E-3</v>
      </c>
      <c r="E5" s="192" t="s">
        <v>565</v>
      </c>
    </row>
    <row r="6" spans="1:5" x14ac:dyDescent="0.45">
      <c r="A6" s="192"/>
      <c r="B6" s="192"/>
      <c r="C6" s="192"/>
      <c r="D6" s="192"/>
      <c r="E6" s="192"/>
    </row>
    <row r="7" spans="1:5" x14ac:dyDescent="0.45">
      <c r="A7" s="192"/>
      <c r="B7" s="192"/>
      <c r="C7" s="192"/>
      <c r="D7" s="192"/>
      <c r="E7" s="192"/>
    </row>
    <row r="8" spans="1:5" x14ac:dyDescent="0.45">
      <c r="A8" s="192"/>
      <c r="B8" s="192"/>
      <c r="C8" s="192"/>
      <c r="D8" s="192"/>
      <c r="E8" s="192"/>
    </row>
    <row r="9" spans="1:5" x14ac:dyDescent="0.45">
      <c r="A9" s="192"/>
      <c r="B9" s="192"/>
      <c r="C9" s="192"/>
      <c r="D9" s="192"/>
      <c r="E9" s="192"/>
    </row>
    <row r="10" spans="1:5" x14ac:dyDescent="0.45">
      <c r="A10" s="192"/>
      <c r="B10" s="192"/>
      <c r="C10" s="192"/>
      <c r="D10" s="192"/>
      <c r="E10" s="192"/>
    </row>
    <row r="11" spans="1:5" x14ac:dyDescent="0.45">
      <c r="A11" s="192"/>
      <c r="B11" s="192"/>
      <c r="C11" s="192"/>
      <c r="D11" s="192"/>
      <c r="E11" s="192"/>
    </row>
    <row r="12" spans="1:5" x14ac:dyDescent="0.45">
      <c r="A12" s="192"/>
      <c r="B12" s="192"/>
      <c r="C12" s="192"/>
      <c r="D12" s="192"/>
      <c r="E12" s="192"/>
    </row>
    <row r="13" spans="1:5" x14ac:dyDescent="0.45">
      <c r="A13" s="192"/>
      <c r="B13" s="192"/>
      <c r="C13" s="192"/>
      <c r="D13" s="192"/>
      <c r="E13" s="192"/>
    </row>
    <row r="14" spans="1:5" x14ac:dyDescent="0.45">
      <c r="A14" s="192"/>
      <c r="B14" s="192"/>
      <c r="C14" s="192"/>
      <c r="D14" s="192"/>
      <c r="E14" s="192"/>
    </row>
    <row r="15" spans="1:5" x14ac:dyDescent="0.45">
      <c r="A15" s="192"/>
      <c r="B15" s="192"/>
      <c r="C15" s="192"/>
      <c r="D15" s="192"/>
      <c r="E15" s="192"/>
    </row>
    <row r="16" spans="1:5" x14ac:dyDescent="0.45">
      <c r="A16" s="192"/>
      <c r="B16" s="192"/>
      <c r="C16" s="192"/>
      <c r="D16" s="192"/>
      <c r="E16" s="192"/>
    </row>
    <row r="17" spans="1:5" x14ac:dyDescent="0.45">
      <c r="A17" s="192"/>
      <c r="B17" s="192"/>
      <c r="C17" s="192"/>
      <c r="D17" s="192"/>
      <c r="E17" s="192"/>
    </row>
    <row r="18" spans="1:5" x14ac:dyDescent="0.45">
      <c r="A18" s="192"/>
      <c r="B18" s="192"/>
      <c r="C18" s="192"/>
      <c r="D18" s="192"/>
      <c r="E18" s="192"/>
    </row>
    <row r="19" spans="1:5" x14ac:dyDescent="0.45">
      <c r="A19" s="192"/>
      <c r="B19" s="192"/>
      <c r="C19" s="192"/>
      <c r="D19" s="192"/>
      <c r="E19" s="192"/>
    </row>
    <row r="20" spans="1:5" x14ac:dyDescent="0.45">
      <c r="A20" s="192"/>
      <c r="B20" s="192"/>
      <c r="C20" s="192"/>
      <c r="D20" s="192"/>
      <c r="E20" s="192"/>
    </row>
    <row r="21" spans="1:5" x14ac:dyDescent="0.45">
      <c r="A21" s="192"/>
      <c r="B21" s="192"/>
      <c r="C21" s="192"/>
      <c r="D21" s="192"/>
      <c r="E21" s="192"/>
    </row>
    <row r="22" spans="1:5" x14ac:dyDescent="0.45">
      <c r="A22" s="192"/>
      <c r="B22" s="192"/>
      <c r="C22" s="192"/>
      <c r="D22" s="192"/>
      <c r="E22" s="192"/>
    </row>
    <row r="23" spans="1:5" x14ac:dyDescent="0.45">
      <c r="A23" s="192"/>
      <c r="B23" s="192"/>
      <c r="C23" s="192"/>
      <c r="D23" s="192"/>
      <c r="E23" s="192"/>
    </row>
    <row r="24" spans="1:5" x14ac:dyDescent="0.45">
      <c r="A24" s="192"/>
      <c r="B24" s="192"/>
      <c r="C24" s="192"/>
      <c r="D24" s="192"/>
      <c r="E24" s="192"/>
    </row>
    <row r="25" spans="1:5" x14ac:dyDescent="0.45">
      <c r="A25" s="192"/>
      <c r="B25" s="192"/>
      <c r="C25" s="192"/>
      <c r="D25" s="192"/>
      <c r="E25" s="192"/>
    </row>
    <row r="26" spans="1:5" x14ac:dyDescent="0.45">
      <c r="A26" s="192"/>
      <c r="B26" s="192"/>
      <c r="C26" s="192"/>
      <c r="D26" s="192"/>
      <c r="E26" s="19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10F4-556C-4BBC-BA53-4558AEEE5985}">
  <dimension ref="B2:H39"/>
  <sheetViews>
    <sheetView topLeftCell="F6" workbookViewId="0">
      <selection activeCell="H8" sqref="H8"/>
    </sheetView>
  </sheetViews>
  <sheetFormatPr defaultColWidth="29.1328125" defaultRowHeight="11.65" x14ac:dyDescent="0.35"/>
  <cols>
    <col min="1" max="1" width="4.1328125" style="7" customWidth="1"/>
    <col min="2" max="2" width="14.796875" style="7" customWidth="1"/>
    <col min="3" max="3" width="9.796875" style="7" customWidth="1"/>
    <col min="4" max="4" width="15.796875" style="7" customWidth="1"/>
    <col min="5" max="5" width="37.46484375" style="7" customWidth="1"/>
    <col min="6" max="6" width="40.1328125" style="7" customWidth="1"/>
    <col min="7" max="7" width="47.53125" style="7" customWidth="1"/>
    <col min="8" max="8" width="31.86328125" style="7" customWidth="1"/>
    <col min="9" max="16384" width="29.1328125" style="7"/>
  </cols>
  <sheetData>
    <row r="2" spans="2:8" x14ac:dyDescent="0.35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1" t="s">
        <v>5</v>
      </c>
    </row>
    <row r="3" spans="2:8" x14ac:dyDescent="0.35">
      <c r="B3" s="3" t="s">
        <v>6</v>
      </c>
      <c r="C3" s="8"/>
      <c r="D3" s="6"/>
      <c r="E3" s="6"/>
      <c r="F3" s="9"/>
      <c r="G3" s="9"/>
    </row>
    <row r="4" spans="2:8" x14ac:dyDescent="0.35">
      <c r="B4" s="6" t="s">
        <v>7</v>
      </c>
      <c r="C4" s="6" t="s">
        <v>8</v>
      </c>
      <c r="D4" s="10"/>
      <c r="E4" s="6"/>
      <c r="F4" s="9"/>
      <c r="G4" s="9"/>
    </row>
    <row r="5" spans="2:8" x14ac:dyDescent="0.35">
      <c r="B5" s="6" t="s">
        <v>9</v>
      </c>
      <c r="C5" s="6" t="s">
        <v>8</v>
      </c>
      <c r="D5" s="10"/>
      <c r="E5" s="6"/>
      <c r="F5" s="9"/>
      <c r="G5" s="9"/>
    </row>
    <row r="6" spans="2:8" ht="107.25" customHeight="1" x14ac:dyDescent="0.4">
      <c r="B6" s="6" t="s">
        <v>10</v>
      </c>
      <c r="C6" s="6" t="s">
        <v>11</v>
      </c>
      <c r="D6" s="11">
        <v>14833.58</v>
      </c>
      <c r="E6" s="6" t="s">
        <v>12</v>
      </c>
      <c r="F6" s="17" t="s">
        <v>13</v>
      </c>
      <c r="G6" s="12" t="e" vm="1">
        <v>#VALUE!</v>
      </c>
      <c r="H6" s="21" t="s">
        <v>14</v>
      </c>
    </row>
    <row r="7" spans="2:8" ht="79.5" customHeight="1" x14ac:dyDescent="0.4">
      <c r="B7" s="6" t="s">
        <v>15</v>
      </c>
      <c r="C7" s="6" t="s">
        <v>11</v>
      </c>
      <c r="D7" s="13">
        <v>36681.160000000003</v>
      </c>
      <c r="E7" s="6" t="s">
        <v>16</v>
      </c>
      <c r="F7" s="17" t="s">
        <v>17</v>
      </c>
      <c r="G7" s="4" t="e" vm="2">
        <v>#VALUE!</v>
      </c>
      <c r="H7" s="21" t="s">
        <v>18</v>
      </c>
    </row>
    <row r="8" spans="2:8" ht="90" customHeight="1" x14ac:dyDescent="0.4">
      <c r="B8" s="6" t="s">
        <v>19</v>
      </c>
      <c r="C8" s="6" t="s">
        <v>11</v>
      </c>
      <c r="D8" s="11">
        <v>1560.6</v>
      </c>
      <c r="E8" s="6" t="s">
        <v>20</v>
      </c>
      <c r="F8" s="17" t="s">
        <v>21</v>
      </c>
      <c r="G8" s="9" t="e" vm="3">
        <v>#VALUE!</v>
      </c>
      <c r="H8" s="21" t="s">
        <v>22</v>
      </c>
    </row>
    <row r="9" spans="2:8" x14ac:dyDescent="0.35">
      <c r="B9" s="6" t="s">
        <v>23</v>
      </c>
      <c r="C9" s="6"/>
      <c r="D9" s="6"/>
      <c r="E9" s="6" t="s">
        <v>24</v>
      </c>
      <c r="F9" s="18"/>
      <c r="G9" s="9"/>
    </row>
    <row r="10" spans="2:8" ht="83.25" customHeight="1" x14ac:dyDescent="0.35">
      <c r="B10" s="6" t="s">
        <v>25</v>
      </c>
      <c r="C10" s="6" t="s">
        <v>26</v>
      </c>
      <c r="D10" s="14">
        <v>0.1</v>
      </c>
      <c r="E10" s="6" t="s">
        <v>27</v>
      </c>
      <c r="F10" s="19" t="s">
        <v>28</v>
      </c>
      <c r="G10" s="9"/>
    </row>
    <row r="11" spans="2:8" ht="102.75" customHeight="1" x14ac:dyDescent="0.35">
      <c r="B11" s="6" t="s">
        <v>29</v>
      </c>
      <c r="C11" s="6" t="s">
        <v>26</v>
      </c>
      <c r="D11" s="14">
        <v>0.15</v>
      </c>
      <c r="E11" s="6" t="s">
        <v>30</v>
      </c>
      <c r="F11" s="19" t="s">
        <v>28</v>
      </c>
      <c r="G11" s="6" t="e" vm="4">
        <v>#VALUE!</v>
      </c>
    </row>
    <row r="12" spans="2:8" ht="58.15" x14ac:dyDescent="0.35">
      <c r="B12" s="6" t="s">
        <v>31</v>
      </c>
      <c r="C12" s="6" t="s">
        <v>26</v>
      </c>
      <c r="D12" s="15">
        <v>0.1075</v>
      </c>
      <c r="E12" s="6" t="s">
        <v>32</v>
      </c>
      <c r="F12" s="17" t="s">
        <v>33</v>
      </c>
      <c r="G12" s="9" t="e" vm="5">
        <v>#VALUE!</v>
      </c>
    </row>
    <row r="13" spans="2:8" ht="70.5" customHeight="1" x14ac:dyDescent="0.35">
      <c r="B13" s="6" t="s">
        <v>34</v>
      </c>
      <c r="C13" s="6" t="s">
        <v>26</v>
      </c>
      <c r="D13" s="15">
        <v>9.2499999999999999E-2</v>
      </c>
      <c r="E13" s="6" t="s">
        <v>35</v>
      </c>
      <c r="F13" s="17" t="s">
        <v>36</v>
      </c>
      <c r="G13" s="9" t="e" vm="6">
        <v>#VALUE!</v>
      </c>
    </row>
    <row r="14" spans="2:8" ht="23.25" x14ac:dyDescent="0.35">
      <c r="B14" s="6" t="s">
        <v>37</v>
      </c>
      <c r="C14" s="6" t="s">
        <v>38</v>
      </c>
      <c r="D14" s="11">
        <v>7.5</v>
      </c>
      <c r="E14" s="6" t="s">
        <v>39</v>
      </c>
      <c r="F14" s="19"/>
      <c r="G14" s="9"/>
    </row>
    <row r="15" spans="2:8" x14ac:dyDescent="0.35">
      <c r="B15" s="6" t="s">
        <v>40</v>
      </c>
      <c r="C15" s="6" t="s">
        <v>26</v>
      </c>
      <c r="D15" s="16">
        <v>2.5000000000000001E-2</v>
      </c>
      <c r="E15" s="6" t="s">
        <v>41</v>
      </c>
      <c r="F15" s="19"/>
      <c r="G15" s="9"/>
    </row>
    <row r="16" spans="2:8" ht="34.9" x14ac:dyDescent="0.35">
      <c r="B16" s="6" t="s">
        <v>42</v>
      </c>
      <c r="C16" s="6" t="s">
        <v>26</v>
      </c>
      <c r="D16" s="16">
        <v>2.5000000000000001E-2</v>
      </c>
      <c r="E16" s="6" t="s">
        <v>43</v>
      </c>
      <c r="F16" s="19"/>
      <c r="G16" s="9"/>
    </row>
    <row r="17" spans="2:7" x14ac:dyDescent="0.35">
      <c r="B17" s="6"/>
      <c r="C17" s="6"/>
      <c r="D17" s="6"/>
      <c r="E17" s="6"/>
      <c r="F17" s="18"/>
      <c r="G17" s="9"/>
    </row>
    <row r="18" spans="2:7" x14ac:dyDescent="0.35">
      <c r="B18" s="5" t="s">
        <v>44</v>
      </c>
      <c r="C18" s="6"/>
      <c r="D18" s="6"/>
      <c r="E18" s="6"/>
      <c r="F18" s="18"/>
      <c r="G18" s="9"/>
    </row>
    <row r="19" spans="2:7" ht="91.5" customHeight="1" x14ac:dyDescent="0.35">
      <c r="B19" s="6" t="s">
        <v>45</v>
      </c>
      <c r="C19" s="6" t="s">
        <v>46</v>
      </c>
      <c r="D19" s="10">
        <f>360000*128%</f>
        <v>460800</v>
      </c>
      <c r="E19" s="6" t="s">
        <v>47</v>
      </c>
      <c r="F19" s="17" t="s">
        <v>48</v>
      </c>
      <c r="G19" s="9" t="e" vm="7">
        <v>#VALUE!</v>
      </c>
    </row>
    <row r="20" spans="2:7" ht="59.25" customHeight="1" x14ac:dyDescent="0.35">
      <c r="B20" s="6" t="s">
        <v>49</v>
      </c>
      <c r="C20" s="6" t="s">
        <v>46</v>
      </c>
      <c r="D20" s="10">
        <f>550000*128%</f>
        <v>704000</v>
      </c>
      <c r="E20" s="6" t="s">
        <v>47</v>
      </c>
      <c r="F20" s="20" t="s">
        <v>50</v>
      </c>
      <c r="G20" s="9" t="e" vm="8">
        <v>#VALUE!</v>
      </c>
    </row>
    <row r="21" spans="2:7" ht="79.25" customHeight="1" x14ac:dyDescent="0.35">
      <c r="B21" s="6" t="s">
        <v>51</v>
      </c>
      <c r="C21" s="6" t="s">
        <v>46</v>
      </c>
      <c r="D21" s="11">
        <f>1800000*128%</f>
        <v>2304000</v>
      </c>
      <c r="E21" s="6" t="s">
        <v>47</v>
      </c>
      <c r="F21" s="17" t="s">
        <v>52</v>
      </c>
      <c r="G21" s="9" t="e" vm="9">
        <v>#VALUE!</v>
      </c>
    </row>
    <row r="22" spans="2:7" ht="38" customHeight="1" x14ac:dyDescent="0.35">
      <c r="B22" s="6" t="s">
        <v>53</v>
      </c>
      <c r="C22" s="6"/>
      <c r="D22" s="6"/>
      <c r="E22" s="6"/>
      <c r="F22" s="9"/>
      <c r="G22" s="9"/>
    </row>
    <row r="25" spans="2:7" x14ac:dyDescent="0.35">
      <c r="D25" s="40"/>
      <c r="E25" s="40"/>
      <c r="F25" s="40"/>
    </row>
    <row r="26" spans="2:7" x14ac:dyDescent="0.35">
      <c r="D26" s="40"/>
      <c r="E26" s="40"/>
      <c r="F26" s="40"/>
    </row>
    <row r="33" spans="3:3" x14ac:dyDescent="0.35">
      <c r="C33" s="7">
        <f>60000/10</f>
        <v>6000</v>
      </c>
    </row>
    <row r="37" spans="3:3" x14ac:dyDescent="0.35">
      <c r="C37" s="7" t="e">
        <f>(C5)*2350/(1500*0.0929)</f>
        <v>#VALUE!</v>
      </c>
    </row>
    <row r="38" spans="3:3" x14ac:dyDescent="0.35">
      <c r="C38" s="7" t="e">
        <f>SUM(C22:C37)*10%</f>
        <v>#VALUE!</v>
      </c>
    </row>
    <row r="39" spans="3:3" x14ac:dyDescent="0.35">
      <c r="C39" s="7" t="e">
        <f>SUM(C22:C38)</f>
        <v>#VALUE!</v>
      </c>
    </row>
  </sheetData>
  <hyperlinks>
    <hyperlink ref="F10" r:id="rId1" xr:uid="{E00CDE35-811E-4B80-BA15-04CF7D157A53}"/>
    <hyperlink ref="F12" r:id="rId2" display="https://www.hdfcbank.com/personal/borrow/popular-loans/business-loan/fees-and-charges" xr:uid="{354FB06B-E325-423F-AF23-04A25683E789}"/>
    <hyperlink ref="F11" r:id="rId3" xr:uid="{3644CFB7-2A80-4184-8905-1E839A0AFBA7}"/>
    <hyperlink ref="F19" r:id="rId4" display="https://in.indeed.com/career/machine-operator/salaries/Silvassa--Dadra-and-Nagar-Haveli" xr:uid="{F8D31F2B-DBD2-4BF0-A947-8BB6E9103BD3}"/>
    <hyperlink ref="F20" r:id="rId5" display="https://in.indeed.com/career/engineer/salaries/Silvassa--Dadra-and-Nagar-Haveli" xr:uid="{800F402A-2210-497C-8432-D0C28542296F}"/>
    <hyperlink ref="F21" r:id="rId6" display="https://in.indeed.com/career/production-manager/salaries/Silvassa--Dadra-and-Nagar-Haveli" xr:uid="{44976EAC-A51C-4B25-925B-ABAE1284E0FB}"/>
    <hyperlink ref="F7" r:id="rId7" display="https://www.realestateindia.com/silvassa-property/factory-for-sale.htm" xr:uid="{A67F4CF3-19FF-4420-8154-A0BAC14385B0}"/>
    <hyperlink ref="F8" r:id="rId8" display="https://www.realestateindia.com/silvassa-property/factory-for-rent.htm" xr:uid="{0C914D19-273C-4760-A1FB-38D90E9E4932}"/>
    <hyperlink ref="F6" r:id="rId9" display="https://www.realestateindia.com/silvassa-property/industrial-lands-for-sale.htm" xr:uid="{C95D0CC4-A739-4DA7-934C-CA932A9AAB77}"/>
    <hyperlink ref="F13" r:id="rId10" display="https://www.nsic.co.in/Schemes/BillDiscountingAgainstBG" xr:uid="{0CFBADB1-F311-4483-B810-81EB0099FCCD}"/>
  </hyperlinks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summary</vt:lpstr>
      <vt:lpstr>Summary-old</vt:lpstr>
      <vt:lpstr>input</vt:lpstr>
      <vt:lpstr>material</vt:lpstr>
      <vt:lpstr>Input-old</vt:lpstr>
      <vt:lpstr>regrind</vt:lpstr>
      <vt:lpstr>conversion</vt:lpstr>
      <vt:lpstr>backup</vt:lpstr>
      <vt:lpstr>Database</vt:lpstr>
      <vt:lpstr>Log</vt:lpstr>
      <vt:lpstr>rational_sheet</vt:lpstr>
      <vt:lpstr>Ancillary</vt:lpstr>
      <vt:lpstr>Area_EBM</vt:lpstr>
      <vt:lpstr>Database</vt:lpstr>
      <vt:lpstr>Dep_Sch_Others</vt:lpstr>
      <vt:lpstr>Depreciation_Schedule</vt:lpstr>
      <vt:lpstr>Input</vt:lpstr>
      <vt:lpstr>Interest_Sch_Others</vt:lpstr>
      <vt:lpstr>Interest_Schedule</vt:lpstr>
      <vt:lpstr>Machine_details</vt:lpstr>
      <vt:lpstr>Machines</vt:lpstr>
      <vt:lpstr>SKU_Data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Naman Mishra</dc:creator>
  <cp:keywords/>
  <dc:description/>
  <cp:lastModifiedBy>Naman Mishra</cp:lastModifiedBy>
  <cp:revision/>
  <dcterms:created xsi:type="dcterms:W3CDTF">2025-10-14T06:11:27Z</dcterms:created>
  <dcterms:modified xsi:type="dcterms:W3CDTF">2025-12-18T13:17:32Z</dcterms:modified>
  <cp:category/>
  <cp:contentStatus/>
</cp:coreProperties>
</file>