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ackforallp-my.sharepoint.com/personal/minoti_banerjee_packfora_com/Documents/Unilever Cost Model/2. Models/Rigid Models/"/>
    </mc:Choice>
  </mc:AlternateContent>
  <xr:revisionPtr revIDLastSave="1485" documentId="8_{76CFA5D4-E82F-4EAA-925B-A32F0D507672}" xr6:coauthVersionLast="47" xr6:coauthVersionMax="47" xr10:uidLastSave="{594CB592-D54C-4EFE-BF41-7C02285B5326}"/>
  <bookViews>
    <workbookView xWindow="-98" yWindow="-98" windowWidth="21795" windowHeight="12975" xr2:uid="{92DEB66A-8F29-45EE-BCCD-245B537975D4}"/>
  </bookViews>
  <sheets>
    <sheet name="summary" sheetId="2" r:id="rId1"/>
    <sheet name="input" sheetId="3" r:id="rId2"/>
    <sheet name="material" sheetId="4" r:id="rId3"/>
    <sheet name="conversion" sheetId="6" r:id="rId4"/>
    <sheet name="backup" sheetId="7" r:id="rId5"/>
    <sheet name="rational_sheet" sheetId="1" r:id="rId6"/>
    <sheet name="Database" sheetId="8" r:id="rId7"/>
    <sheet name="log" sheetId="9" r:id="rId8"/>
  </sheets>
  <externalReferences>
    <externalReference r:id="rId9"/>
  </externalReferences>
  <definedNames>
    <definedName name="_xlnm._FilterDatabase" localSheetId="3" hidden="1">conversion!$B$372:$D$421</definedName>
    <definedName name="Ancillary">backup!$B$20:$C$39</definedName>
    <definedName name="Area_EBM">backup!$B$4:$C$17</definedName>
    <definedName name="_xlnm.Database">Database!$A$3:$U$38</definedName>
    <definedName name="Dep_Sch_Others">conversion!$A$324:$D$360</definedName>
    <definedName name="Depreciation_Schedule">conversion!$A$219:$D$256</definedName>
    <definedName name="Interest_Sch_Others">conversion!$A$364:$D$421</definedName>
    <definedName name="Interest_Schedule">conversion!$A$260:$D$319</definedName>
    <definedName name="Machine_details">backup!$B$1:$H$142</definedName>
    <definedName name="Machine_Power">backup!#REF!</definedName>
    <definedName name="Machines">backup!$D$42:$K$47</definedName>
    <definedName name="SKU_Data">input!$A$9:$C$105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8" l="1" a="1"/>
  <c r="P19" i="8" s="1"/>
  <c r="O19" i="8" a="1"/>
  <c r="O19" i="8" s="1"/>
  <c r="N19" i="8" a="1"/>
  <c r="N19" i="8" s="1"/>
  <c r="M19" i="8" a="1"/>
  <c r="M19" i="8" s="1"/>
  <c r="L19" i="8" a="1"/>
  <c r="L19" i="8" s="1"/>
  <c r="K19" i="8" a="1"/>
  <c r="K19" i="8" s="1"/>
  <c r="J19" i="8" a="1"/>
  <c r="J19" i="8" s="1"/>
  <c r="P18" i="8" a="1"/>
  <c r="P18" i="8" s="1"/>
  <c r="O18" i="8" a="1"/>
  <c r="O18" i="8" s="1"/>
  <c r="N18" i="8" a="1"/>
  <c r="N18" i="8" s="1"/>
  <c r="M18" i="8" a="1"/>
  <c r="M18" i="8" s="1"/>
  <c r="L18" i="8" a="1"/>
  <c r="L18" i="8" s="1"/>
  <c r="K18" i="8" a="1"/>
  <c r="K18" i="8" s="1"/>
  <c r="J18" i="8" a="1"/>
  <c r="J18" i="8" s="1"/>
  <c r="P17" i="8" a="1"/>
  <c r="P17" i="8" s="1"/>
  <c r="O17" i="8" a="1"/>
  <c r="O17" i="8" s="1"/>
  <c r="N17" i="8" a="1"/>
  <c r="N17" i="8" s="1"/>
  <c r="M17" i="8" a="1"/>
  <c r="M17" i="8" s="1"/>
  <c r="L17" i="8" a="1"/>
  <c r="L17" i="8" s="1"/>
  <c r="K17" i="8" a="1"/>
  <c r="K17" i="8" s="1"/>
  <c r="J17" i="8" a="1"/>
  <c r="J17" i="8" s="1"/>
  <c r="P16" i="8" a="1"/>
  <c r="P16" i="8" s="1"/>
  <c r="O16" i="8" a="1"/>
  <c r="O16" i="8" s="1"/>
  <c r="N16" i="8" a="1"/>
  <c r="N16" i="8" s="1"/>
  <c r="M16" i="8" a="1"/>
  <c r="M16" i="8" s="1"/>
  <c r="L16" i="8" a="1"/>
  <c r="L16" i="8" s="1"/>
  <c r="K16" i="8" a="1"/>
  <c r="K16" i="8" s="1"/>
  <c r="J16" i="8" a="1"/>
  <c r="J16" i="8" s="1"/>
  <c r="P15" i="8" a="1"/>
  <c r="P15" i="8" s="1"/>
  <c r="O15" i="8" a="1"/>
  <c r="O15" i="8" s="1"/>
  <c r="N15" i="8" a="1"/>
  <c r="N15" i="8" s="1"/>
  <c r="M15" i="8" a="1"/>
  <c r="M15" i="8" s="1"/>
  <c r="L15" i="8" a="1"/>
  <c r="L15" i="8" s="1"/>
  <c r="K15" i="8" a="1"/>
  <c r="K15" i="8" s="1"/>
  <c r="J15" i="8" a="1"/>
  <c r="J15" i="8" s="1"/>
  <c r="P14" i="8" a="1"/>
  <c r="P14" i="8" s="1"/>
  <c r="O14" i="8" a="1"/>
  <c r="O14" i="8" s="1"/>
  <c r="N14" i="8" a="1"/>
  <c r="N14" i="8" s="1"/>
  <c r="M14" i="8" a="1"/>
  <c r="M14" i="8" s="1"/>
  <c r="L14" i="8" a="1"/>
  <c r="L14" i="8" s="1"/>
  <c r="K14" i="8" a="1"/>
  <c r="K14" i="8" s="1"/>
  <c r="J14" i="8" a="1"/>
  <c r="J14" i="8" s="1"/>
  <c r="P13" i="8" a="1"/>
  <c r="P13" i="8" s="1"/>
  <c r="O13" i="8" a="1"/>
  <c r="O13" i="8" s="1"/>
  <c r="N13" i="8" a="1"/>
  <c r="N13" i="8" s="1"/>
  <c r="M13" i="8" a="1"/>
  <c r="M13" i="8" s="1"/>
  <c r="L13" i="8" a="1"/>
  <c r="L13" i="8" s="1"/>
  <c r="K13" i="8" a="1"/>
  <c r="K13" i="8" s="1"/>
  <c r="J13" i="8" a="1"/>
  <c r="J13" i="8" s="1"/>
  <c r="P12" i="8" a="1"/>
  <c r="P12" i="8" s="1"/>
  <c r="O12" i="8" a="1"/>
  <c r="O12" i="8" s="1"/>
  <c r="N12" i="8" a="1"/>
  <c r="N12" i="8" s="1"/>
  <c r="M12" i="8" a="1"/>
  <c r="M12" i="8" s="1"/>
  <c r="L12" i="8" a="1"/>
  <c r="L12" i="8" s="1"/>
  <c r="K12" i="8" a="1"/>
  <c r="K12" i="8" s="1"/>
  <c r="J12" i="8" a="1"/>
  <c r="J12" i="8" s="1"/>
  <c r="P11" i="8" a="1"/>
  <c r="P11" i="8" s="1"/>
  <c r="O11" i="8" a="1"/>
  <c r="O11" i="8" s="1"/>
  <c r="N11" i="8" a="1"/>
  <c r="N11" i="8" s="1"/>
  <c r="M11" i="8" a="1"/>
  <c r="M11" i="8" s="1"/>
  <c r="L11" i="8" a="1"/>
  <c r="L11" i="8" s="1"/>
  <c r="K11" i="8" a="1"/>
  <c r="K11" i="8" s="1"/>
  <c r="J11" i="8" a="1"/>
  <c r="J11" i="8" s="1"/>
  <c r="P10" i="8" a="1"/>
  <c r="P10" i="8" s="1"/>
  <c r="O10" i="8" a="1"/>
  <c r="O10" i="8" s="1"/>
  <c r="N10" i="8" a="1"/>
  <c r="N10" i="8" s="1"/>
  <c r="M10" i="8" a="1"/>
  <c r="M10" i="8" s="1"/>
  <c r="L10" i="8" a="1"/>
  <c r="L10" i="8" s="1"/>
  <c r="K10" i="8" a="1"/>
  <c r="K10" i="8" s="1"/>
  <c r="J10" i="8" a="1"/>
  <c r="J10" i="8" s="1"/>
  <c r="P9" i="8" a="1"/>
  <c r="P9" i="8" s="1"/>
  <c r="O9" i="8" a="1"/>
  <c r="O9" i="8" s="1"/>
  <c r="N9" i="8" a="1"/>
  <c r="N9" i="8" s="1"/>
  <c r="M9" i="8" a="1"/>
  <c r="M9" i="8" s="1"/>
  <c r="L9" i="8" a="1"/>
  <c r="L9" i="8" s="1"/>
  <c r="K9" i="8" a="1"/>
  <c r="K9" i="8" s="1"/>
  <c r="J9" i="8" a="1"/>
  <c r="J9" i="8" s="1"/>
  <c r="P8" i="8" a="1"/>
  <c r="P8" i="8" s="1"/>
  <c r="O8" i="8" a="1"/>
  <c r="O8" i="8" s="1"/>
  <c r="N8" i="8" a="1"/>
  <c r="N8" i="8" s="1"/>
  <c r="M8" i="8" a="1"/>
  <c r="M8" i="8" s="1"/>
  <c r="L8" i="8" a="1"/>
  <c r="L8" i="8" s="1"/>
  <c r="K8" i="8" a="1"/>
  <c r="K8" i="8" s="1"/>
  <c r="J8" i="8" a="1"/>
  <c r="J8" i="8" s="1"/>
  <c r="P7" i="8" a="1"/>
  <c r="P7" i="8" s="1"/>
  <c r="O7" i="8" a="1"/>
  <c r="O7" i="8" s="1"/>
  <c r="N7" i="8" a="1"/>
  <c r="N7" i="8" s="1"/>
  <c r="M7" i="8" a="1"/>
  <c r="M7" i="8" s="1"/>
  <c r="L7" i="8" a="1"/>
  <c r="L7" i="8" s="1"/>
  <c r="K7" i="8" a="1"/>
  <c r="K7" i="8" s="1"/>
  <c r="J7" i="8" a="1"/>
  <c r="J7" i="8" s="1"/>
  <c r="P6" i="8" a="1"/>
  <c r="P6" i="8" s="1"/>
  <c r="O6" i="8" a="1"/>
  <c r="O6" i="8" s="1"/>
  <c r="N6" i="8" a="1"/>
  <c r="N6" i="8" s="1"/>
  <c r="M6" i="8" a="1"/>
  <c r="M6" i="8" s="1"/>
  <c r="L6" i="8" a="1"/>
  <c r="L6" i="8" s="1"/>
  <c r="K6" i="8" a="1"/>
  <c r="K6" i="8" s="1"/>
  <c r="J6" i="8" a="1"/>
  <c r="J6" i="8" s="1"/>
  <c r="P5" i="8" a="1"/>
  <c r="P5" i="8" s="1"/>
  <c r="O5" i="8" a="1"/>
  <c r="O5" i="8" s="1"/>
  <c r="N5" i="8" a="1"/>
  <c r="N5" i="8" s="1"/>
  <c r="M5" i="8" a="1"/>
  <c r="M5" i="8" s="1"/>
  <c r="L5" i="8" a="1"/>
  <c r="L5" i="8" s="1"/>
  <c r="K5" i="8" a="1"/>
  <c r="K5" i="8" s="1"/>
  <c r="J5" i="8" a="1"/>
  <c r="J5" i="8" s="1"/>
  <c r="I19" i="8" a="1"/>
  <c r="I19" i="8" s="1"/>
  <c r="I18" i="8" a="1"/>
  <c r="I18" i="8" s="1"/>
  <c r="I17" i="8" a="1"/>
  <c r="I17" i="8" s="1"/>
  <c r="I16" i="8" a="1"/>
  <c r="I16" i="8" s="1"/>
  <c r="I15" i="8" a="1"/>
  <c r="I15" i="8" s="1"/>
  <c r="I14" i="8" a="1"/>
  <c r="I14" i="8" s="1"/>
  <c r="I13" i="8" a="1"/>
  <c r="I13" i="8" s="1"/>
  <c r="I12" i="8" a="1"/>
  <c r="I12" i="8" s="1"/>
  <c r="I11" i="8" a="1"/>
  <c r="I11" i="8" s="1"/>
  <c r="I10" i="8" a="1"/>
  <c r="I10" i="8" s="1"/>
  <c r="I9" i="8" a="1"/>
  <c r="I9" i="8" s="1"/>
  <c r="I8" i="8" a="1"/>
  <c r="I8" i="8" s="1"/>
  <c r="I7" i="8" a="1"/>
  <c r="I7" i="8" s="1"/>
  <c r="I6" i="8" a="1"/>
  <c r="I6" i="8" s="1"/>
  <c r="I5" i="8" a="1"/>
  <c r="I5" i="8" s="1"/>
  <c r="H19" i="8" a="1"/>
  <c r="H19" i="8" s="1"/>
  <c r="H18" i="8" a="1"/>
  <c r="H18" i="8" s="1"/>
  <c r="H17" i="8" a="1"/>
  <c r="H17" i="8" s="1"/>
  <c r="H16" i="8" a="1"/>
  <c r="H16" i="8" s="1"/>
  <c r="H15" i="8" a="1"/>
  <c r="H15" i="8" s="1"/>
  <c r="H14" i="8" a="1"/>
  <c r="H14" i="8" s="1"/>
  <c r="H13" i="8" a="1"/>
  <c r="H13" i="8" s="1"/>
  <c r="H12" i="8" a="1"/>
  <c r="H12" i="8" s="1"/>
  <c r="H11" i="8" a="1"/>
  <c r="H11" i="8" s="1"/>
  <c r="H10" i="8" a="1"/>
  <c r="H10" i="8" s="1"/>
  <c r="H9" i="8" a="1"/>
  <c r="H9" i="8" s="1"/>
  <c r="H8" i="8" a="1"/>
  <c r="H8" i="8" s="1"/>
  <c r="H7" i="8" a="1"/>
  <c r="H7" i="8" s="1"/>
  <c r="H6" i="8" a="1"/>
  <c r="H6" i="8" s="1"/>
  <c r="H5" i="8" a="1"/>
  <c r="H5" i="8" s="1"/>
  <c r="G19" i="8" a="1"/>
  <c r="G19" i="8" s="1"/>
  <c r="G18" i="8" a="1"/>
  <c r="G18" i="8" s="1"/>
  <c r="G17" i="8" a="1"/>
  <c r="G17" i="8" s="1"/>
  <c r="G16" i="8" a="1"/>
  <c r="G16" i="8" s="1"/>
  <c r="G15" i="8" a="1"/>
  <c r="G15" i="8" s="1"/>
  <c r="G14" i="8"/>
  <c r="G14" i="8" a="1"/>
  <c r="G13" i="8" a="1"/>
  <c r="G13" i="8" s="1"/>
  <c r="G12" i="8" a="1"/>
  <c r="G12" i="8" s="1"/>
  <c r="G11" i="8" a="1"/>
  <c r="G11" i="8" s="1"/>
  <c r="G10" i="8" a="1"/>
  <c r="G10" i="8" s="1"/>
  <c r="G9" i="8" a="1"/>
  <c r="G9" i="8" s="1"/>
  <c r="G8" i="8" a="1"/>
  <c r="G8" i="8" s="1"/>
  <c r="G7" i="8" a="1"/>
  <c r="G7" i="8" s="1"/>
  <c r="G6" i="8" a="1"/>
  <c r="G6" i="8" s="1"/>
  <c r="G5" i="8" a="1"/>
  <c r="G5" i="8" s="1"/>
  <c r="F19" i="8" a="1"/>
  <c r="F19" i="8" s="1"/>
  <c r="F18" i="8" a="1"/>
  <c r="F18" i="8" s="1"/>
  <c r="F17" i="8" a="1"/>
  <c r="F17" i="8" s="1"/>
  <c r="F16" i="8" a="1"/>
  <c r="F16" i="8" s="1"/>
  <c r="F15" i="8" a="1"/>
  <c r="F15" i="8" s="1"/>
  <c r="F14" i="8" a="1"/>
  <c r="F14" i="8" s="1"/>
  <c r="F13" i="8" a="1"/>
  <c r="F13" i="8" s="1"/>
  <c r="F12" i="8" a="1"/>
  <c r="F12" i="8" s="1"/>
  <c r="F11" i="8" a="1"/>
  <c r="F11" i="8" s="1"/>
  <c r="F10" i="8" a="1"/>
  <c r="F10" i="8" s="1"/>
  <c r="F9" i="8" a="1"/>
  <c r="F9" i="8" s="1"/>
  <c r="F8" i="8" a="1"/>
  <c r="F8" i="8" s="1"/>
  <c r="F7" i="8" a="1"/>
  <c r="F7" i="8" s="1"/>
  <c r="F6" i="8" a="1"/>
  <c r="F6" i="8" s="1"/>
  <c r="F5" i="8" a="1"/>
  <c r="F5" i="8" s="1"/>
  <c r="E19" i="8" a="1"/>
  <c r="E19" i="8" s="1"/>
  <c r="E18" i="8" a="1"/>
  <c r="E18" i="8" s="1"/>
  <c r="E17" i="8" a="1"/>
  <c r="E17" i="8" s="1"/>
  <c r="E16" i="8" a="1"/>
  <c r="E16" i="8" s="1"/>
  <c r="E15" i="8" a="1"/>
  <c r="E15" i="8" s="1"/>
  <c r="E14" i="8" a="1"/>
  <c r="E14" i="8" s="1"/>
  <c r="E13" i="8" a="1"/>
  <c r="E13" i="8" s="1"/>
  <c r="E12" i="8" a="1"/>
  <c r="E12" i="8" s="1"/>
  <c r="E11" i="8" a="1"/>
  <c r="E11" i="8" s="1"/>
  <c r="E10" i="8" a="1"/>
  <c r="E10" i="8" s="1"/>
  <c r="E9" i="8" a="1"/>
  <c r="E9" i="8" s="1"/>
  <c r="E8" i="8" a="1"/>
  <c r="E8" i="8" s="1"/>
  <c r="E7" i="8" a="1"/>
  <c r="E7" i="8" s="1"/>
  <c r="E6" i="8" a="1"/>
  <c r="E6" i="8" s="1"/>
  <c r="E5" i="8" a="1"/>
  <c r="E5" i="8" s="1"/>
  <c r="D19" i="8" a="1"/>
  <c r="D19" i="8" s="1"/>
  <c r="D18" i="8" a="1"/>
  <c r="D18" i="8" s="1"/>
  <c r="D17" i="8" a="1"/>
  <c r="D17" i="8" s="1"/>
  <c r="D16" i="8" a="1"/>
  <c r="D16" i="8" s="1"/>
  <c r="D15" i="8" a="1"/>
  <c r="D15" i="8" s="1"/>
  <c r="D14" i="8" a="1"/>
  <c r="D14" i="8" s="1"/>
  <c r="D13" i="8" a="1"/>
  <c r="D13" i="8" s="1"/>
  <c r="D12" i="8" a="1"/>
  <c r="D12" i="8" s="1"/>
  <c r="D11" i="8" a="1"/>
  <c r="D11" i="8" s="1"/>
  <c r="D10" i="8" a="1"/>
  <c r="D10" i="8" s="1"/>
  <c r="D9" i="8" a="1"/>
  <c r="D9" i="8" s="1"/>
  <c r="D8" i="8" a="1"/>
  <c r="D8" i="8" s="1"/>
  <c r="D7" i="8" a="1"/>
  <c r="D7" i="8" s="1"/>
  <c r="D6" i="8" a="1"/>
  <c r="D6" i="8" s="1"/>
  <c r="D5" i="8" a="1"/>
  <c r="D5" i="8" s="1"/>
  <c r="E4" i="8" a="1"/>
  <c r="E4" i="8" s="1"/>
  <c r="F4" i="8" a="1"/>
  <c r="F4" i="8"/>
  <c r="G4" i="8" a="1"/>
  <c r="G4" i="8"/>
  <c r="H4" i="8" a="1"/>
  <c r="H4" i="8" s="1"/>
  <c r="I4" i="8" a="1"/>
  <c r="I4" i="8"/>
  <c r="J4" i="8" a="1"/>
  <c r="J4" i="8"/>
  <c r="K4" i="8" a="1"/>
  <c r="K4" i="8"/>
  <c r="L4" i="8" a="1"/>
  <c r="L4" i="8"/>
  <c r="M4" i="8" a="1"/>
  <c r="M4" i="8"/>
  <c r="N4" i="8" a="1"/>
  <c r="N4" i="8" s="1"/>
  <c r="O4" i="8" a="1"/>
  <c r="O4" i="8"/>
  <c r="P4" i="8" a="1"/>
  <c r="P4" i="8" s="1"/>
  <c r="D4" i="8" a="1"/>
  <c r="D4" i="8" s="1"/>
  <c r="A1" i="8" s="1"/>
  <c r="D4" i="9"/>
  <c r="A4" i="9"/>
  <c r="E45" i="7"/>
  <c r="E44" i="7" l="1"/>
  <c r="E43" i="7"/>
  <c r="U19" i="8"/>
  <c r="T19" i="8"/>
  <c r="S19" i="8"/>
  <c r="R19" i="8"/>
  <c r="Q19" i="8"/>
  <c r="U18" i="8"/>
  <c r="T18" i="8"/>
  <c r="S18" i="8"/>
  <c r="R18" i="8"/>
  <c r="Q18" i="8"/>
  <c r="U17" i="8"/>
  <c r="T17" i="8"/>
  <c r="S17" i="8"/>
  <c r="R17" i="8"/>
  <c r="Q17" i="8"/>
  <c r="U16" i="8"/>
  <c r="T16" i="8"/>
  <c r="S16" i="8"/>
  <c r="R16" i="8"/>
  <c r="Q16" i="8"/>
  <c r="U15" i="8"/>
  <c r="T15" i="8"/>
  <c r="S15" i="8"/>
  <c r="R15" i="8"/>
  <c r="Q15" i="8"/>
  <c r="U14" i="8"/>
  <c r="T14" i="8"/>
  <c r="S14" i="8"/>
  <c r="R14" i="8"/>
  <c r="Q14" i="8"/>
  <c r="U13" i="8"/>
  <c r="T13" i="8"/>
  <c r="S13" i="8"/>
  <c r="R13" i="8"/>
  <c r="Q13" i="8"/>
  <c r="U12" i="8"/>
  <c r="T12" i="8"/>
  <c r="S12" i="8"/>
  <c r="R12" i="8"/>
  <c r="Q12" i="8"/>
  <c r="U11" i="8"/>
  <c r="T11" i="8"/>
  <c r="S11" i="8"/>
  <c r="R11" i="8"/>
  <c r="Q11" i="8"/>
  <c r="U10" i="8"/>
  <c r="T10" i="8"/>
  <c r="S10" i="8"/>
  <c r="R10" i="8"/>
  <c r="Q10" i="8"/>
  <c r="C17" i="3" s="1"/>
  <c r="U9" i="8"/>
  <c r="T9" i="8"/>
  <c r="S9" i="8"/>
  <c r="R9" i="8"/>
  <c r="Q9" i="8"/>
  <c r="U8" i="8"/>
  <c r="T8" i="8"/>
  <c r="S8" i="8"/>
  <c r="R8" i="8"/>
  <c r="Q8" i="8"/>
  <c r="U6" i="8"/>
  <c r="T6" i="8"/>
  <c r="S6" i="8"/>
  <c r="R6" i="8"/>
  <c r="Q6" i="8"/>
  <c r="U5" i="8"/>
  <c r="T5" i="8"/>
  <c r="S5" i="8"/>
  <c r="R5" i="8"/>
  <c r="Q5" i="8"/>
  <c r="U4" i="8"/>
  <c r="T4" i="8"/>
  <c r="S4" i="8"/>
  <c r="R4" i="8"/>
  <c r="Q4" i="8"/>
  <c r="C89" i="3"/>
  <c r="C88" i="3"/>
  <c r="E26" i="7" s="1"/>
  <c r="C67" i="3"/>
  <c r="C66" i="3"/>
  <c r="C62" i="3"/>
  <c r="C61" i="3"/>
  <c r="C60" i="3"/>
  <c r="C56" i="3"/>
  <c r="C55" i="3"/>
  <c r="C48" i="3"/>
  <c r="C47" i="3"/>
  <c r="C46" i="3"/>
  <c r="C43" i="3"/>
  <c r="C5" i="3"/>
  <c r="K42" i="7" s="1"/>
  <c r="AC3" i="8"/>
  <c r="E32" i="7" l="1"/>
  <c r="E31" i="7"/>
  <c r="K43" i="7"/>
  <c r="K44" i="7"/>
  <c r="K45" i="7"/>
  <c r="D54" i="6" s="1"/>
  <c r="E36" i="7"/>
  <c r="E35" i="7"/>
  <c r="E34" i="7"/>
  <c r="E33" i="7"/>
  <c r="E30" i="7"/>
  <c r="E29" i="7"/>
  <c r="E28" i="7"/>
  <c r="E27" i="7"/>
  <c r="E25" i="7"/>
  <c r="E24" i="7"/>
  <c r="D204" i="6"/>
  <c r="C3" i="2"/>
  <c r="E160" i="6" l="1"/>
  <c r="C78" i="7"/>
  <c r="C77" i="7"/>
  <c r="C76" i="7"/>
  <c r="C75" i="7"/>
  <c r="C74" i="7"/>
  <c r="C73" i="7"/>
  <c r="C72" i="7"/>
  <c r="C71" i="7"/>
  <c r="D260" i="6"/>
  <c r="D219" i="6"/>
  <c r="C26" i="7" l="1"/>
  <c r="C25" i="7"/>
  <c r="C24" i="7"/>
  <c r="B216" i="6"/>
  <c r="B217" i="6" s="1"/>
  <c r="B214" i="6"/>
  <c r="B213" i="6"/>
  <c r="D206" i="6"/>
  <c r="D203" i="6"/>
  <c r="D199" i="6"/>
  <c r="D198" i="6"/>
  <c r="D197" i="6"/>
  <c r="D216" i="6" l="1"/>
  <c r="D205" i="6"/>
  <c r="D200" i="6"/>
  <c r="D207" i="6" l="1"/>
  <c r="B32" i="2" s="1"/>
  <c r="B31" i="2"/>
  <c r="D368" i="6"/>
  <c r="D328" i="6"/>
  <c r="D266" i="6"/>
  <c r="D225" i="6"/>
  <c r="D177" i="6"/>
  <c r="D183" i="6" s="1"/>
  <c r="C96" i="7"/>
  <c r="C95" i="7"/>
  <c r="C94" i="7"/>
  <c r="C93" i="7"/>
  <c r="C92" i="7"/>
  <c r="C91" i="7"/>
  <c r="C90" i="7"/>
  <c r="C89" i="7"/>
  <c r="C88" i="7"/>
  <c r="C87" i="7"/>
  <c r="C84" i="7"/>
  <c r="C83" i="7"/>
  <c r="C82" i="7"/>
  <c r="C81" i="7"/>
  <c r="D31" i="6"/>
  <c r="D23" i="6" s="1"/>
  <c r="D45" i="6"/>
  <c r="C107" i="6"/>
  <c r="C106" i="6"/>
  <c r="C105" i="6"/>
  <c r="C104" i="6"/>
  <c r="C103" i="6"/>
  <c r="C102" i="6"/>
  <c r="C101" i="6"/>
  <c r="C100" i="6"/>
  <c r="E176" i="6"/>
  <c r="D44" i="6" l="1"/>
  <c r="D47" i="6" s="1"/>
  <c r="D37" i="6"/>
  <c r="D24" i="6" s="1"/>
  <c r="M37" i="2"/>
  <c r="M39" i="2" s="1"/>
  <c r="B30" i="2"/>
  <c r="D32" i="4"/>
  <c r="D28" i="4"/>
  <c r="D27" i="4"/>
  <c r="D24" i="4"/>
  <c r="D23" i="4"/>
  <c r="D20" i="4"/>
  <c r="D19" i="4"/>
  <c r="D16" i="4"/>
  <c r="D15" i="4"/>
  <c r="D12" i="4"/>
  <c r="D11" i="4"/>
  <c r="D8" i="4"/>
  <c r="D7" i="4"/>
  <c r="B37" i="2" l="1"/>
  <c r="D88" i="6"/>
  <c r="D76" i="6"/>
  <c r="D72" i="6"/>
  <c r="D67" i="6"/>
  <c r="D62" i="6"/>
  <c r="D58" i="6"/>
  <c r="B9" i="2"/>
  <c r="B8" i="2"/>
  <c r="B16" i="2"/>
  <c r="C16" i="2" s="1"/>
  <c r="B32" i="3"/>
  <c r="B29" i="3"/>
  <c r="D17" i="6" l="1"/>
  <c r="D16" i="6"/>
  <c r="D20" i="6"/>
  <c r="D19" i="6"/>
  <c r="D18" i="6"/>
  <c r="D10" i="6"/>
  <c r="D261" i="6" s="1"/>
  <c r="C66" i="7"/>
  <c r="F52" i="7"/>
  <c r="F51" i="7"/>
  <c r="F50" i="7"/>
  <c r="C33" i="7"/>
  <c r="C32" i="7"/>
  <c r="C31" i="7"/>
  <c r="C30" i="7"/>
  <c r="C29" i="7"/>
  <c r="C28" i="7"/>
  <c r="C27" i="7"/>
  <c r="E20" i="7"/>
  <c r="C421" i="6"/>
  <c r="C420" i="6"/>
  <c r="C419" i="6"/>
  <c r="C418" i="6"/>
  <c r="C416" i="6"/>
  <c r="C415" i="6"/>
  <c r="C414" i="6"/>
  <c r="C413" i="6"/>
  <c r="C411" i="6"/>
  <c r="C410" i="6"/>
  <c r="C409" i="6"/>
  <c r="C408" i="6"/>
  <c r="C406" i="6"/>
  <c r="C405" i="6"/>
  <c r="C404" i="6"/>
  <c r="C403" i="6"/>
  <c r="C401" i="6"/>
  <c r="C400" i="6"/>
  <c r="C399" i="6"/>
  <c r="C398" i="6"/>
  <c r="C396" i="6"/>
  <c r="C395" i="6"/>
  <c r="C394" i="6"/>
  <c r="C393" i="6"/>
  <c r="C391" i="6"/>
  <c r="C390" i="6"/>
  <c r="C389" i="6"/>
  <c r="C388" i="6"/>
  <c r="C386" i="6"/>
  <c r="C385" i="6"/>
  <c r="C384" i="6"/>
  <c r="C383" i="6"/>
  <c r="C381" i="6"/>
  <c r="C380" i="6"/>
  <c r="C379" i="6"/>
  <c r="A379" i="6"/>
  <c r="A384" i="6" s="1"/>
  <c r="A389" i="6" s="1"/>
  <c r="A394" i="6" s="1"/>
  <c r="A399" i="6" s="1"/>
  <c r="A404" i="6" s="1"/>
  <c r="A409" i="6" s="1"/>
  <c r="A414" i="6" s="1"/>
  <c r="A419" i="6" s="1"/>
  <c r="C378" i="6"/>
  <c r="C376" i="6"/>
  <c r="C375" i="6"/>
  <c r="C374" i="6"/>
  <c r="C373" i="6"/>
  <c r="C371" i="6"/>
  <c r="C366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A333" i="6"/>
  <c r="A335" i="6" s="1"/>
  <c r="A337" i="6" s="1"/>
  <c r="A339" i="6" s="1"/>
  <c r="A341" i="6" s="1"/>
  <c r="A343" i="6" s="1"/>
  <c r="A345" i="6" s="1"/>
  <c r="A347" i="6" s="1"/>
  <c r="A349" i="6" s="1"/>
  <c r="A351" i="6" s="1"/>
  <c r="A353" i="6" s="1"/>
  <c r="A355" i="6" s="1"/>
  <c r="A357" i="6" s="1"/>
  <c r="A359" i="6" s="1"/>
  <c r="C332" i="6"/>
  <c r="C331" i="6"/>
  <c r="C330" i="6"/>
  <c r="C329" i="6"/>
  <c r="C328" i="6"/>
  <c r="C326" i="6"/>
  <c r="C319" i="6"/>
  <c r="C318" i="6"/>
  <c r="C317" i="6"/>
  <c r="C316" i="6"/>
  <c r="C314" i="6"/>
  <c r="C313" i="6"/>
  <c r="C312" i="6"/>
  <c r="C311" i="6"/>
  <c r="C309" i="6"/>
  <c r="C308" i="6"/>
  <c r="C307" i="6"/>
  <c r="C306" i="6"/>
  <c r="C304" i="6"/>
  <c r="C303" i="6"/>
  <c r="C302" i="6"/>
  <c r="C301" i="6"/>
  <c r="C299" i="6"/>
  <c r="C298" i="6"/>
  <c r="C297" i="6"/>
  <c r="C296" i="6"/>
  <c r="C294" i="6"/>
  <c r="C293" i="6"/>
  <c r="C292" i="6"/>
  <c r="C291" i="6"/>
  <c r="C289" i="6"/>
  <c r="C288" i="6"/>
  <c r="C287" i="6"/>
  <c r="C286" i="6"/>
  <c r="C284" i="6"/>
  <c r="C283" i="6"/>
  <c r="C282" i="6"/>
  <c r="C281" i="6"/>
  <c r="C279" i="6"/>
  <c r="C278" i="6"/>
  <c r="C277" i="6"/>
  <c r="A277" i="6"/>
  <c r="A282" i="6" s="1"/>
  <c r="A287" i="6" s="1"/>
  <c r="A292" i="6" s="1"/>
  <c r="A297" i="6" s="1"/>
  <c r="A302" i="6" s="1"/>
  <c r="A307" i="6" s="1"/>
  <c r="A312" i="6" s="1"/>
  <c r="A317" i="6" s="1"/>
  <c r="C276" i="6"/>
  <c r="C274" i="6"/>
  <c r="C273" i="6"/>
  <c r="C272" i="6"/>
  <c r="C271" i="6"/>
  <c r="C269" i="6"/>
  <c r="C264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A230" i="6"/>
  <c r="A232" i="6" s="1"/>
  <c r="A234" i="6" s="1"/>
  <c r="A236" i="6" s="1"/>
  <c r="A238" i="6" s="1"/>
  <c r="A240" i="6" s="1"/>
  <c r="A242" i="6" s="1"/>
  <c r="A244" i="6" s="1"/>
  <c r="A246" i="6" s="1"/>
  <c r="A248" i="6" s="1"/>
  <c r="A250" i="6" s="1"/>
  <c r="A252" i="6" s="1"/>
  <c r="A254" i="6" s="1"/>
  <c r="A256" i="6" s="1"/>
  <c r="C229" i="6"/>
  <c r="C228" i="6"/>
  <c r="C227" i="6"/>
  <c r="C226" i="6"/>
  <c r="C192" i="6"/>
  <c r="C190" i="6"/>
  <c r="C189" i="6"/>
  <c r="C188" i="6"/>
  <c r="C187" i="6"/>
  <c r="C186" i="6"/>
  <c r="C184" i="6"/>
  <c r="C182" i="6"/>
  <c r="C181" i="6"/>
  <c r="C180" i="6"/>
  <c r="C172" i="6"/>
  <c r="E171" i="6"/>
  <c r="C171" i="6"/>
  <c r="E170" i="6"/>
  <c r="C170" i="6"/>
  <c r="E169" i="6"/>
  <c r="C169" i="6"/>
  <c r="E168" i="6"/>
  <c r="C168" i="6"/>
  <c r="E167" i="6"/>
  <c r="C167" i="6"/>
  <c r="E166" i="6"/>
  <c r="C166" i="6"/>
  <c r="E165" i="6"/>
  <c r="C165" i="6"/>
  <c r="E164" i="6"/>
  <c r="C164" i="6"/>
  <c r="E163" i="6"/>
  <c r="C163" i="6"/>
  <c r="E162" i="6"/>
  <c r="C162" i="6"/>
  <c r="E161" i="6"/>
  <c r="C161" i="6"/>
  <c r="C160" i="6"/>
  <c r="C155" i="6"/>
  <c r="E154" i="6"/>
  <c r="D154" i="6"/>
  <c r="C154" i="6"/>
  <c r="E153" i="6"/>
  <c r="C153" i="6"/>
  <c r="E152" i="6"/>
  <c r="C152" i="6"/>
  <c r="E151" i="6"/>
  <c r="D151" i="6"/>
  <c r="C151" i="6"/>
  <c r="D139" i="6"/>
  <c r="D138" i="6"/>
  <c r="D137" i="6"/>
  <c r="C131" i="6"/>
  <c r="C130" i="6"/>
  <c r="D129" i="6"/>
  <c r="D123" i="6"/>
  <c r="C114" i="6"/>
  <c r="C113" i="6"/>
  <c r="C112" i="6"/>
  <c r="C97" i="6"/>
  <c r="C95" i="6"/>
  <c r="C93" i="6"/>
  <c r="C91" i="6"/>
  <c r="C90" i="6"/>
  <c r="C89" i="6"/>
  <c r="C88" i="6"/>
  <c r="C78" i="6"/>
  <c r="C77" i="6"/>
  <c r="C74" i="6"/>
  <c r="C73" i="6"/>
  <c r="C70" i="6"/>
  <c r="C69" i="6"/>
  <c r="C68" i="6"/>
  <c r="C64" i="6"/>
  <c r="C63" i="6"/>
  <c r="C60" i="6"/>
  <c r="C59" i="6"/>
  <c r="C56" i="6"/>
  <c r="C55" i="6"/>
  <c r="C54" i="6"/>
  <c r="C53" i="6"/>
  <c r="C13" i="6"/>
  <c r="C14" i="6" s="1"/>
  <c r="B13" i="6"/>
  <c r="D11" i="6"/>
  <c r="C42" i="4"/>
  <c r="C40" i="4"/>
  <c r="C37" i="4"/>
  <c r="C33" i="4"/>
  <c r="C32" i="4"/>
  <c r="C29" i="4"/>
  <c r="C28" i="4"/>
  <c r="C25" i="4"/>
  <c r="C24" i="4"/>
  <c r="C21" i="4"/>
  <c r="C20" i="4"/>
  <c r="C17" i="4"/>
  <c r="C16" i="4"/>
  <c r="C13" i="4"/>
  <c r="C12" i="4"/>
  <c r="C9" i="4"/>
  <c r="C8" i="4"/>
  <c r="B5" i="4"/>
  <c r="D5" i="4" s="1"/>
  <c r="D4" i="4"/>
  <c r="D3" i="4"/>
  <c r="C85" i="3"/>
  <c r="B48" i="3"/>
  <c r="B47" i="3"/>
  <c r="B46" i="3"/>
  <c r="B43" i="3"/>
  <c r="B27" i="3"/>
  <c r="B25" i="3"/>
  <c r="B17" i="3"/>
  <c r="B15" i="3"/>
  <c r="C37" i="2"/>
  <c r="D34" i="2"/>
  <c r="C34" i="2"/>
  <c r="C32" i="2"/>
  <c r="C31" i="2"/>
  <c r="C8" i="2"/>
  <c r="B4" i="2"/>
  <c r="B34" i="2" s="1"/>
  <c r="B3" i="2"/>
  <c r="A3" i="2"/>
  <c r="D2" i="2"/>
  <c r="B2" i="2"/>
  <c r="A2" i="2"/>
  <c r="C1" i="2"/>
  <c r="B1" i="2"/>
  <c r="A1" i="2"/>
  <c r="D21" i="1"/>
  <c r="D20" i="1"/>
  <c r="D19" i="1"/>
  <c r="C30" i="2" l="1"/>
  <c r="M40" i="2"/>
  <c r="D40" i="4"/>
  <c r="D214" i="6"/>
  <c r="D213" i="6"/>
  <c r="D221" i="6"/>
  <c r="D262" i="6"/>
  <c r="D29" i="4"/>
  <c r="D9" i="4"/>
  <c r="D25" i="4"/>
  <c r="D13" i="4"/>
  <c r="D21" i="4" s="1"/>
  <c r="D220" i="6"/>
  <c r="D50" i="6"/>
  <c r="D13" i="6"/>
  <c r="D39" i="6"/>
  <c r="D21" i="6"/>
  <c r="D22" i="6" s="1"/>
  <c r="D82" i="6"/>
  <c r="D31" i="4"/>
  <c r="D33" i="4" s="1"/>
  <c r="D140" i="6"/>
  <c r="F53" i="7"/>
  <c r="E172" i="6"/>
  <c r="C9" i="2"/>
  <c r="D17" i="4" l="1"/>
  <c r="B14" i="2"/>
  <c r="D215" i="6"/>
  <c r="D84" i="6"/>
  <c r="D85" i="6" s="1"/>
  <c r="D87" i="6" s="1"/>
  <c r="D89" i="6" s="1"/>
  <c r="D28" i="6"/>
  <c r="D14" i="6"/>
  <c r="D25" i="6" s="1"/>
  <c r="D26" i="6" s="1"/>
  <c r="D53" i="6" s="1"/>
  <c r="D116" i="6"/>
  <c r="D142" i="6" s="1"/>
  <c r="D143" i="6" s="1"/>
  <c r="D48" i="6"/>
  <c r="D40" i="6"/>
  <c r="D41" i="6" s="1"/>
  <c r="C5" i="7" l="1"/>
  <c r="D90" i="6"/>
  <c r="D91" i="6" s="1"/>
  <c r="D51" i="6"/>
  <c r="D36" i="4" s="1"/>
  <c r="D37" i="4" s="1"/>
  <c r="B13" i="2" s="1"/>
  <c r="D125" i="6"/>
  <c r="D112" i="6" s="1"/>
  <c r="C7" i="7"/>
  <c r="B15" i="2"/>
  <c r="C15" i="2" s="1"/>
  <c r="C14" i="2"/>
  <c r="F153" i="6" l="1"/>
  <c r="C21" i="7"/>
  <c r="C22" i="7" s="1"/>
  <c r="E22" i="7" s="1"/>
  <c r="D100" i="6"/>
  <c r="D101" i="6" s="1"/>
  <c r="D102" i="6" s="1"/>
  <c r="D104" i="6" s="1"/>
  <c r="F154" i="6"/>
  <c r="F36" i="2"/>
  <c r="B19" i="2"/>
  <c r="C19" i="2" s="1"/>
  <c r="F151" i="6"/>
  <c r="F152" i="6"/>
  <c r="D27" i="6"/>
  <c r="B12" i="2"/>
  <c r="B5" i="2" s="1"/>
  <c r="D126" i="6"/>
  <c r="C6" i="7" s="1"/>
  <c r="D68" i="6"/>
  <c r="E35" i="2"/>
  <c r="C13" i="2"/>
  <c r="C12" i="2" s="1"/>
  <c r="D42" i="4"/>
  <c r="F155" i="6" l="1"/>
  <c r="F156" i="6" s="1"/>
  <c r="D93" i="6" s="1"/>
  <c r="B20" i="2" s="1"/>
  <c r="E39" i="2"/>
  <c r="D103" i="6"/>
  <c r="C23" i="7"/>
  <c r="E23" i="7" s="1"/>
  <c r="F39" i="2"/>
  <c r="F40" i="2" s="1"/>
  <c r="D105" i="6"/>
  <c r="D211" i="6"/>
  <c r="D145" i="6"/>
  <c r="D114" i="6" s="1"/>
  <c r="C5" i="2"/>
  <c r="C37" i="7"/>
  <c r="E37" i="7" s="1"/>
  <c r="C12" i="7"/>
  <c r="C11" i="7"/>
  <c r="C10" i="7"/>
  <c r="C13" i="7"/>
  <c r="C8" i="7"/>
  <c r="C9" i="7"/>
  <c r="D106" i="6" l="1"/>
  <c r="D107" i="6" s="1"/>
  <c r="E40" i="2"/>
  <c r="C20" i="2"/>
  <c r="C15" i="7"/>
  <c r="C17" i="7" s="1"/>
  <c r="D70" i="6"/>
  <c r="C38" i="7"/>
  <c r="E38" i="7" s="1"/>
  <c r="D189" i="6" l="1"/>
  <c r="E189" i="6" s="1"/>
  <c r="E140" i="7"/>
  <c r="E39" i="7"/>
  <c r="D179" i="6"/>
  <c r="D181" i="6" s="1"/>
  <c r="C39" i="7"/>
  <c r="G39" i="7" s="1"/>
  <c r="D326" i="6" l="1"/>
  <c r="D329" i="6" s="1"/>
  <c r="D330" i="6" s="1"/>
  <c r="B21" i="2"/>
  <c r="G36" i="2"/>
  <c r="D182" i="6"/>
  <c r="D190" i="6" s="1"/>
  <c r="E190" i="6" s="1"/>
  <c r="D55" i="6"/>
  <c r="D178" i="6"/>
  <c r="D56" i="6" l="1"/>
  <c r="D223" i="6" s="1"/>
  <c r="D226" i="6" s="1"/>
  <c r="D227" i="6" s="1"/>
  <c r="G39" i="2"/>
  <c r="C21" i="2"/>
  <c r="D180" i="6"/>
  <c r="D366" i="6" s="1"/>
  <c r="D188" i="6"/>
  <c r="E188" i="6" s="1"/>
  <c r="D331" i="6"/>
  <c r="D332" i="6" s="1"/>
  <c r="D264" i="6" l="1"/>
  <c r="D271" i="6" s="1"/>
  <c r="D272" i="6" s="1"/>
  <c r="D73" i="6"/>
  <c r="D74" i="6" s="1"/>
  <c r="H36" i="2" s="1"/>
  <c r="D77" i="6"/>
  <c r="D78" i="6" s="1"/>
  <c r="I36" i="2" s="1"/>
  <c r="I39" i="2" s="1"/>
  <c r="B24" i="2"/>
  <c r="J36" i="2"/>
  <c r="J39" i="2" s="1"/>
  <c r="G40" i="2"/>
  <c r="D184" i="6"/>
  <c r="D373" i="6"/>
  <c r="D374" i="6" s="1"/>
  <c r="D228" i="6"/>
  <c r="D229" i="6" s="1"/>
  <c r="D333" i="6"/>
  <c r="D334" i="6" s="1"/>
  <c r="D269" i="6" l="1"/>
  <c r="D273" i="6" s="1"/>
  <c r="D274" i="6" s="1"/>
  <c r="D276" i="6" s="1"/>
  <c r="D277" i="6" s="1"/>
  <c r="D278" i="6" s="1"/>
  <c r="D279" i="6" s="1"/>
  <c r="D281" i="6" s="1"/>
  <c r="B23" i="2"/>
  <c r="C23" i="2" s="1"/>
  <c r="B22" i="2"/>
  <c r="C22" i="2" s="1"/>
  <c r="H39" i="2"/>
  <c r="D371" i="6"/>
  <c r="D375" i="6" s="1"/>
  <c r="D376" i="6" s="1"/>
  <c r="D378" i="6" s="1"/>
  <c r="D379" i="6" s="1"/>
  <c r="D335" i="6"/>
  <c r="D336" i="6" s="1"/>
  <c r="D230" i="6"/>
  <c r="D231" i="6" s="1"/>
  <c r="H40" i="2" l="1"/>
  <c r="I40" i="2"/>
  <c r="C24" i="2"/>
  <c r="D380" i="6"/>
  <c r="D381" i="6" s="1"/>
  <c r="D383" i="6" s="1"/>
  <c r="D384" i="6" s="1"/>
  <c r="D385" i="6" s="1"/>
  <c r="D386" i="6" s="1"/>
  <c r="D388" i="6" s="1"/>
  <c r="D232" i="6"/>
  <c r="D233" i="6" s="1"/>
  <c r="D337" i="6"/>
  <c r="D338" i="6" s="1"/>
  <c r="D282" i="6"/>
  <c r="D283" i="6" s="1"/>
  <c r="D284" i="6" s="1"/>
  <c r="D286" i="6" s="1"/>
  <c r="D389" i="6" l="1"/>
  <c r="D390" i="6" s="1"/>
  <c r="D391" i="6" s="1"/>
  <c r="D393" i="6" s="1"/>
  <c r="D339" i="6"/>
  <c r="D186" i="6" s="1"/>
  <c r="D287" i="6"/>
  <c r="D288" i="6" s="1"/>
  <c r="D289" i="6" s="1"/>
  <c r="D291" i="6" s="1"/>
  <c r="D234" i="6"/>
  <c r="D235" i="6" s="1"/>
  <c r="J40" i="2" l="1"/>
  <c r="E186" i="6"/>
  <c r="D236" i="6"/>
  <c r="D59" i="6" s="1"/>
  <c r="D394" i="6"/>
  <c r="D292" i="6"/>
  <c r="D340" i="6"/>
  <c r="D63" i="6" l="1"/>
  <c r="D64" i="6" s="1"/>
  <c r="D60" i="6"/>
  <c r="D237" i="6"/>
  <c r="D238" i="6" s="1"/>
  <c r="D239" i="6" s="1"/>
  <c r="D293" i="6"/>
  <c r="D294" i="6" s="1"/>
  <c r="D296" i="6" s="1"/>
  <c r="D187" i="6"/>
  <c r="D192" i="6" s="1"/>
  <c r="D95" i="6" s="1"/>
  <c r="D395" i="6"/>
  <c r="D396" i="6" s="1"/>
  <c r="D398" i="6" s="1"/>
  <c r="D341" i="6"/>
  <c r="D342" i="6" s="1"/>
  <c r="K36" i="2" l="1"/>
  <c r="B25" i="2"/>
  <c r="C25" i="2" s="1"/>
  <c r="E187" i="6"/>
  <c r="L36" i="2" s="1"/>
  <c r="D130" i="6"/>
  <c r="D240" i="6"/>
  <c r="D241" i="6" s="1"/>
  <c r="D399" i="6"/>
  <c r="D400" i="6" s="1"/>
  <c r="D401" i="6" s="1"/>
  <c r="D403" i="6" s="1"/>
  <c r="D297" i="6"/>
  <c r="D298" i="6" s="1"/>
  <c r="D299" i="6" s="1"/>
  <c r="D301" i="6" s="1"/>
  <c r="D343" i="6"/>
  <c r="D344" i="6" s="1"/>
  <c r="K39" i="2" l="1"/>
  <c r="K40" i="2" s="1"/>
  <c r="N36" i="2"/>
  <c r="D212" i="6"/>
  <c r="D217" i="6" s="1"/>
  <c r="L35" i="2" s="1"/>
  <c r="D131" i="6"/>
  <c r="D113" i="6" s="1"/>
  <c r="D345" i="6"/>
  <c r="D346" i="6" s="1"/>
  <c r="D242" i="6"/>
  <c r="D243" i="6" s="1"/>
  <c r="D302" i="6"/>
  <c r="D303" i="6" s="1"/>
  <c r="D304" i="6" s="1"/>
  <c r="D306" i="6" s="1"/>
  <c r="D404" i="6"/>
  <c r="D405" i="6" s="1"/>
  <c r="D406" i="6" s="1"/>
  <c r="D408" i="6" s="1"/>
  <c r="B26" i="2" l="1"/>
  <c r="B18" i="2" s="1"/>
  <c r="B28" i="2" s="1"/>
  <c r="B7" i="2" s="1"/>
  <c r="N35" i="2"/>
  <c r="N39" i="2" s="1"/>
  <c r="L39" i="2"/>
  <c r="B36" i="2"/>
  <c r="D69" i="6"/>
  <c r="D97" i="6" s="1"/>
  <c r="D409" i="6"/>
  <c r="D410" i="6" s="1"/>
  <c r="D411" i="6" s="1"/>
  <c r="D413" i="6" s="1"/>
  <c r="D307" i="6"/>
  <c r="D308" i="6" s="1"/>
  <c r="D309" i="6" s="1"/>
  <c r="D311" i="6" s="1"/>
  <c r="D244" i="6"/>
  <c r="D245" i="6" s="1"/>
  <c r="D347" i="6"/>
  <c r="D348" i="6" s="1"/>
  <c r="B6" i="2" l="1"/>
  <c r="C6" i="2" s="1"/>
  <c r="L40" i="2"/>
  <c r="C26" i="2"/>
  <c r="C18" i="2" s="1"/>
  <c r="B35" i="2"/>
  <c r="C35" i="2" s="1"/>
  <c r="N40" i="2"/>
  <c r="C36" i="2"/>
  <c r="D312" i="6"/>
  <c r="D313" i="6" s="1"/>
  <c r="D314" i="6" s="1"/>
  <c r="D316" i="6" s="1"/>
  <c r="D349" i="6"/>
  <c r="D350" i="6" s="1"/>
  <c r="D246" i="6"/>
  <c r="D247" i="6" s="1"/>
  <c r="D414" i="6"/>
  <c r="D415" i="6" s="1"/>
  <c r="D416" i="6" s="1"/>
  <c r="D418" i="6" s="1"/>
  <c r="C28" i="2"/>
  <c r="B10" i="2" l="1"/>
  <c r="D30" i="2" s="1"/>
  <c r="C39" i="2"/>
  <c r="B39" i="2"/>
  <c r="D39" i="2" s="1"/>
  <c r="D248" i="6"/>
  <c r="D249" i="6" s="1"/>
  <c r="D317" i="6"/>
  <c r="D318" i="6" s="1"/>
  <c r="D319" i="6" s="1"/>
  <c r="C7" i="2"/>
  <c r="C10" i="2" s="1"/>
  <c r="D419" i="6"/>
  <c r="D420" i="6" s="1"/>
  <c r="D421" i="6" s="1"/>
  <c r="D351" i="6"/>
  <c r="D352" i="6" s="1"/>
  <c r="D13" i="2" l="1"/>
  <c r="D24" i="2"/>
  <c r="D20" i="2"/>
  <c r="D31" i="2"/>
  <c r="D12" i="2"/>
  <c r="D15" i="2"/>
  <c r="D14" i="2"/>
  <c r="D19" i="2"/>
  <c r="D21" i="2"/>
  <c r="D7" i="2"/>
  <c r="D28" i="2"/>
  <c r="D6" i="2"/>
  <c r="D26" i="2"/>
  <c r="D16" i="2"/>
  <c r="D32" i="2"/>
  <c r="D18" i="2"/>
  <c r="D8" i="2"/>
  <c r="D9" i="2"/>
  <c r="D10" i="2"/>
  <c r="D25" i="2"/>
  <c r="D22" i="2"/>
  <c r="D23" i="2"/>
  <c r="D5" i="2"/>
  <c r="D37" i="2"/>
  <c r="C40" i="2"/>
  <c r="D36" i="2"/>
  <c r="D35" i="2"/>
  <c r="B40" i="2"/>
  <c r="D353" i="6"/>
  <c r="D354" i="6" s="1"/>
  <c r="D250" i="6"/>
  <c r="D251" i="6" s="1"/>
  <c r="D252" i="6" l="1"/>
  <c r="D253" i="6" s="1"/>
  <c r="D355" i="6"/>
  <c r="D356" i="6" s="1"/>
  <c r="D357" i="6" l="1"/>
  <c r="D358" i="6" s="1"/>
  <c r="D359" i="6" s="1"/>
  <c r="D254" i="6"/>
  <c r="D255" i="6" s="1"/>
  <c r="D256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<sst xmlns="http://schemas.openxmlformats.org/spreadsheetml/2006/main" count="984" uniqueCount="543">
  <si>
    <t>Details</t>
  </si>
  <si>
    <t>Unit</t>
  </si>
  <si>
    <t>Assumption</t>
  </si>
  <si>
    <t>Rationale</t>
  </si>
  <si>
    <t>Source</t>
  </si>
  <si>
    <t>Screenshot</t>
  </si>
  <si>
    <t>Financials</t>
  </si>
  <si>
    <t>Land Area</t>
  </si>
  <si>
    <t>SQM</t>
  </si>
  <si>
    <t>Building Area</t>
  </si>
  <si>
    <t>Land Cost</t>
  </si>
  <si>
    <t>₹/SQM</t>
  </si>
  <si>
    <t xml:space="preserve"> - Cost for Industrial land in the area of supplier</t>
  </si>
  <si>
    <t>Industrial Land for sale in Silvassa | Buy 88+ Industrial Plots in Silvassa</t>
  </si>
  <si>
    <t>2177 SQFT  = ₹ 30 lakhs
1 SQFT  = ₹ 1378.04 
0.0929 SQM = ₹ 1378.04
1 SQM = 1378.04 / 0.0929 = ₹ 14,833.58</t>
  </si>
  <si>
    <t>Building Cost</t>
  </si>
  <si>
    <t xml:space="preserve"> - Cost of Constructing Building &amp; Industrial Shed in the area of supplier</t>
  </si>
  <si>
    <t>Factory for sale in Silvassa | Buy 165+ Industrial Building in Silvassa</t>
  </si>
  <si>
    <t>16140 SQFT  = ₹ 5.5cr
1 SQFT  = ₹ 3407.68 
0.0929 SQM = ₹ 3407.68
1 SQM = 3407.68 / 0.0929 = ₹ 36,681.16</t>
  </si>
  <si>
    <t>Lease Cost</t>
  </si>
  <si>
    <t xml:space="preserve"> - Cost of leasing factory Land &amp; Building in area of supplier</t>
  </si>
  <si>
    <t>Factory for Rent in Silvassa | Rental Factory in Silvassa</t>
  </si>
  <si>
    <t>26900 SQFT  = ₹ 39 lakhs
1 SQFT  = ₹ 144.98 
0.0929 SQM = ₹ 144.98
1 SQM = 144.98 / 0.0929 = ₹ 1,560.60</t>
  </si>
  <si>
    <t>Type of Premises</t>
  </si>
  <si>
    <t>Option to select whether factory is leased or owned</t>
  </si>
  <si>
    <t>Depreciation on Building</t>
  </si>
  <si>
    <t>%</t>
  </si>
  <si>
    <t xml:space="preserve"> - As per Income Tax Act
 - Compensates the company for utilizing the building in production activities &amp; ensures its upkeep. </t>
  </si>
  <si>
    <t>https://incometaxindia.gov.in/charts%20%20tables/depreciation%20rates.htm</t>
  </si>
  <si>
    <t>Depreciation on Plant and Machinery</t>
  </si>
  <si>
    <t xml:space="preserve"> - Applied on a reducing balance basis over a period of up to 15 years
 - Accounts for ongoing wear &amp; tear caused by extreme operating conditions, with certain components requiring replacement every 5 to 10 years</t>
  </si>
  <si>
    <t>Interest on Long Term Loan</t>
  </si>
  <si>
    <t xml:space="preserve"> - based on prevailing banking interest rates in the country
 - Calculated basis Simple Interest
 - Assumption that all assets &amp; replacements are fully financed through bank loans</t>
  </si>
  <si>
    <t>Business Loan Interest Rates, Fees &amp; Charges (October 2025) | HDFC Bank</t>
  </si>
  <si>
    <t>Interest on Working Capital</t>
  </si>
  <si>
    <t xml:space="preserve"> - Based on prevailing banking interest rates in the country</t>
  </si>
  <si>
    <t>Bill Discounting Scheme - NSIC : National Small Industries Corporation Ltd.</t>
  </si>
  <si>
    <t>Electricity</t>
  </si>
  <si>
    <t>₹/KWH</t>
  </si>
  <si>
    <t xml:space="preserve"> - Rate assumed for the industrial use as prevalent in the specific area of the country.</t>
  </si>
  <si>
    <t>Rpair &amp; Maintenance</t>
  </si>
  <si>
    <t xml:space="preserve"> - Regular Maintenance for wear &amp; tear of Machines</t>
  </si>
  <si>
    <t>Other Overheads</t>
  </si>
  <si>
    <t xml:space="preserve"> - Cover any costs like Administrative costs, Office space, Travel &amp; Logistics, IT, communication, HR &amp; Training Costs, Compliance &amp; Certifications, etc</t>
  </si>
  <si>
    <t>Manpower Details</t>
  </si>
  <si>
    <t>Skilled Labour</t>
  </si>
  <si>
    <t>₹/ Annum</t>
  </si>
  <si>
    <t>Annual Salary + Benefits
 - Employer’s contributions to Provident Fund(12%)
 - Employer’s Pension (4.81%)
 - Bonus - 10%</t>
  </si>
  <si>
    <t>Machine operator salary in Silvassa, Dadra and Nagar Haveli</t>
  </si>
  <si>
    <t>Engineer</t>
  </si>
  <si>
    <t>Engineer salary in Silvassa, Dadra and Nagar Haveli</t>
  </si>
  <si>
    <t>Production Manager</t>
  </si>
  <si>
    <t>Production manager salary in Silvassa, Dadra and Nagar Haveli</t>
  </si>
  <si>
    <t>No of Shifts</t>
  </si>
  <si>
    <t>SKU Code</t>
  </si>
  <si>
    <t>EUR/1000</t>
  </si>
  <si>
    <t>% of Total Cost</t>
  </si>
  <si>
    <t>Material</t>
  </si>
  <si>
    <t>Conversion</t>
  </si>
  <si>
    <t>Margin</t>
  </si>
  <si>
    <t>Packaging</t>
  </si>
  <si>
    <t xml:space="preserve">Freight </t>
  </si>
  <si>
    <t>Total</t>
  </si>
  <si>
    <t>Material Cost</t>
  </si>
  <si>
    <t>Resin</t>
  </si>
  <si>
    <t>Masterbatch</t>
  </si>
  <si>
    <t>Conversion Cost</t>
  </si>
  <si>
    <t>Labour-Direct</t>
  </si>
  <si>
    <t>Labour-Indirect</t>
  </si>
  <si>
    <t>Repair &amp; Maintenance</t>
  </si>
  <si>
    <t>Lease</t>
  </si>
  <si>
    <t>Depreciation</t>
  </si>
  <si>
    <t>Interest</t>
  </si>
  <si>
    <t>Distribution</t>
  </si>
  <si>
    <t>Packgaging</t>
  </si>
  <si>
    <t>Freight</t>
  </si>
  <si>
    <t>Process Costing</t>
  </si>
  <si>
    <t>Energy</t>
  </si>
  <si>
    <t>Labour</t>
  </si>
  <si>
    <t>Repairs</t>
  </si>
  <si>
    <t>Other OH</t>
  </si>
  <si>
    <t>Shipping</t>
  </si>
  <si>
    <t>Dispatch</t>
  </si>
  <si>
    <t>SKU Description</t>
  </si>
  <si>
    <t>Country</t>
  </si>
  <si>
    <t>India</t>
  </si>
  <si>
    <t>Currency</t>
  </si>
  <si>
    <t>INR</t>
  </si>
  <si>
    <t>Supplier</t>
  </si>
  <si>
    <t>Slivassa</t>
  </si>
  <si>
    <t>Costing Period</t>
  </si>
  <si>
    <t>Sep25</t>
  </si>
  <si>
    <t xml:space="preserve">Annual Volume </t>
  </si>
  <si>
    <t>pcs</t>
  </si>
  <si>
    <t>Material Details</t>
  </si>
  <si>
    <t>Weight</t>
  </si>
  <si>
    <t>g</t>
  </si>
  <si>
    <t>Layer 1 Ratio</t>
  </si>
  <si>
    <t>Layer 1 Polymer Type</t>
  </si>
  <si>
    <t>* Please select from Drop down list</t>
  </si>
  <si>
    <t>HDPE</t>
  </si>
  <si>
    <t>Layer 1 Polymer Grade</t>
  </si>
  <si>
    <t>B56003</t>
  </si>
  <si>
    <t>Layer 1 Polymer Rate</t>
  </si>
  <si>
    <t>Layer 1 Masterbatch Dosage</t>
  </si>
  <si>
    <t>Layer 1 Masterbatch Rate</t>
  </si>
  <si>
    <t>Layer 2 Ratio</t>
  </si>
  <si>
    <t>Layer 2 Regrind Ratio</t>
  </si>
  <si>
    <t>Layer 2 Polymer Type</t>
  </si>
  <si>
    <t>Layer 2 Polymer Grade</t>
  </si>
  <si>
    <t>Layer 2 Polymer Rate</t>
  </si>
  <si>
    <t>Layer 2 Masterbatch Dosage</t>
  </si>
  <si>
    <t>Layer 2 Masterbatch Rate</t>
  </si>
  <si>
    <t>Mould Cavitation</t>
  </si>
  <si>
    <t>Nos</t>
  </si>
  <si>
    <t>Mould Cycle Time</t>
  </si>
  <si>
    <t>Secs</t>
  </si>
  <si>
    <t>Machine Model &amp; Tonnage</t>
  </si>
  <si>
    <t>Electricity Rate</t>
  </si>
  <si>
    <t>Manpower Cost</t>
  </si>
  <si>
    <t>Overheads</t>
  </si>
  <si>
    <t>Repair &amp; Maintainance</t>
  </si>
  <si>
    <t>Machine Value</t>
  </si>
  <si>
    <t>Completed life of asset</t>
  </si>
  <si>
    <t>Years</t>
  </si>
  <si>
    <t>Premises</t>
  </si>
  <si>
    <t>INR Per Sq Mtr</t>
  </si>
  <si>
    <t>₹</t>
  </si>
  <si>
    <t>Owned</t>
  </si>
  <si>
    <t>Margin Calculation</t>
  </si>
  <si>
    <t>% of Conversion Cost</t>
  </si>
  <si>
    <t>Bottles Per Box</t>
  </si>
  <si>
    <t>Boxes Per Pallet</t>
  </si>
  <si>
    <t>Pallet Type</t>
  </si>
  <si>
    <t>Standard Pallet</t>
  </si>
  <si>
    <t>Type of Container</t>
  </si>
  <si>
    <t>22 feet / 24 feet</t>
  </si>
  <si>
    <t>Freight cost per container</t>
  </si>
  <si>
    <t>Days per Year</t>
  </si>
  <si>
    <t>Shifts per Day</t>
  </si>
  <si>
    <t>Hours per Day</t>
  </si>
  <si>
    <t>Efficiency</t>
  </si>
  <si>
    <t>Available hours per year</t>
  </si>
  <si>
    <t>Exchange Rates</t>
  </si>
  <si>
    <t>Label Cost</t>
  </si>
  <si>
    <t>Layer 1 Resin Cost</t>
  </si>
  <si>
    <t>Layer 1 Masterbatch Cost</t>
  </si>
  <si>
    <t>Layer 2 Resin Cost</t>
  </si>
  <si>
    <t>Layer 2 Masterbatch Cost</t>
  </si>
  <si>
    <t>Other Costs</t>
  </si>
  <si>
    <t>Production</t>
  </si>
  <si>
    <t>Capacity Required</t>
  </si>
  <si>
    <t>Output / Hour</t>
  </si>
  <si>
    <t>Output / Annum</t>
  </si>
  <si>
    <t>No of Machines Required</t>
  </si>
  <si>
    <t>Capacity Utilized</t>
  </si>
  <si>
    <t>Actual Production Hours / Annum</t>
  </si>
  <si>
    <t>Hours</t>
  </si>
  <si>
    <t xml:space="preserve">Time Required for Set Up </t>
  </si>
  <si>
    <t>Mins</t>
  </si>
  <si>
    <t>Time required Ramp Up</t>
  </si>
  <si>
    <t>Machine Speed at Ramp Up</t>
  </si>
  <si>
    <t>Pcs/ Min</t>
  </si>
  <si>
    <t>No of Component Wasted</t>
  </si>
  <si>
    <t>Machine Cost</t>
  </si>
  <si>
    <t>Robotic Arm</t>
  </si>
  <si>
    <t>Ancilliary Equipments</t>
  </si>
  <si>
    <t>Total Investment</t>
  </si>
  <si>
    <t>RM</t>
  </si>
  <si>
    <t>FG</t>
  </si>
  <si>
    <t>Warehouse</t>
  </si>
  <si>
    <t>cz</t>
  </si>
  <si>
    <t>Power</t>
  </si>
  <si>
    <t>Consumption</t>
  </si>
  <si>
    <t xml:space="preserve">  Main</t>
  </si>
  <si>
    <t>KWH</t>
  </si>
  <si>
    <t xml:space="preserve">  Ancilliary</t>
  </si>
  <si>
    <t xml:space="preserve">  Total</t>
  </si>
  <si>
    <t>Actual usage</t>
  </si>
  <si>
    <t>Running Load</t>
  </si>
  <si>
    <t>Electricity Cost</t>
  </si>
  <si>
    <t>Electricity Cost / Annum</t>
  </si>
  <si>
    <t>Direct Manpower</t>
  </si>
  <si>
    <t>Indirect Conversion Cost</t>
  </si>
  <si>
    <t>Working Capital Calculations</t>
  </si>
  <si>
    <t>Inventory Holding Cost</t>
  </si>
  <si>
    <t>Warehousing Cost</t>
  </si>
  <si>
    <t>Annual Volume</t>
  </si>
  <si>
    <t>RM Inventory</t>
  </si>
  <si>
    <t>Silo Size</t>
  </si>
  <si>
    <t xml:space="preserve">  Dia</t>
  </si>
  <si>
    <t>Ft</t>
  </si>
  <si>
    <t xml:space="preserve">  Height</t>
  </si>
  <si>
    <t>Capacity of Silo in Tons</t>
  </si>
  <si>
    <t>Tons</t>
  </si>
  <si>
    <t>Area Required + Gang ways</t>
  </si>
  <si>
    <t xml:space="preserve">RM Inventory </t>
  </si>
  <si>
    <t>Days</t>
  </si>
  <si>
    <t>Resin Inventory</t>
  </si>
  <si>
    <t>Area required for RM inventory</t>
  </si>
  <si>
    <t xml:space="preserve">For FG Holding Cost Purpose only </t>
  </si>
  <si>
    <t xml:space="preserve">Weight </t>
  </si>
  <si>
    <t>FG Inventory</t>
  </si>
  <si>
    <t>Rack Size (LxDxH)</t>
  </si>
  <si>
    <t>Mtrs</t>
  </si>
  <si>
    <t xml:space="preserve"> 2.5x1x6</t>
  </si>
  <si>
    <t>Boxes per Pallet</t>
  </si>
  <si>
    <t>No of stacks on pallet  rack</t>
  </si>
  <si>
    <t>Total boxes per rack height</t>
  </si>
  <si>
    <t>Rack Size + Gangway</t>
  </si>
  <si>
    <t>Bottles per box</t>
  </si>
  <si>
    <t>Components per rack vertically</t>
  </si>
  <si>
    <t>Total FG Inventory (pcs)</t>
  </si>
  <si>
    <t>Area required for FG Inventory</t>
  </si>
  <si>
    <t>Total area required for inventory</t>
  </si>
  <si>
    <t>No.</t>
  </si>
  <si>
    <t>Annual Salary</t>
  </si>
  <si>
    <t>Total Salary</t>
  </si>
  <si>
    <t>**1 Operator for 4 Machines per shift</t>
  </si>
  <si>
    <t>Material Handler</t>
  </si>
  <si>
    <t>**1 Handler for 4 Machine per shift</t>
  </si>
  <si>
    <t>**1 Engineer for 15 Machine per shift</t>
  </si>
  <si>
    <t>**1 Production Manager for Morning Shift &amp; Night shift for full factory</t>
  </si>
  <si>
    <t>Average Hourly Rate</t>
  </si>
  <si>
    <t>Indirect Manpower</t>
  </si>
  <si>
    <t>Tool Room Machinist</t>
  </si>
  <si>
    <t>** 1 Machinist for Tool room; 2 shifts only</t>
  </si>
  <si>
    <t>Tool Room Manager</t>
  </si>
  <si>
    <t>** 1 Manager for Tool room; 2 shifts only</t>
  </si>
  <si>
    <t>Procurement</t>
  </si>
  <si>
    <t>Logistics Manager</t>
  </si>
  <si>
    <t>Safety Manager</t>
  </si>
  <si>
    <t>Safety Asst</t>
  </si>
  <si>
    <t>Quality Manager</t>
  </si>
  <si>
    <t>Asst Quality Manager</t>
  </si>
  <si>
    <t>Security</t>
  </si>
  <si>
    <t>** 3 per shift</t>
  </si>
  <si>
    <t>Housekeeping</t>
  </si>
  <si>
    <t>Mover &amp; Loader</t>
  </si>
  <si>
    <t>General Manager</t>
  </si>
  <si>
    <t>Common Investment Allocation</t>
  </si>
  <si>
    <t>Area of Land</t>
  </si>
  <si>
    <t>Area of Building</t>
  </si>
  <si>
    <t>Total Common Cost</t>
  </si>
  <si>
    <t>Depreciation Schedule - Machinery &amp;Anciliary</t>
  </si>
  <si>
    <t>Investment Cost</t>
  </si>
  <si>
    <t>Salvage Value</t>
  </si>
  <si>
    <t>Net Assets for Year 1</t>
  </si>
  <si>
    <t>Depreciation for Year 1</t>
  </si>
  <si>
    <t>Net Assets for Year 2</t>
  </si>
  <si>
    <t>Depreciation for Year 2</t>
  </si>
  <si>
    <t>Net Assets for Year 3</t>
  </si>
  <si>
    <t>Depreciation for Year 3</t>
  </si>
  <si>
    <t>Net Assets for Year 4</t>
  </si>
  <si>
    <t>Depreciation for Year 4</t>
  </si>
  <si>
    <t>Net Assets for Year 5</t>
  </si>
  <si>
    <t>Depreciation for Year 5</t>
  </si>
  <si>
    <t>Net Assets for Year 6</t>
  </si>
  <si>
    <t>Depreciation for Year 6</t>
  </si>
  <si>
    <t>Net Assets for Year 7</t>
  </si>
  <si>
    <t>Depreciation for Year 7</t>
  </si>
  <si>
    <t>Net Assets for Year 8</t>
  </si>
  <si>
    <t>Depreciation for Year 8</t>
  </si>
  <si>
    <t>Net Assets for Year 9</t>
  </si>
  <si>
    <t>Depreciation for Year 9</t>
  </si>
  <si>
    <t>Net Assets for Year 10</t>
  </si>
  <si>
    <t>Depreciation for Year 10</t>
  </si>
  <si>
    <t>Net Assets for Year 11</t>
  </si>
  <si>
    <t>Depreciation for Year 11</t>
  </si>
  <si>
    <t>Net Assets for Year 12</t>
  </si>
  <si>
    <t>Depreciation for Year 12</t>
  </si>
  <si>
    <t>Net Assets for Year 13</t>
  </si>
  <si>
    <t>Depreciation for Year 13</t>
  </si>
  <si>
    <t>Net Assets for Year 14</t>
  </si>
  <si>
    <t>Depreciation for Year 14</t>
  </si>
  <si>
    <t>Net Assets for Year 15</t>
  </si>
  <si>
    <t>Depreciation for Year 15</t>
  </si>
  <si>
    <t>Interest Schedule - Main</t>
  </si>
  <si>
    <t>Investment</t>
  </si>
  <si>
    <t>Loan Tenure</t>
  </si>
  <si>
    <t>No of Payments / Year</t>
  </si>
  <si>
    <t>EMI</t>
  </si>
  <si>
    <t>Beginning Balance</t>
  </si>
  <si>
    <t>Principal</t>
  </si>
  <si>
    <t>Ending Balance</t>
  </si>
  <si>
    <t xml:space="preserve">Depreciation Schedule - Building </t>
  </si>
  <si>
    <t>Common Cost</t>
  </si>
  <si>
    <t>Net Asset for Year 1</t>
  </si>
  <si>
    <t>Net Asset for Year 2</t>
  </si>
  <si>
    <t>Net Asset for Year 3</t>
  </si>
  <si>
    <t>Net Asset for Year 4</t>
  </si>
  <si>
    <t>Net Asset for Year 5</t>
  </si>
  <si>
    <t>Net Asset for Year 6</t>
  </si>
  <si>
    <t>Net Asset for Year 7</t>
  </si>
  <si>
    <t>Net Asset for Year 8</t>
  </si>
  <si>
    <t>Net Asset for Year 9</t>
  </si>
  <si>
    <t>Net Asset for Year 10</t>
  </si>
  <si>
    <t>Net Asset for Year 11</t>
  </si>
  <si>
    <t>Net Asset for Year 12</t>
  </si>
  <si>
    <t>Net Asset for Year 13</t>
  </si>
  <si>
    <t>Net Asset for Year 14</t>
  </si>
  <si>
    <t>Net Asset for Year 15</t>
  </si>
  <si>
    <t>Interest Schedule - Others</t>
  </si>
  <si>
    <t>EBM</t>
  </si>
  <si>
    <t>Area Type</t>
  </si>
  <si>
    <t>Recommended Size (SQM)</t>
  </si>
  <si>
    <t>Notes</t>
  </si>
  <si>
    <t xml:space="preserve"> IMM Production Hall</t>
  </si>
  <si>
    <t>Including space between machines, operator walkways</t>
  </si>
  <si>
    <t xml:space="preserve"> Raw Material Storage</t>
  </si>
  <si>
    <t>Silo + bag storage, covered with material loaders, fire safety</t>
  </si>
  <si>
    <t>Finished Goods Warehouse</t>
  </si>
  <si>
    <t>3–5 days buffer stock, stacked pallets, racking possible</t>
  </si>
  <si>
    <t xml:space="preserve"> Tool Room &amp; Mould Storage</t>
  </si>
  <si>
    <t>For in-use and spare moulds; includes EOT crane space</t>
  </si>
  <si>
    <t xml:space="preserve"> QA, Testing &amp; Lab</t>
  </si>
  <si>
    <t>QC, testing, documentation</t>
  </si>
  <si>
    <t xml:space="preserve"> Maintenance + Utility Block</t>
  </si>
  <si>
    <t>Compressor, pump room, electrical panels, workshop</t>
  </si>
  <si>
    <t>Office/Admin Block</t>
  </si>
  <si>
    <t>Planning, HR, finance, customer service, etc.</t>
  </si>
  <si>
    <t>Canteen &amp; Washrooms</t>
  </si>
  <si>
    <t>Based on workforce (~150–200 people)</t>
  </si>
  <si>
    <t>Loading/Unloading Bays</t>
  </si>
  <si>
    <t>5 Bays - Dock-level bays for raw/finished goods</t>
  </si>
  <si>
    <t>Future Expansion</t>
  </si>
  <si>
    <t>Total Built Up Area</t>
  </si>
  <si>
    <t>FSI</t>
  </si>
  <si>
    <t>List of Auxillary Equipments</t>
  </si>
  <si>
    <t>Equipment List</t>
  </si>
  <si>
    <t>No of Machines</t>
  </si>
  <si>
    <t>Hopper Dryer</t>
  </si>
  <si>
    <t>Hopper Loader</t>
  </si>
  <si>
    <t>Industrial Chiller</t>
  </si>
  <si>
    <t>* check Volume &amp; change number of chillers needed</t>
  </si>
  <si>
    <t>Plastic Granulator</t>
  </si>
  <si>
    <t>Doser Unit</t>
  </si>
  <si>
    <t>Lab Equipment</t>
  </si>
  <si>
    <t>Forklift</t>
  </si>
  <si>
    <t>* 4 Numbers</t>
  </si>
  <si>
    <t>Generator for Power</t>
  </si>
  <si>
    <t>* estimate</t>
  </si>
  <si>
    <t>Water &amp; Air Pipe lines</t>
  </si>
  <si>
    <t>Stabilizer &amp; Electric connections</t>
  </si>
  <si>
    <t>Fire Safety Equipment</t>
  </si>
  <si>
    <t>PLC + HMI + basic sensorization + simple reject + wiring for Spray coating Automation</t>
  </si>
  <si>
    <t>Dehumidifier</t>
  </si>
  <si>
    <t>Compressors / Silos / Utilities</t>
  </si>
  <si>
    <t xml:space="preserve">Supply Chain Capex </t>
  </si>
  <si>
    <t>Air Conditioning</t>
  </si>
  <si>
    <t>* 2350 per 1500 SQFT</t>
  </si>
  <si>
    <t>Contingencies</t>
  </si>
  <si>
    <t>* contingencies</t>
  </si>
  <si>
    <t>Total Cost</t>
  </si>
  <si>
    <t>Machine Details</t>
  </si>
  <si>
    <t>EUR</t>
  </si>
  <si>
    <t>Type</t>
  </si>
  <si>
    <t>Make</t>
  </si>
  <si>
    <t>Model</t>
  </si>
  <si>
    <t>Power Consumption KWH</t>
  </si>
  <si>
    <t>Speed</t>
  </si>
  <si>
    <t>Machine Footprint SQM</t>
  </si>
  <si>
    <t>Shrink Film</t>
  </si>
  <si>
    <t>Pallet Size</t>
  </si>
  <si>
    <t>L in mm</t>
  </si>
  <si>
    <t>LW</t>
  </si>
  <si>
    <t>W in mm</t>
  </si>
  <si>
    <t>WH</t>
  </si>
  <si>
    <t>H in mm</t>
  </si>
  <si>
    <t>LH</t>
  </si>
  <si>
    <t>Cubic Metre</t>
  </si>
  <si>
    <t>Break Up of charges on Machine Imported</t>
  </si>
  <si>
    <t>** Import Duty not added as usually it is allowable as deduction from Local authorities for business development</t>
  </si>
  <si>
    <t>Import Duty</t>
  </si>
  <si>
    <t>International Freight</t>
  </si>
  <si>
    <t>Insurance</t>
  </si>
  <si>
    <t>Shipping line &amp; Port charges</t>
  </si>
  <si>
    <t>Detention charges</t>
  </si>
  <si>
    <t>CHA charegs</t>
  </si>
  <si>
    <t>Local Freight</t>
  </si>
  <si>
    <t>Installation &amp; Commissioning</t>
  </si>
  <si>
    <t>Bank Charges</t>
  </si>
  <si>
    <t>Resin Type</t>
  </si>
  <si>
    <t>PP</t>
  </si>
  <si>
    <t>rPP</t>
  </si>
  <si>
    <t>rHDPE</t>
  </si>
  <si>
    <t>LLDPE</t>
  </si>
  <si>
    <t>LDPE</t>
  </si>
  <si>
    <t>% of Material &amp; Conversion Cost</t>
  </si>
  <si>
    <t>Euro Pallet</t>
  </si>
  <si>
    <t>19 Feet</t>
  </si>
  <si>
    <t>26 feet</t>
  </si>
  <si>
    <t>32 feet</t>
  </si>
  <si>
    <t>20 Feet Container</t>
  </si>
  <si>
    <t>40 Feet Container</t>
  </si>
  <si>
    <t>Type of Pallet</t>
  </si>
  <si>
    <t>₹/kg</t>
  </si>
  <si>
    <t>$/kg</t>
  </si>
  <si>
    <t>Leased</t>
  </si>
  <si>
    <t>Assumption- Area of land (SQM)</t>
  </si>
  <si>
    <t>ISBM 1</t>
  </si>
  <si>
    <t>ASB</t>
  </si>
  <si>
    <t>ASB 70 DPH V4</t>
  </si>
  <si>
    <t>ASB 70 DPW</t>
  </si>
  <si>
    <t>Manufacturing Process</t>
  </si>
  <si>
    <t>PET</t>
  </si>
  <si>
    <t>Bottle Mono PE CMT220ml19g W/O MB PCR70%</t>
  </si>
  <si>
    <t>rPET</t>
  </si>
  <si>
    <t>ISBM 1.5 / 2</t>
  </si>
  <si>
    <t>Step 1</t>
  </si>
  <si>
    <t>Layer 1 UV Additive Dosage</t>
  </si>
  <si>
    <t>Layer 1 UV Additive Rate</t>
  </si>
  <si>
    <t>Layer 1 UV Additive Cost</t>
  </si>
  <si>
    <t>Anti-Scratch Coating Rate</t>
  </si>
  <si>
    <t>Anti-Scratch Coating Ratio</t>
  </si>
  <si>
    <t>Layer 2 UV Additive Dosage</t>
  </si>
  <si>
    <t>Layer 2 UV Additive Rate</t>
  </si>
  <si>
    <t>Layer 2 UV Additive Cost</t>
  </si>
  <si>
    <t>Anti-Scratch Coating Cost</t>
  </si>
  <si>
    <t>UV Additives</t>
  </si>
  <si>
    <t>Anti-Scratch Coating</t>
  </si>
  <si>
    <t>Inventory Holding</t>
  </si>
  <si>
    <t>RM Inventory Holding</t>
  </si>
  <si>
    <t>FG Inventory Holding</t>
  </si>
  <si>
    <t>Payment Terms</t>
  </si>
  <si>
    <t>RM Payment term</t>
  </si>
  <si>
    <t>No of days</t>
  </si>
  <si>
    <t>FG Payment term</t>
  </si>
  <si>
    <t>Boxes Per Container</t>
  </si>
  <si>
    <t>Shipper Cost</t>
  </si>
  <si>
    <t>Polybag Cost</t>
  </si>
  <si>
    <t>Mould Capex</t>
  </si>
  <si>
    <t>Basic Mould Cost</t>
  </si>
  <si>
    <t>Freight &amp; Insurance</t>
  </si>
  <si>
    <t>Total Mould Cost</t>
  </si>
  <si>
    <t>Duties &amp; Taxes</t>
  </si>
  <si>
    <t>Mould Maker Travel cost for installation &amp; commissioning</t>
  </si>
  <si>
    <t>Trial Costs</t>
  </si>
  <si>
    <t>Final Mould Cost</t>
  </si>
  <si>
    <t>Mould Cost</t>
  </si>
  <si>
    <t>Preform &amp; ISBM Mould</t>
  </si>
  <si>
    <t>Cavity</t>
  </si>
  <si>
    <t>Cost</t>
  </si>
  <si>
    <t>* ISBM 1</t>
  </si>
  <si>
    <t>Blow Mould</t>
  </si>
  <si>
    <t>EBM Mould</t>
  </si>
  <si>
    <t>Preform Change Over</t>
  </si>
  <si>
    <t>No of Set Ups/Year</t>
  </si>
  <si>
    <t>No of Set Up / Year</t>
  </si>
  <si>
    <t>Set Up Wastage</t>
  </si>
  <si>
    <t>Preform Ramp Up</t>
  </si>
  <si>
    <t>No of Ramp Ups/Year</t>
  </si>
  <si>
    <t>No of Component Wasted at Ramp Up</t>
  </si>
  <si>
    <t>Ramp Up Wastage</t>
  </si>
  <si>
    <t>Core &amp; Cavity Change Over</t>
  </si>
  <si>
    <t>Time Required for Set Up</t>
  </si>
  <si>
    <t>Machine Speed at Set up</t>
  </si>
  <si>
    <t>No of Components Wasted at Set up</t>
  </si>
  <si>
    <t>Burning Loss</t>
  </si>
  <si>
    <t>Preform Wastage</t>
  </si>
  <si>
    <t>Min</t>
  </si>
  <si>
    <t>Pcs/Min</t>
  </si>
  <si>
    <t>Preform Facility Area</t>
  </si>
  <si>
    <t xml:space="preserve">Packing </t>
  </si>
  <si>
    <t>Total Packing Cost</t>
  </si>
  <si>
    <t>INR / 1000 pcs</t>
  </si>
  <si>
    <t>Delivery</t>
  </si>
  <si>
    <t>Bottles Per Container</t>
  </si>
  <si>
    <t>Delivery Cost</t>
  </si>
  <si>
    <t>INR /000</t>
  </si>
  <si>
    <t>Net cash gap</t>
  </si>
  <si>
    <t>Packing &amp; Delivery</t>
  </si>
  <si>
    <t xml:space="preserve">ISBM 1 </t>
  </si>
  <si>
    <t>XXXXX</t>
  </si>
  <si>
    <t>Resin Dryer</t>
  </si>
  <si>
    <t>Feedstock</t>
  </si>
  <si>
    <t>Bottle</t>
  </si>
  <si>
    <t xml:space="preserve"> €/kg</t>
  </si>
  <si>
    <t>Single-step injection stretch blow molding</t>
  </si>
  <si>
    <t>Interest on Long Term Loan (Land &amp; Building)</t>
  </si>
  <si>
    <t>Hours Required for Set up</t>
  </si>
  <si>
    <t>Hours Required for Ramp Up</t>
  </si>
  <si>
    <t>Hours Required for Production</t>
  </si>
  <si>
    <t>Currency Symbol</t>
  </si>
  <si>
    <t>Exchange rate with Euro</t>
  </si>
  <si>
    <t>Exchange rate with USD</t>
  </si>
  <si>
    <t>Vietnam</t>
  </si>
  <si>
    <t>Vietnamese Dong</t>
  </si>
  <si>
    <t>VND</t>
  </si>
  <si>
    <t>Philippines</t>
  </si>
  <si>
    <t>Philippines Pesos</t>
  </si>
  <si>
    <t>PHP</t>
  </si>
  <si>
    <t>China</t>
  </si>
  <si>
    <t>Chinese Yuan</t>
  </si>
  <si>
    <t>CNY</t>
  </si>
  <si>
    <t>kWH</t>
  </si>
  <si>
    <t>per sqm</t>
  </si>
  <si>
    <t>KM</t>
  </si>
  <si>
    <t>Euro</t>
  </si>
  <si>
    <t>USD</t>
  </si>
  <si>
    <t>Argentina</t>
  </si>
  <si>
    <t>Argentinian Pesos</t>
  </si>
  <si>
    <t>ARS</t>
  </si>
  <si>
    <t>Brazil</t>
  </si>
  <si>
    <t>Brazilian Reals</t>
  </si>
  <si>
    <t>BRL</t>
  </si>
  <si>
    <t>France</t>
  </si>
  <si>
    <t xml:space="preserve">Euros </t>
  </si>
  <si>
    <t>Germany</t>
  </si>
  <si>
    <t>Hungary</t>
  </si>
  <si>
    <t>Hungarian Forints</t>
  </si>
  <si>
    <t>HUF</t>
  </si>
  <si>
    <t>Indian Rupees</t>
  </si>
  <si>
    <t>Indonesia</t>
  </si>
  <si>
    <t>Indonesian Rupiah</t>
  </si>
  <si>
    <t>IDR</t>
  </si>
  <si>
    <t>Mexico</t>
  </si>
  <si>
    <t>Mexican Pesos</t>
  </si>
  <si>
    <t>MXN</t>
  </si>
  <si>
    <t>Pakistan</t>
  </si>
  <si>
    <t>Pakistani Rupees</t>
  </si>
  <si>
    <t>PKR</t>
  </si>
  <si>
    <t>South Africa</t>
  </si>
  <si>
    <t>South African Rand</t>
  </si>
  <si>
    <t>ZAR</t>
  </si>
  <si>
    <t>Turkey</t>
  </si>
  <si>
    <t>Turkish Lira</t>
  </si>
  <si>
    <t>TRY</t>
  </si>
  <si>
    <t>United Kingdom</t>
  </si>
  <si>
    <t>British Pounds</t>
  </si>
  <si>
    <t>GBP</t>
  </si>
  <si>
    <t>United States</t>
  </si>
  <si>
    <t>U.S. Dollars</t>
  </si>
  <si>
    <t>* User may input as required</t>
  </si>
  <si>
    <t>Sl No</t>
  </si>
  <si>
    <t>Date</t>
  </si>
  <si>
    <t>Cost INR/ TH</t>
  </si>
  <si>
    <t>Change</t>
  </si>
  <si>
    <t>Reason</t>
  </si>
  <si>
    <t>17thDec25</t>
  </si>
  <si>
    <t>18thDec25</t>
  </si>
  <si>
    <t>Change in Land &amp; Building Cost per sq mt &amp; Labour Rate</t>
  </si>
  <si>
    <t>Depreciation on P&amp;M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</si>
</sst>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 * #,##0.00_ ;_ * \-#,##0.00_ ;_ * &quot;-&quot;??_ ;_ @_ "/>
    <numFmt numFmtId="165" formatCode="_ * #,##0.0_ ;_ * \-#,##0.0_ ;_ * &quot;-&quot;??_ ;_ @_ "/>
    <numFmt numFmtId="166" formatCode="_(* #,##0_);_(* \(#,##0\);_(* &quot;-&quot;??_);_(@_)"/>
    <numFmt numFmtId="167" formatCode="0.0%"/>
    <numFmt numFmtId="168" formatCode="_(* #,##0.0_);_(* \(#,##0.0\);_(* &quot;-&quot;??_);_(@_)"/>
    <numFmt numFmtId="169" formatCode="_ * #,##0_ ;_ * \-#,##0_ ;_ * &quot;-&quot;??_ ;_ @_ "/>
    <numFmt numFmtId="170" formatCode="_(* #,##0.0_);_(* \(#,##0.0\);_(* &quot;-&quot;?_);_(@_)"/>
    <numFmt numFmtId="171" formatCode="_ * #,##0_ ;_ * \-#,##0_ ;_ * &quot;-&quot;?_ ;_ @_ "/>
    <numFmt numFmtId="172" formatCode="_([$€-2]\ * #,##0.00_);_([$€-2]\ * \(#,##0.00\);_([$€-2]\ * &quot;-&quot;??_);_(@_)"/>
    <numFmt numFmtId="173" formatCode="_ * #,##0.0_ ;_ * \-#,##0.0_ ;_ * &quot;-&quot;?_ ;_ @_ "/>
    <numFmt numFmtId="174" formatCode="0.0"/>
  </numFmts>
  <fonts count="21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u/>
      <sz val="9"/>
      <color theme="1"/>
      <name val="Calibri"/>
      <family val="2"/>
    </font>
    <font>
      <u/>
      <sz val="9"/>
      <color theme="10"/>
      <name val="Calibri"/>
      <family val="2"/>
    </font>
    <font>
      <sz val="9"/>
      <color theme="1"/>
      <name val="Aptos Narrow"/>
      <family val="2"/>
      <scheme val="minor"/>
    </font>
    <font>
      <u/>
      <sz val="9"/>
      <color theme="1"/>
      <name val="Calibri"/>
      <family val="2"/>
    </font>
    <font>
      <sz val="9"/>
      <color rgb="FF000000"/>
      <name val="Calibri"/>
      <family val="2"/>
    </font>
    <font>
      <b/>
      <i/>
      <sz val="9"/>
      <color rgb="FF0070C0"/>
      <name val="Calibri"/>
      <family val="2"/>
    </font>
    <font>
      <b/>
      <sz val="9"/>
      <color rgb="FF000000"/>
      <name val="Calibri"/>
      <family val="2"/>
    </font>
    <font>
      <sz val="9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</fills>
  <borders count="2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</borders>
  <cellStyleXfs count="10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164" fontId="3" fillId="0" borderId="0" applyFont="0" applyFill="0" applyBorder="0" applyAlignment="0" applyProtection="0"/>
  </cellStyleXfs>
  <cellXfs count="225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165" fontId="7" fillId="0" borderId="1" xfId="1" applyNumberFormat="1" applyFont="1" applyBorder="1" applyAlignment="1">
      <alignment vertical="center" wrapText="1"/>
    </xf>
    <xf numFmtId="43" fontId="7" fillId="0" borderId="1" xfId="1" applyFont="1" applyBorder="1" applyAlignment="1">
      <alignment vertical="center" wrapText="1"/>
    </xf>
    <xf numFmtId="0" fontId="9" fillId="0" borderId="0" xfId="3" applyFont="1" applyAlignment="1">
      <alignment vertical="top" wrapText="1"/>
    </xf>
    <xf numFmtId="0" fontId="7" fillId="0" borderId="2" xfId="0" applyFont="1" applyBorder="1" applyAlignment="1">
      <alignment vertical="center" wrapText="1"/>
    </xf>
    <xf numFmtId="0" fontId="10" fillId="0" borderId="0" xfId="0" applyFont="1" applyAlignment="1">
      <alignment wrapText="1"/>
    </xf>
    <xf numFmtId="4" fontId="7" fillId="0" borderId="1" xfId="0" applyNumberFormat="1" applyFont="1" applyBorder="1" applyAlignment="1">
      <alignment vertical="center" wrapText="1"/>
    </xf>
    <xf numFmtId="0" fontId="7" fillId="0" borderId="1" xfId="0" applyFont="1" applyBorder="1"/>
    <xf numFmtId="0" fontId="7" fillId="0" borderId="1" xfId="0" applyFont="1" applyBorder="1" applyAlignment="1">
      <alignment vertical="top" wrapText="1"/>
    </xf>
    <xf numFmtId="9" fontId="7" fillId="0" borderId="1" xfId="2" applyFont="1" applyBorder="1" applyAlignment="1">
      <alignment vertical="center" wrapText="1"/>
    </xf>
    <xf numFmtId="0" fontId="9" fillId="0" borderId="1" xfId="3" applyFont="1" applyBorder="1" applyAlignment="1">
      <alignment vertical="top" wrapText="1"/>
    </xf>
    <xf numFmtId="10" fontId="7" fillId="0" borderId="1" xfId="2" applyNumberFormat="1" applyFont="1" applyBorder="1" applyAlignment="1">
      <alignment vertical="center" wrapText="1"/>
    </xf>
    <xf numFmtId="10" fontId="7" fillId="0" borderId="1" xfId="1" applyNumberFormat="1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9" fillId="0" borderId="0" xfId="3" applyFont="1" applyAlignment="1">
      <alignment vertical="top"/>
    </xf>
    <xf numFmtId="43" fontId="7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7" fillId="0" borderId="0" xfId="0" quotePrefix="1" applyFont="1" applyAlignment="1">
      <alignment horizontal="right"/>
    </xf>
    <xf numFmtId="0" fontId="6" fillId="0" borderId="0" xfId="0" applyFont="1"/>
    <xf numFmtId="0" fontId="11" fillId="0" borderId="0" xfId="0" applyFont="1"/>
    <xf numFmtId="9" fontId="7" fillId="0" borderId="0" xfId="0" applyNumberFormat="1" applyFont="1"/>
    <xf numFmtId="0" fontId="13" fillId="0" borderId="0" xfId="0" applyFont="1"/>
    <xf numFmtId="167" fontId="7" fillId="0" borderId="0" xfId="0" applyNumberFormat="1" applyFont="1"/>
    <xf numFmtId="10" fontId="7" fillId="0" borderId="0" xfId="2" applyNumberFormat="1" applyFont="1" applyFill="1" applyBorder="1"/>
    <xf numFmtId="9" fontId="7" fillId="0" borderId="0" xfId="0" applyNumberFormat="1" applyFont="1" applyAlignment="1">
      <alignment horizontal="right"/>
    </xf>
    <xf numFmtId="169" fontId="7" fillId="0" borderId="0" xfId="1" applyNumberFormat="1" applyFont="1" applyFill="1" applyBorder="1"/>
    <xf numFmtId="164" fontId="7" fillId="0" borderId="0" xfId="0" applyNumberFormat="1" applyFont="1"/>
    <xf numFmtId="165" fontId="7" fillId="0" borderId="0" xfId="1" applyNumberFormat="1" applyFont="1" applyFill="1" applyBorder="1"/>
    <xf numFmtId="43" fontId="7" fillId="0" borderId="0" xfId="1" applyFont="1" applyFill="1" applyBorder="1"/>
    <xf numFmtId="0" fontId="14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67" fontId="12" fillId="0" borderId="0" xfId="0" applyNumberFormat="1" applyFont="1" applyAlignment="1">
      <alignment horizontal="right"/>
    </xf>
    <xf numFmtId="168" fontId="7" fillId="0" borderId="0" xfId="1" applyNumberFormat="1" applyFont="1" applyFill="1" applyBorder="1" applyAlignment="1">
      <alignment horizontal="right"/>
    </xf>
    <xf numFmtId="0" fontId="8" fillId="0" borderId="0" xfId="0" applyFont="1"/>
    <xf numFmtId="165" fontId="7" fillId="0" borderId="0" xfId="1" applyNumberFormat="1" applyFont="1" applyFill="1" applyBorder="1" applyAlignment="1">
      <alignment horizontal="right"/>
    </xf>
    <xf numFmtId="166" fontId="7" fillId="0" borderId="0" xfId="1" applyNumberFormat="1" applyFont="1" applyFill="1" applyBorder="1" applyAlignment="1">
      <alignment horizontal="right"/>
    </xf>
    <xf numFmtId="9" fontId="7" fillId="0" borderId="0" xfId="2" applyFont="1" applyFill="1" applyBorder="1" applyAlignment="1">
      <alignment horizontal="right"/>
    </xf>
    <xf numFmtId="0" fontId="4" fillId="0" borderId="0" xfId="0" applyFont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1" xfId="1" applyFont="1" applyFill="1" applyBorder="1" applyAlignment="1">
      <alignment horizontal="right"/>
    </xf>
    <xf numFmtId="0" fontId="7" fillId="0" borderId="1" xfId="0" applyFont="1" applyBorder="1" applyAlignment="1">
      <alignment horizontal="left"/>
    </xf>
    <xf numFmtId="165" fontId="7" fillId="3" borderId="1" xfId="1" applyNumberFormat="1" applyFont="1" applyFill="1" applyBorder="1"/>
    <xf numFmtId="9" fontId="7" fillId="3" borderId="1" xfId="2" applyFont="1" applyFill="1" applyBorder="1"/>
    <xf numFmtId="169" fontId="7" fillId="3" borderId="1" xfId="1" applyNumberFormat="1" applyFont="1" applyFill="1" applyBorder="1"/>
    <xf numFmtId="165" fontId="7" fillId="3" borderId="1" xfId="0" applyNumberFormat="1" applyFont="1" applyFill="1" applyBorder="1"/>
    <xf numFmtId="0" fontId="11" fillId="0" borderId="1" xfId="0" applyFont="1" applyBorder="1"/>
    <xf numFmtId="0" fontId="6" fillId="0" borderId="1" xfId="0" applyFont="1" applyBorder="1"/>
    <xf numFmtId="165" fontId="6" fillId="3" borderId="1" xfId="1" applyNumberFormat="1" applyFont="1" applyFill="1" applyBorder="1"/>
    <xf numFmtId="169" fontId="7" fillId="3" borderId="1" xfId="0" applyNumberFormat="1" applyFont="1" applyFill="1" applyBorder="1"/>
    <xf numFmtId="0" fontId="6" fillId="0" borderId="1" xfId="0" applyFont="1" applyBorder="1" applyAlignment="1">
      <alignment horizontal="left"/>
    </xf>
    <xf numFmtId="168" fontId="7" fillId="0" borderId="0" xfId="1" applyNumberFormat="1" applyFont="1" applyAlignment="1">
      <alignment horizontal="right"/>
    </xf>
    <xf numFmtId="0" fontId="8" fillId="0" borderId="1" xfId="0" applyFont="1" applyBorder="1"/>
    <xf numFmtId="168" fontId="7" fillId="0" borderId="1" xfId="1" applyNumberFormat="1" applyFont="1" applyBorder="1" applyAlignment="1">
      <alignment horizontal="right"/>
    </xf>
    <xf numFmtId="168" fontId="7" fillId="4" borderId="1" xfId="1" applyNumberFormat="1" applyFont="1" applyFill="1" applyBorder="1" applyAlignment="1">
      <alignment horizontal="right"/>
    </xf>
    <xf numFmtId="9" fontId="7" fillId="4" borderId="1" xfId="2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1" xfId="1" applyNumberFormat="1" applyFont="1" applyFill="1" applyBorder="1" applyAlignment="1">
      <alignment horizontal="right"/>
    </xf>
    <xf numFmtId="0" fontId="15" fillId="0" borderId="0" xfId="0" applyFont="1"/>
    <xf numFmtId="168" fontId="7" fillId="5" borderId="1" xfId="1" applyNumberFormat="1" applyFont="1" applyFill="1" applyBorder="1" applyAlignment="1">
      <alignment horizontal="right"/>
    </xf>
    <xf numFmtId="43" fontId="7" fillId="4" borderId="1" xfId="1" applyFont="1" applyFill="1" applyBorder="1" applyAlignment="1">
      <alignment horizontal="right"/>
    </xf>
    <xf numFmtId="170" fontId="7" fillId="0" borderId="0" xfId="0" applyNumberFormat="1" applyFont="1"/>
    <xf numFmtId="0" fontId="7" fillId="0" borderId="20" xfId="0" applyFont="1" applyBorder="1"/>
    <xf numFmtId="168" fontId="7" fillId="0" borderId="20" xfId="1" applyNumberFormat="1" applyFont="1" applyBorder="1" applyAlignment="1">
      <alignment horizontal="right"/>
    </xf>
    <xf numFmtId="0" fontId="7" fillId="0" borderId="21" xfId="0" applyFont="1" applyBorder="1"/>
    <xf numFmtId="168" fontId="6" fillId="2" borderId="1" xfId="1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/>
    </xf>
    <xf numFmtId="168" fontId="7" fillId="0" borderId="1" xfId="0" applyNumberFormat="1" applyFont="1" applyBorder="1"/>
    <xf numFmtId="0" fontId="0" fillId="0" borderId="1" xfId="0" applyBorder="1"/>
    <xf numFmtId="169" fontId="7" fillId="3" borderId="1" xfId="7" applyNumberFormat="1" applyFont="1" applyFill="1" applyBorder="1"/>
    <xf numFmtId="168" fontId="7" fillId="3" borderId="1" xfId="1" applyNumberFormat="1" applyFont="1" applyFill="1" applyBorder="1"/>
    <xf numFmtId="168" fontId="7" fillId="0" borderId="1" xfId="1" applyNumberFormat="1" applyFont="1" applyBorder="1"/>
    <xf numFmtId="0" fontId="6" fillId="0" borderId="0" xfId="8" applyFont="1"/>
    <xf numFmtId="0" fontId="15" fillId="0" borderId="0" xfId="8" applyFont="1"/>
    <xf numFmtId="0" fontId="6" fillId="2" borderId="1" xfId="8" applyFont="1" applyFill="1" applyBorder="1" applyAlignment="1">
      <alignment horizontal="center" vertical="center"/>
    </xf>
    <xf numFmtId="0" fontId="6" fillId="2" borderId="22" xfId="8" applyFont="1" applyFill="1" applyBorder="1" applyAlignment="1">
      <alignment vertical="center"/>
    </xf>
    <xf numFmtId="0" fontId="6" fillId="2" borderId="1" xfId="8" applyFont="1" applyFill="1" applyBorder="1"/>
    <xf numFmtId="0" fontId="6" fillId="2" borderId="1" xfId="8" applyFont="1" applyFill="1" applyBorder="1" applyAlignment="1">
      <alignment horizontal="center"/>
    </xf>
    <xf numFmtId="166" fontId="6" fillId="2" borderId="1" xfId="1" applyNumberFormat="1" applyFont="1" applyFill="1" applyBorder="1" applyAlignment="1">
      <alignment horizontal="center"/>
    </xf>
    <xf numFmtId="0" fontId="6" fillId="0" borderId="1" xfId="8" applyFont="1" applyBorder="1"/>
    <xf numFmtId="10" fontId="6" fillId="3" borderId="1" xfId="6" applyNumberFormat="1" applyFont="1" applyFill="1" applyBorder="1" applyAlignment="1"/>
    <xf numFmtId="0" fontId="6" fillId="2" borderId="1" xfId="0" applyFont="1" applyFill="1" applyBorder="1" applyAlignment="1">
      <alignment horizontal="right"/>
    </xf>
    <xf numFmtId="0" fontId="6" fillId="0" borderId="23" xfId="8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vertical="center"/>
    </xf>
    <xf numFmtId="43" fontId="6" fillId="2" borderId="1" xfId="1" applyFont="1" applyFill="1" applyBorder="1" applyAlignment="1">
      <alignment horizontal="center" wrapText="1"/>
    </xf>
    <xf numFmtId="168" fontId="7" fillId="3" borderId="1" xfId="1" applyNumberFormat="1" applyFont="1" applyFill="1" applyBorder="1" applyAlignment="1">
      <alignment horizontal="right"/>
    </xf>
    <xf numFmtId="168" fontId="15" fillId="0" borderId="1" xfId="1" applyNumberFormat="1" applyFont="1" applyBorder="1" applyAlignment="1">
      <alignment horizontal="right"/>
    </xf>
    <xf numFmtId="0" fontId="4" fillId="0" borderId="14" xfId="0" applyFont="1" applyBorder="1"/>
    <xf numFmtId="168" fontId="7" fillId="0" borderId="1" xfId="1" applyNumberFormat="1" applyFont="1" applyFill="1" applyBorder="1" applyAlignment="1">
      <alignment horizontal="right"/>
    </xf>
    <xf numFmtId="10" fontId="7" fillId="0" borderId="1" xfId="2" applyNumberFormat="1" applyFont="1" applyFill="1" applyBorder="1" applyAlignment="1">
      <alignment horizontal="right"/>
    </xf>
    <xf numFmtId="168" fontId="7" fillId="4" borderId="1" xfId="2" applyNumberFormat="1" applyFont="1" applyFill="1" applyBorder="1" applyAlignment="1">
      <alignment horizontal="right"/>
    </xf>
    <xf numFmtId="168" fontId="7" fillId="2" borderId="1" xfId="1" applyNumberFormat="1" applyFont="1" applyFill="1" applyBorder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right"/>
    </xf>
    <xf numFmtId="9" fontId="7" fillId="3" borderId="1" xfId="2" applyFont="1" applyFill="1" applyBorder="1" applyAlignment="1">
      <alignment horizontal="right"/>
    </xf>
    <xf numFmtId="0" fontId="13" fillId="0" borderId="0" xfId="0" applyFont="1" applyAlignment="1">
      <alignment horizontal="left"/>
    </xf>
    <xf numFmtId="168" fontId="15" fillId="0" borderId="0" xfId="1" applyNumberFormat="1" applyFont="1" applyAlignment="1">
      <alignment horizontal="right"/>
    </xf>
    <xf numFmtId="0" fontId="7" fillId="2" borderId="22" xfId="0" applyFont="1" applyFill="1" applyBorder="1" applyAlignment="1">
      <alignment horizontal="right"/>
    </xf>
    <xf numFmtId="168" fontId="7" fillId="4" borderId="22" xfId="1" applyNumberFormat="1" applyFont="1" applyFill="1" applyBorder="1" applyAlignment="1">
      <alignment horizontal="right"/>
    </xf>
    <xf numFmtId="173" fontId="7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8" applyFont="1"/>
    <xf numFmtId="0" fontId="2" fillId="0" borderId="1" xfId="8" applyFont="1" applyBorder="1" applyAlignment="1">
      <alignment vertical="center"/>
    </xf>
    <xf numFmtId="169" fontId="2" fillId="3" borderId="1" xfId="7" applyNumberFormat="1" applyFont="1" applyFill="1" applyBorder="1" applyAlignment="1">
      <alignment vertical="center"/>
    </xf>
    <xf numFmtId="0" fontId="2" fillId="0" borderId="1" xfId="8" applyFont="1" applyBorder="1"/>
    <xf numFmtId="169" fontId="2" fillId="3" borderId="1" xfId="7" applyNumberFormat="1" applyFont="1" applyFill="1" applyBorder="1"/>
    <xf numFmtId="9" fontId="2" fillId="3" borderId="1" xfId="8" applyNumberFormat="1" applyFont="1" applyFill="1" applyBorder="1"/>
    <xf numFmtId="43" fontId="2" fillId="0" borderId="0" xfId="8" applyNumberFormat="1" applyFont="1"/>
    <xf numFmtId="169" fontId="2" fillId="0" borderId="0" xfId="8" applyNumberFormat="1" applyFont="1"/>
    <xf numFmtId="164" fontId="2" fillId="0" borderId="0" xfId="8" applyNumberFormat="1" applyFont="1"/>
    <xf numFmtId="171" fontId="2" fillId="0" borderId="0" xfId="8" applyNumberFormat="1" applyFont="1"/>
    <xf numFmtId="10" fontId="2" fillId="3" borderId="1" xfId="8" applyNumberFormat="1" applyFont="1" applyFill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left"/>
    </xf>
    <xf numFmtId="0" fontId="2" fillId="0" borderId="23" xfId="8" applyFont="1" applyBorder="1"/>
    <xf numFmtId="9" fontId="2" fillId="0" borderId="0" xfId="2" applyFont="1"/>
    <xf numFmtId="165" fontId="2" fillId="3" borderId="1" xfId="7" applyNumberFormat="1" applyFont="1" applyFill="1" applyBorder="1"/>
    <xf numFmtId="165" fontId="2" fillId="0" borderId="1" xfId="7" applyNumberFormat="1" applyFont="1" applyBorder="1"/>
    <xf numFmtId="0" fontId="2" fillId="6" borderId="1" xfId="0" applyFont="1" applyFill="1" applyBorder="1"/>
    <xf numFmtId="0" fontId="16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0" fontId="16" fillId="0" borderId="0" xfId="0" applyFont="1"/>
    <xf numFmtId="0" fontId="16" fillId="0" borderId="6" xfId="0" applyFont="1" applyBorder="1"/>
    <xf numFmtId="0" fontId="16" fillId="0" borderId="7" xfId="0" applyFont="1" applyBorder="1"/>
    <xf numFmtId="166" fontId="16" fillId="0" borderId="0" xfId="1" applyNumberFormat="1" applyFont="1" applyBorder="1"/>
    <xf numFmtId="168" fontId="16" fillId="0" borderId="0" xfId="1" applyNumberFormat="1" applyFont="1"/>
    <xf numFmtId="164" fontId="16" fillId="0" borderId="0" xfId="0" applyNumberFormat="1" applyFont="1"/>
    <xf numFmtId="168" fontId="16" fillId="0" borderId="0" xfId="1" applyNumberFormat="1" applyFont="1" applyBorder="1"/>
    <xf numFmtId="0" fontId="17" fillId="0" borderId="8" xfId="4" applyFont="1" applyBorder="1"/>
    <xf numFmtId="168" fontId="17" fillId="3" borderId="9" xfId="1" applyNumberFormat="1" applyFont="1" applyFill="1" applyBorder="1"/>
    <xf numFmtId="9" fontId="17" fillId="3" borderId="10" xfId="5" applyFont="1" applyFill="1" applyBorder="1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0" fontId="18" fillId="0" borderId="14" xfId="0" applyFont="1" applyBorder="1"/>
    <xf numFmtId="168" fontId="16" fillId="4" borderId="0" xfId="1" applyNumberFormat="1" applyFont="1" applyFill="1" applyBorder="1"/>
    <xf numFmtId="167" fontId="16" fillId="4" borderId="15" xfId="2" applyNumberFormat="1" applyFont="1" applyFill="1" applyBorder="1"/>
    <xf numFmtId="0" fontId="16" fillId="0" borderId="14" xfId="0" applyFont="1" applyBorder="1"/>
    <xf numFmtId="167" fontId="16" fillId="0" borderId="15" xfId="2" applyNumberFormat="1" applyFont="1" applyFill="1" applyBorder="1"/>
    <xf numFmtId="0" fontId="16" fillId="0" borderId="15" xfId="0" applyFont="1" applyBorder="1"/>
    <xf numFmtId="168" fontId="16" fillId="3" borderId="0" xfId="1" applyNumberFormat="1" applyFont="1" applyFill="1" applyBorder="1"/>
    <xf numFmtId="10" fontId="16" fillId="3" borderId="15" xfId="2" applyNumberFormat="1" applyFont="1" applyFill="1" applyBorder="1"/>
    <xf numFmtId="43" fontId="16" fillId="0" borderId="0" xfId="1" applyFont="1" applyBorder="1"/>
    <xf numFmtId="10" fontId="16" fillId="0" borderId="15" xfId="2" applyNumberFormat="1" applyFont="1" applyBorder="1"/>
    <xf numFmtId="168" fontId="16" fillId="3" borderId="0" xfId="1" applyNumberFormat="1" applyFont="1" applyFill="1"/>
    <xf numFmtId="167" fontId="16" fillId="3" borderId="15" xfId="2" applyNumberFormat="1" applyFont="1" applyFill="1" applyBorder="1"/>
    <xf numFmtId="167" fontId="16" fillId="0" borderId="15" xfId="2" applyNumberFormat="1" applyFont="1" applyBorder="1"/>
    <xf numFmtId="0" fontId="16" fillId="0" borderId="16" xfId="0" applyFont="1" applyBorder="1"/>
    <xf numFmtId="168" fontId="16" fillId="0" borderId="17" xfId="1" applyNumberFormat="1" applyFont="1" applyBorder="1"/>
    <xf numFmtId="167" fontId="16" fillId="0" borderId="18" xfId="2" applyNumberFormat="1" applyFont="1" applyBorder="1"/>
    <xf numFmtId="0" fontId="16" fillId="2" borderId="8" xfId="4" applyFont="1" applyFill="1" applyBorder="1"/>
    <xf numFmtId="0" fontId="16" fillId="2" borderId="9" xfId="4" applyFont="1" applyFill="1" applyBorder="1"/>
    <xf numFmtId="0" fontId="16" fillId="2" borderId="10" xfId="4" applyFont="1" applyFill="1" applyBorder="1"/>
    <xf numFmtId="0" fontId="16" fillId="0" borderId="6" xfId="4" applyFont="1" applyBorder="1"/>
    <xf numFmtId="168" fontId="16" fillId="0" borderId="6" xfId="1" applyNumberFormat="1" applyFont="1" applyBorder="1"/>
    <xf numFmtId="9" fontId="16" fillId="0" borderId="7" xfId="5" applyFont="1" applyBorder="1"/>
    <xf numFmtId="168" fontId="16" fillId="0" borderId="7" xfId="1" applyNumberFormat="1" applyFont="1" applyBorder="1"/>
    <xf numFmtId="0" fontId="16" fillId="0" borderId="19" xfId="4" applyFont="1" applyBorder="1"/>
    <xf numFmtId="168" fontId="16" fillId="3" borderId="8" xfId="1" applyNumberFormat="1" applyFont="1" applyFill="1" applyBorder="1"/>
    <xf numFmtId="168" fontId="16" fillId="3" borderId="9" xfId="1" applyNumberFormat="1" applyFont="1" applyFill="1" applyBorder="1"/>
    <xf numFmtId="9" fontId="16" fillId="3" borderId="10" xfId="6" applyFont="1" applyFill="1" applyBorder="1"/>
    <xf numFmtId="168" fontId="16" fillId="3" borderId="10" xfId="1" applyNumberFormat="1" applyFont="1" applyFill="1" applyBorder="1"/>
    <xf numFmtId="1" fontId="16" fillId="0" borderId="0" xfId="4" applyNumberFormat="1" applyFont="1"/>
    <xf numFmtId="0" fontId="16" fillId="0" borderId="0" xfId="4" applyFont="1"/>
    <xf numFmtId="164" fontId="16" fillId="0" borderId="0" xfId="4" applyNumberFormat="1" applyFont="1"/>
    <xf numFmtId="2" fontId="16" fillId="0" borderId="0" xfId="4" applyNumberFormat="1" applyFont="1"/>
    <xf numFmtId="173" fontId="16" fillId="0" borderId="0" xfId="0" applyNumberFormat="1" applyFont="1"/>
    <xf numFmtId="0" fontId="16" fillId="7" borderId="8" xfId="4" applyFont="1" applyFill="1" applyBorder="1"/>
    <xf numFmtId="0" fontId="16" fillId="7" borderId="9" xfId="4" applyFont="1" applyFill="1" applyBorder="1"/>
    <xf numFmtId="0" fontId="16" fillId="7" borderId="10" xfId="4" applyFont="1" applyFill="1" applyBorder="1"/>
    <xf numFmtId="0" fontId="19" fillId="0" borderId="6" xfId="0" applyFont="1" applyBorder="1"/>
    <xf numFmtId="0" fontId="16" fillId="0" borderId="6" xfId="4" applyFont="1" applyBorder="1" applyAlignment="1">
      <alignment wrapText="1"/>
    </xf>
    <xf numFmtId="9" fontId="16" fillId="0" borderId="7" xfId="2" applyFont="1" applyBorder="1"/>
    <xf numFmtId="0" fontId="1" fillId="0" borderId="1" xfId="0" applyFont="1" applyBorder="1"/>
    <xf numFmtId="10" fontId="7" fillId="3" borderId="1" xfId="2" applyNumberFormat="1" applyFont="1" applyFill="1" applyBorder="1"/>
    <xf numFmtId="165" fontId="0" fillId="0" borderId="0" xfId="9" applyNumberFormat="1" applyFont="1"/>
    <xf numFmtId="0" fontId="20" fillId="9" borderId="0" xfId="0" applyFont="1" applyFill="1" applyAlignment="1">
      <alignment horizontal="center"/>
    </xf>
    <xf numFmtId="0" fontId="20" fillId="9" borderId="24" xfId="0" applyFont="1" applyFill="1" applyBorder="1" applyAlignment="1">
      <alignment horizontal="center" wrapText="1"/>
    </xf>
    <xf numFmtId="0" fontId="20" fillId="9" borderId="24" xfId="0" applyFont="1" applyFill="1" applyBorder="1" applyAlignment="1">
      <alignment horizontal="center" vertical="center" wrapText="1"/>
    </xf>
    <xf numFmtId="0" fontId="20" fillId="9" borderId="24" xfId="0" applyFont="1" applyFill="1" applyBorder="1" applyAlignment="1">
      <alignment horizontal="center" vertical="center"/>
    </xf>
    <xf numFmtId="0" fontId="0" fillId="0" borderId="23" xfId="0" applyBorder="1"/>
    <xf numFmtId="174" fontId="0" fillId="0" borderId="23" xfId="0" applyNumberFormat="1" applyBorder="1"/>
    <xf numFmtId="165" fontId="0" fillId="0" borderId="23" xfId="9" applyNumberFormat="1" applyFont="1" applyBorder="1"/>
    <xf numFmtId="167" fontId="0" fillId="0" borderId="23" xfId="2" applyNumberFormat="1" applyFont="1" applyBorder="1"/>
    <xf numFmtId="1" fontId="0" fillId="0" borderId="23" xfId="0" applyNumberFormat="1" applyBorder="1"/>
    <xf numFmtId="0" fontId="7" fillId="3" borderId="0" xfId="0" applyFont="1" applyFill="1" applyAlignment="1">
      <alignment horizontal="right"/>
    </xf>
    <xf numFmtId="168" fontId="7" fillId="3" borderId="0" xfId="1" applyNumberFormat="1" applyFont="1" applyFill="1" applyAlignment="1">
      <alignment horizontal="right"/>
    </xf>
    <xf numFmtId="0" fontId="1" fillId="0" borderId="0" xfId="0" applyFont="1"/>
    <xf numFmtId="0" fontId="1" fillId="8" borderId="0" xfId="0" applyFont="1" applyFill="1"/>
    <xf numFmtId="0" fontId="7" fillId="8" borderId="0" xfId="0" applyFont="1" applyFill="1" applyAlignment="1">
      <alignment horizontal="right"/>
    </xf>
    <xf numFmtId="9" fontId="7" fillId="8" borderId="0" xfId="2" applyFont="1" applyFill="1" applyAlignment="1">
      <alignment horizontal="right"/>
    </xf>
    <xf numFmtId="9" fontId="7" fillId="8" borderId="0" xfId="0" applyNumberFormat="1" applyFont="1" applyFill="1" applyAlignment="1">
      <alignment horizontal="right"/>
    </xf>
    <xf numFmtId="174" fontId="7" fillId="3" borderId="0" xfId="0" applyNumberFormat="1" applyFont="1" applyFill="1" applyAlignment="1">
      <alignment horizontal="right"/>
    </xf>
    <xf numFmtId="167" fontId="7" fillId="3" borderId="0" xfId="2" applyNumberFormat="1" applyFont="1" applyFill="1" applyAlignment="1">
      <alignment horizontal="right"/>
    </xf>
    <xf numFmtId="174" fontId="7" fillId="8" borderId="0" xfId="0" applyNumberFormat="1" applyFont="1" applyFill="1" applyAlignment="1">
      <alignment horizontal="right"/>
    </xf>
    <xf numFmtId="174" fontId="7" fillId="0" borderId="0" xfId="0" applyNumberFormat="1" applyFont="1" applyAlignment="1">
      <alignment horizontal="right"/>
    </xf>
    <xf numFmtId="43" fontId="0" fillId="0" borderId="23" xfId="1" applyFont="1" applyBorder="1"/>
    <xf numFmtId="43" fontId="0" fillId="0" borderId="23" xfId="0" applyNumberFormat="1" applyBorder="1"/>
    <xf numFmtId="43" fontId="7" fillId="3" borderId="0" xfId="1" applyFont="1" applyFill="1" applyAlignment="1">
      <alignment horizontal="right"/>
    </xf>
    <xf numFmtId="43" fontId="7" fillId="8" borderId="0" xfId="0" applyNumberFormat="1" applyFont="1" applyFill="1" applyAlignment="1">
      <alignment horizontal="left"/>
    </xf>
    <xf numFmtId="0" fontId="7" fillId="8" borderId="0" xfId="0" applyFont="1" applyFill="1" applyAlignment="1">
      <alignment horizontal="left"/>
    </xf>
    <xf numFmtId="165" fontId="7" fillId="10" borderId="0" xfId="1" applyNumberFormat="1" applyFont="1" applyFill="1" applyBorder="1" applyAlignment="1">
      <alignment horizontal="right"/>
    </xf>
    <xf numFmtId="168" fontId="7" fillId="10" borderId="1" xfId="1" applyNumberFormat="1" applyFont="1" applyFill="1" applyBorder="1" applyAlignment="1">
      <alignment horizontal="right"/>
    </xf>
    <xf numFmtId="0" fontId="0" fillId="11" borderId="23" xfId="0" applyFill="1" applyBorder="1"/>
    <xf numFmtId="10" fontId="0" fillId="0" borderId="23" xfId="2" applyNumberFormat="1" applyFont="1" applyBorder="1"/>
    <xf numFmtId="174" fontId="0" fillId="6" borderId="0" xfId="0" applyNumberFormat="1" applyFill="1"/>
    <xf numFmtId="165" fontId="20" fillId="9" borderId="0" xfId="9" applyNumberFormat="1" applyFont="1" applyFill="1" applyAlignment="1">
      <alignment horizontal="center"/>
    </xf>
  </cellXfs>
  <cellStyles count="10">
    <cellStyle name="Comma" xfId="1" builtinId="3"/>
    <cellStyle name="Comma 2" xfId="7" xr:uid="{354251B6-E87B-4218-9CC5-C1D4E4759383}"/>
    <cellStyle name="Comma 3" xfId="9" xr:uid="{D46E3AA8-9503-4401-9F65-6F9826CD5810}"/>
    <cellStyle name="Hyperlink" xfId="3" builtinId="8"/>
    <cellStyle name="Normal" xfId="0" builtinId="0"/>
    <cellStyle name="Normal 2" xfId="8" xr:uid="{C3D0A5A4-1A20-45DB-B691-8D2654126A80}"/>
    <cellStyle name="Normal 2 2" xfId="4" xr:uid="{96CE3EEC-D745-4EEC-8527-7D1C00F4E563}"/>
    <cellStyle name="Percent" xfId="2" builtinId="5"/>
    <cellStyle name="Percent 2" xfId="6" xr:uid="{E13704E3-FEE3-4928-A2D8-8D71D64D2E5F}"/>
    <cellStyle name="Percent 2 2" xfId="5" xr:uid="{3C0266F9-82BE-4C21-8FD5-A7B91C8101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9</xdr:row>
      <xdr:rowOff>33339</xdr:rowOff>
    </xdr:from>
    <xdr:to>
      <xdr:col>6</xdr:col>
      <xdr:colOff>2841810</xdr:colOff>
      <xdr:row>9</xdr:row>
      <xdr:rowOff>661988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2EE35E-466D-45AC-92D9-E798F0D98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5" y="4433889"/>
          <a:ext cx="2832285" cy="6286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ckforallp-my.sharepoint.com/personal/minoti_banerjee_packfora_com/Documents/Unilever%20Cost%20Model/2.%20Models/Assumption/Assumption.xlsx" TargetMode="External"/><Relationship Id="rId1" Type="http://schemas.openxmlformats.org/officeDocument/2006/relationships/externalLinkPath" Target="/personal/minoti_banerjee_packfora_com/Documents/Unilever%20Cost%20Model/2.%20Models/Assumption/Assump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a"/>
      <sheetName val="Database"/>
    </sheetNames>
    <sheetDataSet>
      <sheetData sheetId="0"/>
      <sheetData sheetId="1">
        <row r="1">
          <cell r="A1">
            <v>2032479284.1398742</v>
          </cell>
        </row>
        <row r="4">
          <cell r="D4" t="str">
            <v>Electricity Rate</v>
          </cell>
          <cell r="E4" t="str">
            <v>Skilled Labour</v>
          </cell>
          <cell r="F4" t="str">
            <v>Engineer</v>
          </cell>
          <cell r="G4" t="str">
            <v>Production Manager</v>
          </cell>
          <cell r="H4" t="str">
            <v>Depreciation on P&amp;M</v>
          </cell>
          <cell r="I4" t="str">
            <v>Depreciation on Building</v>
          </cell>
          <cell r="J4" t="str">
            <v>Land Cost</v>
          </cell>
          <cell r="K4" t="str">
            <v>Building Cost</v>
          </cell>
          <cell r="L4" t="str">
            <v>Lease Cost</v>
          </cell>
          <cell r="M4" t="str">
            <v>Interest on Long Term Loan</v>
          </cell>
          <cell r="N4" t="str">
            <v>Interest on Working Capital</v>
          </cell>
          <cell r="O4" t="str">
            <v>Euro</v>
          </cell>
          <cell r="P4" t="str">
            <v>USD</v>
          </cell>
          <cell r="Q4" t="str">
            <v>Masterbatch</v>
          </cell>
          <cell r="R4" t="str">
            <v>Surfactants</v>
          </cell>
          <cell r="S4" t="str">
            <v>Additives</v>
          </cell>
          <cell r="T4" t="str">
            <v>Caustic Soda</v>
          </cell>
        </row>
        <row r="5">
          <cell r="A5" t="str">
            <v>Argentina</v>
          </cell>
          <cell r="D5">
            <v>129.15</v>
          </cell>
          <cell r="E5">
            <v>9792000</v>
          </cell>
          <cell r="F5">
            <v>1632000.0000000002</v>
          </cell>
          <cell r="G5">
            <v>13056000.000000002</v>
          </cell>
          <cell r="H5">
            <v>0.1</v>
          </cell>
          <cell r="I5">
            <v>0.02</v>
          </cell>
          <cell r="J5">
            <v>194373</v>
          </cell>
          <cell r="L5">
            <v>100148.96</v>
          </cell>
          <cell r="M5">
            <v>0.36959999999999998</v>
          </cell>
          <cell r="N5">
            <v>0.36959999999999998</v>
          </cell>
          <cell r="O5">
            <v>1684.16</v>
          </cell>
          <cell r="P5">
            <v>1451.24</v>
          </cell>
          <cell r="Q5">
            <v>0</v>
          </cell>
          <cell r="R5">
            <v>1291.7813998082456</v>
          </cell>
          <cell r="S5">
            <v>618.76329050814968</v>
          </cell>
          <cell r="T5">
            <v>645.89069990412281</v>
          </cell>
        </row>
        <row r="6">
          <cell r="A6" t="str">
            <v>Brazil</v>
          </cell>
          <cell r="D6">
            <v>0.65700000000000003</v>
          </cell>
          <cell r="E6">
            <v>73000</v>
          </cell>
          <cell r="F6">
            <v>210240</v>
          </cell>
          <cell r="G6">
            <v>315360</v>
          </cell>
          <cell r="H6">
            <v>0.1</v>
          </cell>
          <cell r="I6">
            <v>0.04</v>
          </cell>
          <cell r="J6">
            <v>2533.6</v>
          </cell>
          <cell r="K6">
            <v>14843.75</v>
          </cell>
          <cell r="L6">
            <v>161.679</v>
          </cell>
          <cell r="M6">
            <v>0.15</v>
          </cell>
          <cell r="N6">
            <v>0.15</v>
          </cell>
          <cell r="O6">
            <v>6.23</v>
          </cell>
          <cell r="P6">
            <v>5.37</v>
          </cell>
          <cell r="Q6">
            <v>0</v>
          </cell>
          <cell r="R6">
            <v>4.7785234899328861</v>
          </cell>
          <cell r="S6">
            <v>2.2889127516778527</v>
          </cell>
          <cell r="T6">
            <v>2.3892617449664431</v>
          </cell>
        </row>
        <row r="7">
          <cell r="A7" t="str">
            <v>China</v>
          </cell>
          <cell r="D7">
            <v>0.79400000000000004</v>
          </cell>
          <cell r="E7">
            <v>420000</v>
          </cell>
          <cell r="F7">
            <v>420000</v>
          </cell>
          <cell r="G7">
            <v>487199.99999999994</v>
          </cell>
          <cell r="H7">
            <v>0.1</v>
          </cell>
          <cell r="I7">
            <v>0.1</v>
          </cell>
          <cell r="J7">
            <v>1228.5</v>
          </cell>
          <cell r="K7">
            <v>1056.51</v>
          </cell>
          <cell r="L7">
            <v>3046.68</v>
          </cell>
          <cell r="M7">
            <v>4.9000000000000002E-2</v>
          </cell>
          <cell r="N7">
            <v>0.03</v>
          </cell>
          <cell r="O7">
            <v>8.19</v>
          </cell>
          <cell r="P7">
            <v>7.11</v>
          </cell>
          <cell r="Q7">
            <v>0</v>
          </cell>
          <cell r="R7">
            <v>6.2818791946308723</v>
          </cell>
          <cell r="S7">
            <v>3.0090201342281881</v>
          </cell>
          <cell r="T7">
            <v>3.1409395973154361</v>
          </cell>
        </row>
        <row r="8">
          <cell r="A8" t="str">
            <v>France</v>
          </cell>
          <cell r="D8">
            <v>0.153</v>
          </cell>
          <cell r="E8">
            <v>34800</v>
          </cell>
          <cell r="F8">
            <v>71050</v>
          </cell>
          <cell r="G8">
            <v>94250</v>
          </cell>
          <cell r="H8">
            <v>0.1</v>
          </cell>
          <cell r="I8">
            <v>0.1</v>
          </cell>
          <cell r="M8">
            <v>3.4500000000000003E-2</v>
          </cell>
          <cell r="N8">
            <v>3.4500000000000003E-2</v>
          </cell>
          <cell r="O8">
            <v>1</v>
          </cell>
          <cell r="P8">
            <v>0.86</v>
          </cell>
          <cell r="Q8">
            <v>0</v>
          </cell>
          <cell r="R8">
            <v>0.76701821668264625</v>
          </cell>
          <cell r="S8">
            <v>0.36740172579098757</v>
          </cell>
          <cell r="T8">
            <v>0.38350910834132312</v>
          </cell>
        </row>
        <row r="9">
          <cell r="A9" t="str">
            <v>Germany</v>
          </cell>
          <cell r="D9">
            <v>0.251</v>
          </cell>
          <cell r="E9">
            <v>36000</v>
          </cell>
          <cell r="F9">
            <v>75000</v>
          </cell>
          <cell r="G9">
            <v>85000</v>
          </cell>
          <cell r="H9">
            <v>0.1</v>
          </cell>
          <cell r="I9">
            <v>0.1</v>
          </cell>
          <cell r="M9">
            <v>3.95E-2</v>
          </cell>
          <cell r="N9">
            <v>3.95E-2</v>
          </cell>
          <cell r="O9">
            <v>1</v>
          </cell>
          <cell r="P9">
            <v>0.86</v>
          </cell>
          <cell r="Q9">
            <v>0</v>
          </cell>
          <cell r="R9">
            <v>0.76701821668264625</v>
          </cell>
          <cell r="S9">
            <v>0.36740172579098757</v>
          </cell>
          <cell r="T9">
            <v>0.38350910834132312</v>
          </cell>
        </row>
        <row r="10">
          <cell r="A10" t="str">
            <v>Hungary</v>
          </cell>
          <cell r="D10">
            <v>92.17</v>
          </cell>
          <cell r="E10">
            <v>4476000</v>
          </cell>
          <cell r="F10">
            <v>10800000</v>
          </cell>
          <cell r="G10">
            <v>16560000.000000002</v>
          </cell>
          <cell r="H10">
            <v>0.02</v>
          </cell>
          <cell r="I10">
            <v>0.14499999999999999</v>
          </cell>
          <cell r="M10">
            <v>7.4999999999999997E-2</v>
          </cell>
          <cell r="N10">
            <v>0.03</v>
          </cell>
          <cell r="O10">
            <v>381.2</v>
          </cell>
          <cell r="P10">
            <v>328.47</v>
          </cell>
          <cell r="Q10">
            <v>0</v>
          </cell>
          <cell r="R10">
            <v>292.38734419942472</v>
          </cell>
          <cell r="S10">
            <v>140.05353787152447</v>
          </cell>
          <cell r="T10">
            <v>146.19367209971236</v>
          </cell>
        </row>
        <row r="11">
          <cell r="A11" t="str">
            <v>India</v>
          </cell>
          <cell r="D11">
            <v>10.72</v>
          </cell>
          <cell r="E11">
            <v>541800</v>
          </cell>
          <cell r="F11">
            <v>1260000</v>
          </cell>
          <cell r="G11">
            <v>1890000</v>
          </cell>
          <cell r="H11">
            <v>0.15</v>
          </cell>
          <cell r="I11">
            <v>0.1</v>
          </cell>
          <cell r="J11">
            <v>23519.018667714194</v>
          </cell>
          <cell r="K11">
            <v>7000</v>
          </cell>
          <cell r="L11">
            <v>2136.331306739994</v>
          </cell>
          <cell r="M11">
            <v>0.125</v>
          </cell>
          <cell r="N11">
            <v>0.14000000000000001</v>
          </cell>
          <cell r="O11">
            <v>104.27</v>
          </cell>
          <cell r="P11">
            <v>87</v>
          </cell>
          <cell r="Q11">
            <v>0</v>
          </cell>
          <cell r="R11">
            <v>79.976989453499527</v>
          </cell>
          <cell r="S11">
            <v>38.308977948226271</v>
          </cell>
          <cell r="T11">
            <v>39.988494726749764</v>
          </cell>
        </row>
        <row r="12">
          <cell r="A12" t="str">
            <v>Indonesia</v>
          </cell>
          <cell r="D12">
            <v>1114.74</v>
          </cell>
          <cell r="E12">
            <v>7332000</v>
          </cell>
          <cell r="F12">
            <v>19552000</v>
          </cell>
          <cell r="G12">
            <v>24440000</v>
          </cell>
          <cell r="H12">
            <v>0.25</v>
          </cell>
          <cell r="I12">
            <v>0.1</v>
          </cell>
          <cell r="J12">
            <v>1700000</v>
          </cell>
          <cell r="K12">
            <v>5500000</v>
          </cell>
          <cell r="L12">
            <v>420000</v>
          </cell>
          <cell r="M12">
            <v>0.1</v>
          </cell>
          <cell r="N12">
            <v>0.12</v>
          </cell>
          <cell r="O12">
            <v>19314.2</v>
          </cell>
          <cell r="P12">
            <v>16665.3</v>
          </cell>
          <cell r="Q12">
            <v>0</v>
          </cell>
          <cell r="R12">
            <v>14814.343240651966</v>
          </cell>
          <cell r="S12">
            <v>7096.0704122722927</v>
          </cell>
          <cell r="T12">
            <v>7407.171620325983</v>
          </cell>
        </row>
        <row r="13">
          <cell r="A13" t="str">
            <v>Mexico</v>
          </cell>
          <cell r="D13">
            <v>3.972</v>
          </cell>
          <cell r="E13">
            <v>180000</v>
          </cell>
          <cell r="F13">
            <v>492000</v>
          </cell>
          <cell r="G13">
            <v>852000</v>
          </cell>
          <cell r="H13">
            <v>0.1</v>
          </cell>
          <cell r="I13">
            <v>0.05</v>
          </cell>
          <cell r="M13">
            <v>7.2800000000000004E-2</v>
          </cell>
          <cell r="N13">
            <v>7.2800000000000004E-2</v>
          </cell>
          <cell r="O13">
            <v>21.26</v>
          </cell>
          <cell r="P13">
            <v>18.32</v>
          </cell>
          <cell r="Q13">
            <v>0</v>
          </cell>
          <cell r="R13">
            <v>16.30680728667306</v>
          </cell>
          <cell r="S13">
            <v>7.8109606903163966</v>
          </cell>
          <cell r="T13">
            <v>8.1534036433365298</v>
          </cell>
        </row>
        <row r="14">
          <cell r="A14" t="str">
            <v>Pakistan</v>
          </cell>
          <cell r="D14">
            <v>41.99</v>
          </cell>
          <cell r="E14">
            <v>504000</v>
          </cell>
          <cell r="F14">
            <v>384000</v>
          </cell>
          <cell r="G14">
            <v>2400000</v>
          </cell>
          <cell r="H14">
            <v>0.15</v>
          </cell>
          <cell r="I14">
            <v>0.1</v>
          </cell>
          <cell r="M14">
            <v>0.18</v>
          </cell>
          <cell r="N14">
            <v>0.09</v>
          </cell>
          <cell r="O14">
            <v>328.52</v>
          </cell>
          <cell r="P14">
            <v>282.99</v>
          </cell>
          <cell r="Q14">
            <v>0</v>
          </cell>
          <cell r="R14">
            <v>251.98082454458293</v>
          </cell>
          <cell r="S14">
            <v>120.69881495685523</v>
          </cell>
          <cell r="T14">
            <v>125.99041227229147</v>
          </cell>
        </row>
        <row r="15">
          <cell r="A15" t="str">
            <v>Philippines</v>
          </cell>
          <cell r="D15">
            <v>8.8469999999999995</v>
          </cell>
          <cell r="E15">
            <v>242879.99999999997</v>
          </cell>
          <cell r="F15">
            <v>473470.52499999997</v>
          </cell>
          <cell r="G15">
            <v>538167.68499999994</v>
          </cell>
          <cell r="H15">
            <v>0.1</v>
          </cell>
          <cell r="I15">
            <v>0.1</v>
          </cell>
          <cell r="J15">
            <v>16240</v>
          </cell>
          <cell r="K15">
            <v>20000</v>
          </cell>
          <cell r="L15">
            <v>3240</v>
          </cell>
          <cell r="M15">
            <v>0.1</v>
          </cell>
          <cell r="N15">
            <v>8.6300000000000002E-2</v>
          </cell>
          <cell r="O15">
            <v>67.87</v>
          </cell>
          <cell r="P15">
            <v>58.89</v>
          </cell>
          <cell r="Q15">
            <v>0</v>
          </cell>
          <cell r="R15">
            <v>52.057526366251203</v>
          </cell>
          <cell r="S15">
            <v>24.935555129434327</v>
          </cell>
          <cell r="T15">
            <v>26.028763183125601</v>
          </cell>
        </row>
        <row r="16">
          <cell r="A16" t="str">
            <v>South Africa</v>
          </cell>
          <cell r="D16">
            <v>1.7949999999999999</v>
          </cell>
          <cell r="E16">
            <v>231858</v>
          </cell>
          <cell r="F16">
            <v>494630.40000000002</v>
          </cell>
          <cell r="G16">
            <v>772860</v>
          </cell>
          <cell r="H16">
            <v>0.2</v>
          </cell>
          <cell r="I16">
            <v>0.05</v>
          </cell>
          <cell r="M16">
            <v>0.10249999999999999</v>
          </cell>
          <cell r="N16">
            <v>0.27500000000000002</v>
          </cell>
          <cell r="O16">
            <v>19.88</v>
          </cell>
          <cell r="P16">
            <v>17.13</v>
          </cell>
          <cell r="Q16">
            <v>0</v>
          </cell>
          <cell r="R16">
            <v>15.248322147651006</v>
          </cell>
          <cell r="S16">
            <v>7.3039463087248322</v>
          </cell>
          <cell r="T16">
            <v>7.624161073825503</v>
          </cell>
        </row>
        <row r="17">
          <cell r="A17" t="str">
            <v>Turkey</v>
          </cell>
          <cell r="D17">
            <v>4.3499999999999996</v>
          </cell>
          <cell r="E17">
            <v>281880</v>
          </cell>
          <cell r="F17">
            <v>548100</v>
          </cell>
          <cell r="G17">
            <v>532440</v>
          </cell>
          <cell r="H17">
            <v>0.1</v>
          </cell>
          <cell r="I17">
            <v>0.1</v>
          </cell>
          <cell r="M17">
            <v>0.42499999999999999</v>
          </cell>
          <cell r="N17">
            <v>0.39500000000000002</v>
          </cell>
          <cell r="O17">
            <v>49.29</v>
          </cell>
          <cell r="P17">
            <v>42.43</v>
          </cell>
          <cell r="Q17">
            <v>0</v>
          </cell>
          <cell r="R17">
            <v>37.806327900287634</v>
          </cell>
          <cell r="S17">
            <v>18.109231064237775</v>
          </cell>
          <cell r="T17">
            <v>18.903163950143817</v>
          </cell>
        </row>
        <row r="18">
          <cell r="A18" t="str">
            <v>United Kingdom</v>
          </cell>
          <cell r="D18">
            <v>0.34599999999999997</v>
          </cell>
          <cell r="E18">
            <v>39900</v>
          </cell>
          <cell r="F18">
            <v>57190</v>
          </cell>
          <cell r="G18">
            <v>66500</v>
          </cell>
          <cell r="H18">
            <v>0.18</v>
          </cell>
          <cell r="I18">
            <v>0.03</v>
          </cell>
          <cell r="M18">
            <v>0.112</v>
          </cell>
          <cell r="N18">
            <v>0.113</v>
          </cell>
          <cell r="O18">
            <v>0.88</v>
          </cell>
          <cell r="P18">
            <v>0.76</v>
          </cell>
          <cell r="Q18">
            <v>0</v>
          </cell>
          <cell r="R18">
            <v>0.67497603068072876</v>
          </cell>
          <cell r="S18">
            <v>0.32331351869606906</v>
          </cell>
          <cell r="T18">
            <v>0.33748801534036438</v>
          </cell>
        </row>
        <row r="19">
          <cell r="A19" t="str">
            <v>United States</v>
          </cell>
          <cell r="D19">
            <v>0.14899999999999999</v>
          </cell>
          <cell r="E19">
            <v>98250.599999999991</v>
          </cell>
          <cell r="F19">
            <v>130993.79999999999</v>
          </cell>
          <cell r="G19">
            <v>117125.4</v>
          </cell>
          <cell r="H19">
            <v>0.1</v>
          </cell>
          <cell r="I19">
            <v>0.1</v>
          </cell>
          <cell r="J19">
            <v>2.4700000000000002</v>
          </cell>
          <cell r="M19">
            <v>3.8899999999999997E-2</v>
          </cell>
          <cell r="N19">
            <v>3.6400000000000002E-2</v>
          </cell>
          <cell r="O19">
            <v>1.1599999999999999</v>
          </cell>
          <cell r="P19">
            <v>1</v>
          </cell>
          <cell r="Q19">
            <v>0</v>
          </cell>
          <cell r="R19">
            <v>0.88974113135186961</v>
          </cell>
          <cell r="S19">
            <v>0.42618600191754552</v>
          </cell>
          <cell r="T19">
            <v>0.4448705656759348</v>
          </cell>
        </row>
        <row r="20">
          <cell r="A20" t="str">
            <v>Vietnam</v>
          </cell>
          <cell r="D20">
            <v>1744</v>
          </cell>
          <cell r="E20">
            <v>139920000</v>
          </cell>
          <cell r="F20">
            <v>827162156.94999993</v>
          </cell>
          <cell r="G20">
            <v>921734762.02499998</v>
          </cell>
          <cell r="H20">
            <v>0.1</v>
          </cell>
          <cell r="I20">
            <v>0.1</v>
          </cell>
          <cell r="J20">
            <v>3586051.86</v>
          </cell>
          <cell r="K20">
            <v>3403710.24</v>
          </cell>
          <cell r="L20">
            <v>5470248.5999999996</v>
          </cell>
          <cell r="M20">
            <v>5.8999999999999997E-2</v>
          </cell>
          <cell r="N20">
            <v>6.2E-2</v>
          </cell>
          <cell r="O20">
            <v>30390.27</v>
          </cell>
          <cell r="P20">
            <v>26369</v>
          </cell>
          <cell r="Q20">
            <v>0</v>
          </cell>
          <cell r="R20">
            <v>23309.890699904125</v>
          </cell>
          <cell r="S20">
            <v>11165.437645254076</v>
          </cell>
          <cell r="T20">
            <v>11654.945349952062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alestateindia.com/silvassa-property/factory-for-rent.htm" TargetMode="External"/><Relationship Id="rId3" Type="http://schemas.openxmlformats.org/officeDocument/2006/relationships/hyperlink" Target="https://incometaxindia.gov.in/charts%20%20tables/depreciation%20rates.htm" TargetMode="External"/><Relationship Id="rId7" Type="http://schemas.openxmlformats.org/officeDocument/2006/relationships/hyperlink" Target="https://www.realestateindia.com/silvassa-property/factory-for-sale.ht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hdfcbank.com/personal/borrow/popular-loans/business-loan/fees-and-charges" TargetMode="External"/><Relationship Id="rId1" Type="http://schemas.openxmlformats.org/officeDocument/2006/relationships/hyperlink" Target="https://incometaxindia.gov.in/charts%20%20tables/depreciation%20rates.htm" TargetMode="External"/><Relationship Id="rId6" Type="http://schemas.openxmlformats.org/officeDocument/2006/relationships/hyperlink" Target="https://in.indeed.com/career/production-manager/salaries/Silvassa--Dadra-and-Nagar-Haveli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in.indeed.com/career/engineer/salaries/Silvassa--Dadra-and-Nagar-Haveli" TargetMode="External"/><Relationship Id="rId10" Type="http://schemas.openxmlformats.org/officeDocument/2006/relationships/hyperlink" Target="https://www.nsic.co.in/Schemes/BillDiscountingAgainstBG" TargetMode="External"/><Relationship Id="rId4" Type="http://schemas.openxmlformats.org/officeDocument/2006/relationships/hyperlink" Target="https://in.indeed.com/career/machine-operator/salaries/Silvassa--Dadra-and-Nagar-Haveli" TargetMode="External"/><Relationship Id="rId9" Type="http://schemas.openxmlformats.org/officeDocument/2006/relationships/hyperlink" Target="https://www.realestateindia.com/silvassa-property/industrial-lands-for-sal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E07F-6331-4D01-9FCD-1C9744B57332}">
  <dimension ref="A1:N57"/>
  <sheetViews>
    <sheetView showGridLines="0" tabSelected="1" workbookViewId="0">
      <pane xSplit="1" topLeftCell="B1" activePane="topRight" state="frozen"/>
      <selection activeCell="D2" sqref="D2"/>
      <selection pane="topRight" activeCell="B10" sqref="B10"/>
    </sheetView>
  </sheetViews>
  <sheetFormatPr defaultColWidth="8.796875" defaultRowHeight="14.25" x14ac:dyDescent="0.45"/>
  <cols>
    <col min="1" max="1" width="26" style="139" customWidth="1"/>
    <col min="2" max="2" width="13.796875" style="139" customWidth="1"/>
    <col min="3" max="3" width="8.796875" style="139"/>
    <col min="4" max="4" width="15" style="139" customWidth="1"/>
    <col min="5" max="10" width="8.796875" style="139"/>
    <col min="11" max="11" width="10.796875" style="139" bestFit="1" customWidth="1"/>
    <col min="12" max="16384" width="8.796875" style="139"/>
  </cols>
  <sheetData>
    <row r="1" spans="1:10" x14ac:dyDescent="0.45">
      <c r="A1" s="136" t="str">
        <f>"Country "&amp;input!C4</f>
        <v>Country India</v>
      </c>
      <c r="B1" s="137" t="str">
        <f>"Currency "&amp;input!C5</f>
        <v>Currency INR</v>
      </c>
      <c r="C1" s="137" t="str">
        <f>"Supplier "&amp;input!C6</f>
        <v>Supplier Slivassa</v>
      </c>
      <c r="D1" s="138"/>
    </row>
    <row r="2" spans="1:10" x14ac:dyDescent="0.45">
      <c r="A2" s="140" t="str">
        <f>"Product "&amp;input!C2</f>
        <v>Product Bottle Mono PE CMT220ml19g W/O MB PCR70%</v>
      </c>
      <c r="B2" s="139" t="str">
        <f>"Period "&amp;input!C7</f>
        <v>Period Sep25</v>
      </c>
      <c r="C2" s="139" t="s">
        <v>54</v>
      </c>
      <c r="D2" s="141" t="str">
        <f>input!C3</f>
        <v>XXXXX</v>
      </c>
    </row>
    <row r="3" spans="1:10" ht="14.65" thickBot="1" x14ac:dyDescent="0.5">
      <c r="A3" s="140" t="str">
        <f>input!A8&amp;" "&amp;input!B8</f>
        <v>Annual Volume  pcs</v>
      </c>
      <c r="B3" s="142">
        <f>input!C8</f>
        <v>62975559</v>
      </c>
      <c r="C3" s="139" t="str">
        <f>"Payment term "&amp;input!C99&amp;" days"</f>
        <v>Payment term 60 days</v>
      </c>
      <c r="D3" s="141"/>
    </row>
    <row r="4" spans="1:10" ht="14.65" thickBot="1" x14ac:dyDescent="0.5">
      <c r="A4" s="185" t="s">
        <v>0</v>
      </c>
      <c r="B4" s="186" t="str">
        <f>input!C5&amp;"/1000"</f>
        <v>INR/1000</v>
      </c>
      <c r="C4" s="186" t="s">
        <v>55</v>
      </c>
      <c r="D4" s="187" t="s">
        <v>56</v>
      </c>
    </row>
    <row r="5" spans="1:10" x14ac:dyDescent="0.45">
      <c r="A5" s="140" t="s">
        <v>57</v>
      </c>
      <c r="B5" s="143">
        <f>B12</f>
        <v>1804.9591698021964</v>
      </c>
      <c r="C5" s="143">
        <f>B5/input!$C$88</f>
        <v>17.310436077512193</v>
      </c>
      <c r="D5" s="190">
        <f t="shared" ref="D5:D7" si="0">B5/$B$10</f>
        <v>0.44507392744912949</v>
      </c>
      <c r="I5" s="144"/>
      <c r="J5" s="144"/>
    </row>
    <row r="6" spans="1:10" x14ac:dyDescent="0.45">
      <c r="A6" s="140" t="s">
        <v>58</v>
      </c>
      <c r="B6" s="143">
        <f>B18</f>
        <v>1669.3607563988567</v>
      </c>
      <c r="C6" s="143">
        <f>B6/input!$C$88</f>
        <v>16.009981359919983</v>
      </c>
      <c r="D6" s="190">
        <f t="shared" si="0"/>
        <v>0.41163753762990224</v>
      </c>
      <c r="I6" s="144"/>
      <c r="J6" s="144"/>
    </row>
    <row r="7" spans="1:10" x14ac:dyDescent="0.45">
      <c r="A7" s="140" t="s">
        <v>59</v>
      </c>
      <c r="B7" s="145">
        <f>B28</f>
        <v>333.87215127977134</v>
      </c>
      <c r="C7" s="143">
        <f>B7/input!$C$88</f>
        <v>3.2019962719839969</v>
      </c>
      <c r="D7" s="190">
        <f t="shared" si="0"/>
        <v>8.2327507525980448E-2</v>
      </c>
      <c r="I7" s="144"/>
      <c r="J7" s="144"/>
    </row>
    <row r="8" spans="1:10" x14ac:dyDescent="0.45">
      <c r="A8" s="140" t="s">
        <v>60</v>
      </c>
      <c r="B8" s="145">
        <f>B31</f>
        <v>236.11111111111111</v>
      </c>
      <c r="C8" s="143">
        <f>B8/input!$C$88</f>
        <v>2.2644203616678924</v>
      </c>
      <c r="D8" s="190">
        <f>B8/$B$10</f>
        <v>5.8221205939033176E-2</v>
      </c>
      <c r="I8" s="144"/>
      <c r="J8" s="144"/>
    </row>
    <row r="9" spans="1:10" ht="14.65" thickBot="1" x14ac:dyDescent="0.5">
      <c r="A9" s="140" t="s">
        <v>61</v>
      </c>
      <c r="B9" s="145">
        <f>B32</f>
        <v>11.111111111111111</v>
      </c>
      <c r="C9" s="143">
        <f>B9/input!$C$88</f>
        <v>0.1065609581961361</v>
      </c>
      <c r="D9" s="190">
        <f>B9/$B$10</f>
        <v>2.7398214559545024E-3</v>
      </c>
      <c r="I9" s="144"/>
      <c r="J9" s="144"/>
    </row>
    <row r="10" spans="1:10" ht="14.65" thickBot="1" x14ac:dyDescent="0.5">
      <c r="A10" s="146" t="s">
        <v>62</v>
      </c>
      <c r="B10" s="147">
        <f>SUM(B5:B9)</f>
        <v>4055.4142997030472</v>
      </c>
      <c r="C10" s="147">
        <f>SUM(C5:C9)</f>
        <v>38.8933950292802</v>
      </c>
      <c r="D10" s="148">
        <f>B10/$B$10</f>
        <v>1</v>
      </c>
      <c r="I10" s="144"/>
      <c r="J10" s="144"/>
    </row>
    <row r="11" spans="1:10" x14ac:dyDescent="0.45">
      <c r="A11" s="149"/>
      <c r="B11" s="150"/>
      <c r="C11" s="150"/>
      <c r="D11" s="151"/>
      <c r="I11" s="144"/>
      <c r="J11" s="144"/>
    </row>
    <row r="12" spans="1:10" x14ac:dyDescent="0.45">
      <c r="A12" s="152" t="s">
        <v>63</v>
      </c>
      <c r="B12" s="153">
        <f>SUM(B13:B15)</f>
        <v>1804.9591698021964</v>
      </c>
      <c r="C12" s="153">
        <f>SUM(C13:C15)</f>
        <v>17.310436077512193</v>
      </c>
      <c r="D12" s="154">
        <f>B12/$B$10</f>
        <v>0.44507392744912949</v>
      </c>
      <c r="I12" s="144"/>
      <c r="J12" s="144"/>
    </row>
    <row r="13" spans="1:10" x14ac:dyDescent="0.45">
      <c r="A13" s="155" t="s">
        <v>64</v>
      </c>
      <c r="B13" s="143">
        <f>SUMIF(material!$A:$A,summary!A13,material!$D:$D)</f>
        <v>1647.3029298021963</v>
      </c>
      <c r="C13" s="143">
        <f>B13/input!$C$88</f>
        <v>15.798436077512193</v>
      </c>
      <c r="D13" s="156">
        <f>B13/$B$10</f>
        <v>0.40619843203758937</v>
      </c>
      <c r="I13" s="144"/>
      <c r="J13" s="144"/>
    </row>
    <row r="14" spans="1:10" x14ac:dyDescent="0.45">
      <c r="A14" s="155" t="s">
        <v>65</v>
      </c>
      <c r="B14" s="143">
        <f>SUMIF(material!$A:$A,summary!A14,material!$D:$D)</f>
        <v>157.65624000000003</v>
      </c>
      <c r="C14" s="143">
        <f>B14/input!$C$88</f>
        <v>1.5120000000000002</v>
      </c>
      <c r="D14" s="156">
        <f>B14/$B$10</f>
        <v>3.8875495411540124E-2</v>
      </c>
      <c r="I14" s="144"/>
      <c r="J14" s="144"/>
    </row>
    <row r="15" spans="1:10" x14ac:dyDescent="0.45">
      <c r="A15" s="155" t="s">
        <v>419</v>
      </c>
      <c r="B15" s="143">
        <f>SUMIF(material!$A:$A,summary!A15,material!$D:$D)</f>
        <v>0</v>
      </c>
      <c r="C15" s="143">
        <f>B15/input!$C$88</f>
        <v>0</v>
      </c>
      <c r="D15" s="156">
        <f>B15/$B$10</f>
        <v>0</v>
      </c>
      <c r="I15" s="144"/>
      <c r="J15" s="144"/>
    </row>
    <row r="16" spans="1:10" x14ac:dyDescent="0.45">
      <c r="A16" s="155" t="s">
        <v>420</v>
      </c>
      <c r="B16" s="143">
        <f>SUMIF(material!$A:$A,summary!A16,material!$D:$D)</f>
        <v>0</v>
      </c>
      <c r="C16" s="143">
        <f>B16/input!$C$88</f>
        <v>0</v>
      </c>
      <c r="D16" s="156">
        <f>B16/$B$10</f>
        <v>0</v>
      </c>
      <c r="I16" s="144"/>
      <c r="J16" s="144"/>
    </row>
    <row r="17" spans="1:10" x14ac:dyDescent="0.45">
      <c r="A17" s="155"/>
      <c r="B17" s="143"/>
      <c r="C17" s="143"/>
      <c r="D17" s="157"/>
      <c r="I17" s="144"/>
      <c r="J17" s="144"/>
    </row>
    <row r="18" spans="1:10" x14ac:dyDescent="0.45">
      <c r="A18" s="152" t="s">
        <v>66</v>
      </c>
      <c r="B18" s="158">
        <f>SUM(B19:B26)</f>
        <v>1669.3607563988567</v>
      </c>
      <c r="C18" s="158">
        <f>SUM(C19:C26)</f>
        <v>16.009981359919983</v>
      </c>
      <c r="D18" s="159">
        <f>B18/$B$10</f>
        <v>0.41163753762990224</v>
      </c>
      <c r="H18" s="160"/>
      <c r="I18" s="144"/>
      <c r="J18" s="144"/>
    </row>
    <row r="19" spans="1:10" x14ac:dyDescent="0.45">
      <c r="A19" s="188" t="s">
        <v>37</v>
      </c>
      <c r="B19" s="145">
        <f>conversion!D91</f>
        <v>263.53333333333336</v>
      </c>
      <c r="C19" s="143">
        <f>B19/input!$C$88</f>
        <v>2.5274128064959562</v>
      </c>
      <c r="D19" s="161">
        <f t="shared" ref="D19:D26" si="1">B19/$B$10</f>
        <v>6.4983085292328893E-2</v>
      </c>
      <c r="H19" s="160"/>
      <c r="I19" s="144"/>
      <c r="J19" s="144"/>
    </row>
    <row r="20" spans="1:10" x14ac:dyDescent="0.45">
      <c r="A20" s="188" t="s">
        <v>67</v>
      </c>
      <c r="B20" s="145">
        <f>conversion!D93</f>
        <v>74.971590909090907</v>
      </c>
      <c r="C20" s="143">
        <f>B20/input!$C$88</f>
        <v>0.71901401082853078</v>
      </c>
      <c r="D20" s="161">
        <f t="shared" si="1"/>
        <v>1.8486789602379369E-2</v>
      </c>
      <c r="H20" s="160"/>
      <c r="I20" s="144"/>
      <c r="J20" s="144"/>
    </row>
    <row r="21" spans="1:10" x14ac:dyDescent="0.45">
      <c r="A21" s="188" t="s">
        <v>68</v>
      </c>
      <c r="B21" s="145">
        <f>conversion!E189</f>
        <v>75.167979383364425</v>
      </c>
      <c r="C21" s="143">
        <f>B21/input!$C$88</f>
        <v>0.72089747178828456</v>
      </c>
      <c r="D21" s="161">
        <f t="shared" si="1"/>
        <v>1.8535215844375879E-2</v>
      </c>
      <c r="H21" s="160"/>
      <c r="I21" s="144"/>
      <c r="J21" s="144"/>
    </row>
    <row r="22" spans="1:10" x14ac:dyDescent="0.45">
      <c r="A22" s="188" t="s">
        <v>69</v>
      </c>
      <c r="B22" s="145">
        <f>conversion!D74</f>
        <v>137.6804270204959</v>
      </c>
      <c r="C22" s="143">
        <f>B22/input!$C$88</f>
        <v>1.3204222405341508</v>
      </c>
      <c r="D22" s="161">
        <f t="shared" si="1"/>
        <v>3.3949780921415942E-2</v>
      </c>
      <c r="H22" s="160"/>
      <c r="I22" s="144"/>
      <c r="J22" s="144"/>
    </row>
    <row r="23" spans="1:10" x14ac:dyDescent="0.45">
      <c r="A23" s="188" t="s">
        <v>42</v>
      </c>
      <c r="B23" s="145">
        <f>conversion!D78</f>
        <v>137.6804270204959</v>
      </c>
      <c r="C23" s="143">
        <f>B23/input!$C$88</f>
        <v>1.3204222405341508</v>
      </c>
      <c r="D23" s="161">
        <f t="shared" si="1"/>
        <v>3.3949780921415942E-2</v>
      </c>
      <c r="H23" s="160"/>
      <c r="I23" s="144"/>
      <c r="J23" s="144"/>
    </row>
    <row r="24" spans="1:10" x14ac:dyDescent="0.45">
      <c r="A24" s="188" t="s">
        <v>70</v>
      </c>
      <c r="B24" s="145">
        <f>conversion!E188</f>
        <v>0</v>
      </c>
      <c r="C24" s="143">
        <f>B24/input!$C$88</f>
        <v>0</v>
      </c>
      <c r="D24" s="161">
        <f t="shared" si="1"/>
        <v>0</v>
      </c>
      <c r="H24" s="160"/>
      <c r="I24" s="144"/>
      <c r="J24" s="144"/>
    </row>
    <row r="25" spans="1:10" x14ac:dyDescent="0.45">
      <c r="A25" s="155" t="s">
        <v>71</v>
      </c>
      <c r="B25" s="145">
        <f>conversion!D60+conversion!E186</f>
        <v>414.57034026368939</v>
      </c>
      <c r="C25" s="143">
        <f>B25/input!$C$88</f>
        <v>3.9759311428377231</v>
      </c>
      <c r="D25" s="161">
        <f t="shared" si="1"/>
        <v>0.10222638419311333</v>
      </c>
      <c r="I25" s="144"/>
      <c r="J25" s="144"/>
    </row>
    <row r="26" spans="1:10" x14ac:dyDescent="0.45">
      <c r="A26" s="155" t="s">
        <v>72</v>
      </c>
      <c r="B26" s="145">
        <f>conversion!D64+conversion!E187+conversion!D217</f>
        <v>565.75665846838683</v>
      </c>
      <c r="C26" s="143">
        <f>B26/input!$C$88</f>
        <v>5.4258814469011876</v>
      </c>
      <c r="D26" s="161">
        <f t="shared" si="1"/>
        <v>0.13950650085487287</v>
      </c>
      <c r="I26" s="144"/>
      <c r="J26" s="144"/>
    </row>
    <row r="27" spans="1:10" x14ac:dyDescent="0.45">
      <c r="A27" s="155"/>
      <c r="B27" s="143"/>
      <c r="C27" s="143"/>
      <c r="D27" s="157"/>
      <c r="I27" s="144"/>
      <c r="J27" s="144"/>
    </row>
    <row r="28" spans="1:10" x14ac:dyDescent="0.45">
      <c r="A28" s="155" t="s">
        <v>59</v>
      </c>
      <c r="B28" s="162">
        <f>B18*input!C68</f>
        <v>333.87215127977134</v>
      </c>
      <c r="C28" s="162">
        <f>B28/input!$C$88</f>
        <v>3.2019962719839969</v>
      </c>
      <c r="D28" s="163">
        <f>B28/$B$10</f>
        <v>8.2327507525980448E-2</v>
      </c>
    </row>
    <row r="29" spans="1:10" x14ac:dyDescent="0.45">
      <c r="A29" s="155"/>
      <c r="B29" s="143"/>
      <c r="C29" s="143"/>
      <c r="D29" s="157"/>
    </row>
    <row r="30" spans="1:10" x14ac:dyDescent="0.45">
      <c r="A30" s="152" t="s">
        <v>73</v>
      </c>
      <c r="B30" s="153">
        <f>SUM(B31:B32)</f>
        <v>247.22222222222223</v>
      </c>
      <c r="C30" s="153">
        <f>SUM(C31:C32)</f>
        <v>2.3709813198640286</v>
      </c>
      <c r="D30" s="154">
        <f>B30/$B$10</f>
        <v>6.0961027394987675E-2</v>
      </c>
    </row>
    <row r="31" spans="1:10" x14ac:dyDescent="0.45">
      <c r="A31" s="155" t="s">
        <v>74</v>
      </c>
      <c r="B31" s="143">
        <f>conversion!D200</f>
        <v>236.11111111111111</v>
      </c>
      <c r="C31" s="143">
        <f>B31/input!$C$88</f>
        <v>2.2644203616678924</v>
      </c>
      <c r="D31" s="164">
        <f t="shared" ref="D31:D32" si="2">B31/$B$10</f>
        <v>5.8221205939033176E-2</v>
      </c>
    </row>
    <row r="32" spans="1:10" ht="14.65" thickBot="1" x14ac:dyDescent="0.5">
      <c r="A32" s="165" t="s">
        <v>75</v>
      </c>
      <c r="B32" s="166">
        <f>conversion!D207</f>
        <v>11.111111111111111</v>
      </c>
      <c r="C32" s="166">
        <f>B32/input!$C$88</f>
        <v>0.1065609581961361</v>
      </c>
      <c r="D32" s="167">
        <f t="shared" si="2"/>
        <v>2.7398214559545024E-3</v>
      </c>
    </row>
    <row r="33" spans="1:14" ht="14.65" thickBot="1" x14ac:dyDescent="0.5"/>
    <row r="34" spans="1:14" ht="14.65" thickBot="1" x14ac:dyDescent="0.5">
      <c r="A34" s="146" t="s">
        <v>76</v>
      </c>
      <c r="B34" s="168" t="str">
        <f>B4</f>
        <v>INR/1000</v>
      </c>
      <c r="C34" s="169" t="str">
        <f>C4</f>
        <v>EUR/1000</v>
      </c>
      <c r="D34" s="170" t="str">
        <f>D4</f>
        <v>% of Total Cost</v>
      </c>
      <c r="E34" s="169" t="s">
        <v>57</v>
      </c>
      <c r="F34" s="169" t="s">
        <v>77</v>
      </c>
      <c r="G34" s="169" t="s">
        <v>78</v>
      </c>
      <c r="H34" s="169" t="s">
        <v>79</v>
      </c>
      <c r="I34" s="169" t="s">
        <v>80</v>
      </c>
      <c r="J34" s="169" t="s">
        <v>70</v>
      </c>
      <c r="K34" s="169" t="s">
        <v>71</v>
      </c>
      <c r="L34" s="169" t="s">
        <v>72</v>
      </c>
      <c r="M34" s="169" t="s">
        <v>81</v>
      </c>
      <c r="N34" s="170" t="s">
        <v>59</v>
      </c>
    </row>
    <row r="35" spans="1:14" x14ac:dyDescent="0.45">
      <c r="A35" s="171" t="s">
        <v>475</v>
      </c>
      <c r="B35" s="172">
        <f>SUM(E35:N35)</f>
        <v>1828.8090369066001</v>
      </c>
      <c r="C35" s="143">
        <f>B35/input!$C$88</f>
        <v>17.539167899746811</v>
      </c>
      <c r="D35" s="173">
        <f>B35/$B$39</f>
        <v>0.4509549214344174</v>
      </c>
      <c r="E35" s="143">
        <f>B13+B14+B15</f>
        <v>1804.9591698021964</v>
      </c>
      <c r="F35" s="143"/>
      <c r="G35" s="143"/>
      <c r="H35" s="143"/>
      <c r="I35" s="143"/>
      <c r="J35" s="143"/>
      <c r="K35" s="143"/>
      <c r="L35" s="143">
        <f>conversion!D217</f>
        <v>19.874889253669878</v>
      </c>
      <c r="M35" s="143"/>
      <c r="N35" s="174">
        <f>SUM(F35:M35)*input!$C$68</f>
        <v>3.9749778507339757</v>
      </c>
    </row>
    <row r="36" spans="1:14" ht="28.5" x14ac:dyDescent="0.45">
      <c r="A36" s="189" t="s">
        <v>478</v>
      </c>
      <c r="B36" s="172">
        <f>SUM(E36:N36)</f>
        <v>1979.3830405742242</v>
      </c>
      <c r="C36" s="143">
        <f>B36/input!$C$88</f>
        <v>18.983245809669359</v>
      </c>
      <c r="D36" s="173">
        <f>B36/$B$39</f>
        <v>0.48808405117059495</v>
      </c>
      <c r="E36" s="143"/>
      <c r="F36" s="143">
        <f>conversion!D91</f>
        <v>263.53333333333336</v>
      </c>
      <c r="G36" s="143">
        <f>conversion!D93+conversion!E189</f>
        <v>150.13957029245535</v>
      </c>
      <c r="H36" s="143">
        <f>conversion!D74</f>
        <v>137.6804270204959</v>
      </c>
      <c r="I36" s="143">
        <f>conversion!D78</f>
        <v>137.6804270204959</v>
      </c>
      <c r="J36" s="143">
        <f>conversion!E188</f>
        <v>0</v>
      </c>
      <c r="K36" s="143">
        <f>conversion!D60+conversion!E186</f>
        <v>414.57034026368939</v>
      </c>
      <c r="L36" s="143">
        <f>conversion!D64+conversion!E187</f>
        <v>545.881769214717</v>
      </c>
      <c r="M36" s="143"/>
      <c r="N36" s="174">
        <f>SUM(F36:M36)*input!$C$68</f>
        <v>329.89717342903737</v>
      </c>
    </row>
    <row r="37" spans="1:14" x14ac:dyDescent="0.45">
      <c r="A37" s="171" t="s">
        <v>82</v>
      </c>
      <c r="B37" s="172">
        <f>SUM(E37:N37)</f>
        <v>247.22222222222223</v>
      </c>
      <c r="C37" s="143">
        <f>B37/input!$C$88</f>
        <v>2.3709813198640282</v>
      </c>
      <c r="D37" s="173">
        <f>B37/$B$39</f>
        <v>6.0961027394987689E-2</v>
      </c>
      <c r="E37" s="143"/>
      <c r="F37" s="143"/>
      <c r="G37" s="143"/>
      <c r="H37" s="143"/>
      <c r="I37" s="143"/>
      <c r="J37" s="143"/>
      <c r="K37" s="143"/>
      <c r="L37" s="143"/>
      <c r="M37" s="143">
        <f>conversion!D200+conversion!D207</f>
        <v>247.22222222222223</v>
      </c>
      <c r="N37" s="174"/>
    </row>
    <row r="38" spans="1:14" ht="14.65" thickBot="1" x14ac:dyDescent="0.5">
      <c r="A38" s="171"/>
      <c r="B38" s="172"/>
      <c r="C38" s="143"/>
      <c r="D38" s="173"/>
      <c r="E38" s="143"/>
      <c r="F38" s="143"/>
      <c r="G38" s="143"/>
      <c r="H38" s="143"/>
      <c r="I38" s="143"/>
      <c r="J38" s="143"/>
      <c r="K38" s="143"/>
      <c r="L38" s="143"/>
      <c r="M38" s="143"/>
      <c r="N38" s="174"/>
    </row>
    <row r="39" spans="1:14" ht="14.65" thickBot="1" x14ac:dyDescent="0.5">
      <c r="A39" s="175"/>
      <c r="B39" s="176">
        <f>SUM(B35:B37)</f>
        <v>4055.4142997030463</v>
      </c>
      <c r="C39" s="177">
        <f>SUM(C35:C37)</f>
        <v>38.8933950292802</v>
      </c>
      <c r="D39" s="178">
        <f>B39/$B$39</f>
        <v>1</v>
      </c>
      <c r="E39" s="176">
        <f t="shared" ref="E39:N39" si="3">SUM(E35:E37)</f>
        <v>1804.9591698021964</v>
      </c>
      <c r="F39" s="177">
        <f t="shared" si="3"/>
        <v>263.53333333333336</v>
      </c>
      <c r="G39" s="177">
        <f t="shared" si="3"/>
        <v>150.13957029245535</v>
      </c>
      <c r="H39" s="177">
        <f t="shared" si="3"/>
        <v>137.6804270204959</v>
      </c>
      <c r="I39" s="177">
        <f t="shared" si="3"/>
        <v>137.6804270204959</v>
      </c>
      <c r="J39" s="177">
        <f t="shared" si="3"/>
        <v>0</v>
      </c>
      <c r="K39" s="177">
        <f t="shared" si="3"/>
        <v>414.57034026368939</v>
      </c>
      <c r="L39" s="177">
        <f t="shared" si="3"/>
        <v>565.75665846838683</v>
      </c>
      <c r="M39" s="177">
        <f t="shared" si="3"/>
        <v>247.22222222222223</v>
      </c>
      <c r="N39" s="179">
        <f t="shared" si="3"/>
        <v>333.87215127977134</v>
      </c>
    </row>
    <row r="40" spans="1:14" x14ac:dyDescent="0.45">
      <c r="A40" s="171"/>
      <c r="B40" s="180">
        <f>B39-B10</f>
        <v>0</v>
      </c>
      <c r="C40" s="180">
        <f>C39-C10</f>
        <v>0</v>
      </c>
      <c r="D40" s="181"/>
      <c r="E40" s="182">
        <f>E39-B5</f>
        <v>0</v>
      </c>
      <c r="F40" s="183">
        <f>F39-B19</f>
        <v>0</v>
      </c>
      <c r="G40" s="183">
        <f>G39-B20-B21</f>
        <v>0</v>
      </c>
      <c r="H40" s="183">
        <f>H39-B22</f>
        <v>0</v>
      </c>
      <c r="I40" s="183">
        <f>I39-B23</f>
        <v>0</v>
      </c>
      <c r="J40" s="183">
        <f>J39-B24</f>
        <v>0</v>
      </c>
      <c r="K40" s="183">
        <f>K39-B25</f>
        <v>0</v>
      </c>
      <c r="L40" s="183">
        <f>L39-B26</f>
        <v>0</v>
      </c>
      <c r="M40" s="183">
        <f>M39-B30</f>
        <v>0</v>
      </c>
      <c r="N40" s="183">
        <f>N39-B28</f>
        <v>0</v>
      </c>
    </row>
    <row r="52" spans="5:14" x14ac:dyDescent="0.45">
      <c r="E52" s="184"/>
      <c r="F52" s="184"/>
      <c r="G52" s="184"/>
      <c r="H52" s="184"/>
      <c r="I52" s="184"/>
      <c r="J52" s="184"/>
      <c r="K52" s="184"/>
      <c r="L52" s="184"/>
      <c r="M52" s="184"/>
      <c r="N52" s="184"/>
    </row>
    <row r="53" spans="5:14" x14ac:dyDescent="0.45">
      <c r="E53" s="184"/>
      <c r="F53" s="184"/>
      <c r="G53" s="184"/>
      <c r="H53" s="184"/>
      <c r="I53" s="184"/>
      <c r="J53" s="184"/>
      <c r="K53" s="184"/>
      <c r="L53" s="184"/>
      <c r="M53" s="184"/>
      <c r="N53" s="184"/>
    </row>
    <row r="54" spans="5:14" x14ac:dyDescent="0.45">
      <c r="E54" s="184"/>
      <c r="F54" s="184"/>
      <c r="G54" s="184"/>
      <c r="H54" s="184"/>
      <c r="I54" s="184"/>
      <c r="J54" s="184"/>
      <c r="K54" s="184"/>
      <c r="L54" s="184"/>
      <c r="M54" s="184"/>
      <c r="N54" s="184"/>
    </row>
    <row r="55" spans="5:14" x14ac:dyDescent="0.45">
      <c r="E55" s="184"/>
      <c r="F55" s="184"/>
      <c r="G55" s="184"/>
      <c r="H55" s="184"/>
      <c r="I55" s="184"/>
      <c r="J55" s="184"/>
      <c r="K55" s="184"/>
      <c r="L55" s="184"/>
      <c r="M55" s="184"/>
      <c r="N55" s="184"/>
    </row>
    <row r="56" spans="5:14" x14ac:dyDescent="0.45">
      <c r="E56" s="184"/>
      <c r="F56" s="184"/>
      <c r="G56" s="184"/>
      <c r="H56" s="184"/>
      <c r="I56" s="184"/>
      <c r="J56" s="184"/>
      <c r="K56" s="184"/>
      <c r="L56" s="184"/>
      <c r="M56" s="184"/>
      <c r="N56" s="184"/>
    </row>
    <row r="57" spans="5:14" x14ac:dyDescent="0.45">
      <c r="E57" s="184"/>
      <c r="F57" s="184"/>
      <c r="G57" s="184"/>
      <c r="H57" s="184"/>
      <c r="I57" s="184"/>
      <c r="J57" s="184"/>
      <c r="K57" s="184"/>
      <c r="L57" s="184"/>
      <c r="M57" s="184"/>
      <c r="N57" s="18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4000-4D34-42DC-B2BE-687DCE832607}">
  <dimension ref="A2:I99"/>
  <sheetViews>
    <sheetView showGridLines="0" workbookViewId="0"/>
  </sheetViews>
  <sheetFormatPr defaultColWidth="9.1328125" defaultRowHeight="11.65" x14ac:dyDescent="0.35"/>
  <cols>
    <col min="1" max="1" width="19.46484375" style="3" customWidth="1"/>
    <col min="2" max="2" width="11.796875" style="23" customWidth="1"/>
    <col min="3" max="3" width="19.796875" style="24" customWidth="1"/>
    <col min="4" max="4" width="13.6640625" style="94" customWidth="1"/>
    <col min="5" max="5" width="20.19921875" style="3" bestFit="1" customWidth="1"/>
    <col min="6" max="6" width="18.19921875" style="3" customWidth="1"/>
    <col min="7" max="7" width="9.1328125" style="3"/>
    <col min="8" max="8" width="14.1328125" style="3" customWidth="1"/>
    <col min="9" max="16384" width="9.1328125" style="3"/>
  </cols>
  <sheetData>
    <row r="2" spans="1:9" ht="23.75" customHeight="1" x14ac:dyDescent="0.35">
      <c r="A2" s="96" t="s">
        <v>83</v>
      </c>
      <c r="C2" s="95" t="s">
        <v>406</v>
      </c>
    </row>
    <row r="3" spans="1:9" x14ac:dyDescent="0.35">
      <c r="A3" s="3" t="s">
        <v>54</v>
      </c>
      <c r="C3" s="25" t="s">
        <v>473</v>
      </c>
    </row>
    <row r="4" spans="1:9" x14ac:dyDescent="0.35">
      <c r="A4" s="3" t="s">
        <v>84</v>
      </c>
      <c r="C4" s="24" t="s">
        <v>85</v>
      </c>
      <c r="D4" s="108" t="s">
        <v>99</v>
      </c>
    </row>
    <row r="5" spans="1:9" x14ac:dyDescent="0.35">
      <c r="A5" s="3" t="s">
        <v>483</v>
      </c>
      <c r="C5" s="203" t="str">
        <f>VLOOKUP($C$4,_xlnm.Database,MATCH($A5,Database!$A$3:$P$3,0),0)</f>
        <v>INR</v>
      </c>
    </row>
    <row r="6" spans="1:9" x14ac:dyDescent="0.35">
      <c r="A6" s="3" t="s">
        <v>88</v>
      </c>
      <c r="C6" s="24" t="s">
        <v>89</v>
      </c>
    </row>
    <row r="7" spans="1:9" x14ac:dyDescent="0.35">
      <c r="A7" s="3" t="s">
        <v>90</v>
      </c>
      <c r="C7" s="26" t="s">
        <v>91</v>
      </c>
    </row>
    <row r="8" spans="1:9" x14ac:dyDescent="0.35">
      <c r="A8" s="3" t="s">
        <v>92</v>
      </c>
      <c r="B8" s="23" t="s">
        <v>93</v>
      </c>
      <c r="C8" s="213">
        <v>62975559</v>
      </c>
    </row>
    <row r="10" spans="1:9" x14ac:dyDescent="0.35">
      <c r="A10" s="27" t="s">
        <v>94</v>
      </c>
      <c r="F10" s="28"/>
    </row>
    <row r="11" spans="1:9" x14ac:dyDescent="0.35">
      <c r="A11" s="3" t="s">
        <v>95</v>
      </c>
      <c r="B11" s="23" t="s">
        <v>96</v>
      </c>
      <c r="C11" s="207">
        <v>17.5</v>
      </c>
      <c r="G11" s="23"/>
      <c r="H11" s="29"/>
    </row>
    <row r="12" spans="1:9" x14ac:dyDescent="0.35">
      <c r="A12" s="3" t="s">
        <v>97</v>
      </c>
      <c r="B12" s="23" t="s">
        <v>26</v>
      </c>
      <c r="C12" s="208">
        <v>0.98</v>
      </c>
      <c r="G12" s="23"/>
      <c r="I12" s="30"/>
    </row>
    <row r="13" spans="1:9" x14ac:dyDescent="0.35">
      <c r="A13" s="3" t="s">
        <v>98</v>
      </c>
      <c r="C13" s="24" t="s">
        <v>405</v>
      </c>
      <c r="D13" s="108" t="s">
        <v>99</v>
      </c>
      <c r="G13" s="23"/>
      <c r="H13" s="31"/>
    </row>
    <row r="14" spans="1:9" x14ac:dyDescent="0.35">
      <c r="A14" s="3" t="s">
        <v>101</v>
      </c>
      <c r="C14" s="24" t="s">
        <v>102</v>
      </c>
      <c r="G14" s="23"/>
      <c r="H14" s="32"/>
    </row>
    <row r="15" spans="1:9" x14ac:dyDescent="0.35">
      <c r="A15" s="3" t="s">
        <v>103</v>
      </c>
      <c r="B15" s="23" t="str">
        <f>$C$5&amp;"/kg"</f>
        <v>INR/kg</v>
      </c>
      <c r="C15" s="212">
        <v>95</v>
      </c>
      <c r="G15" s="23"/>
      <c r="H15" s="32"/>
    </row>
    <row r="16" spans="1:9" x14ac:dyDescent="0.35">
      <c r="A16" s="3" t="s">
        <v>104</v>
      </c>
      <c r="B16" s="23" t="s">
        <v>26</v>
      </c>
      <c r="C16" s="212">
        <v>0.02</v>
      </c>
      <c r="G16" s="23"/>
      <c r="H16" s="34"/>
      <c r="I16" s="30"/>
    </row>
    <row r="17" spans="1:9" x14ac:dyDescent="0.35">
      <c r="A17" s="3" t="s">
        <v>105</v>
      </c>
      <c r="B17" s="23" t="str">
        <f>$C$5&amp;"/kg"</f>
        <v>INR/kg</v>
      </c>
      <c r="C17" s="210">
        <f>IF(D17=0,VLOOKUP($C$4,_xlnm.Database,MATCH($A17,Database!$A$3:$U$3,0),0),D17)</f>
        <v>450.44640000000004</v>
      </c>
      <c r="D17" s="217"/>
      <c r="E17" s="108" t="s">
        <v>533</v>
      </c>
      <c r="G17" s="23"/>
      <c r="H17" s="34"/>
      <c r="I17" s="30"/>
    </row>
    <row r="18" spans="1:9" x14ac:dyDescent="0.35">
      <c r="A18" s="3" t="s">
        <v>410</v>
      </c>
      <c r="B18" s="23" t="s">
        <v>26</v>
      </c>
      <c r="C18" s="212">
        <v>0</v>
      </c>
      <c r="G18" s="23"/>
      <c r="H18" s="34"/>
      <c r="I18" s="35"/>
    </row>
    <row r="19" spans="1:9" x14ac:dyDescent="0.35">
      <c r="A19" s="3" t="s">
        <v>411</v>
      </c>
      <c r="C19" s="216">
        <v>0</v>
      </c>
      <c r="D19" s="218"/>
      <c r="E19" s="108" t="s">
        <v>533</v>
      </c>
      <c r="G19" s="23"/>
      <c r="H19" s="34"/>
      <c r="I19" s="35"/>
    </row>
    <row r="20" spans="1:9" x14ac:dyDescent="0.35">
      <c r="C20" s="213"/>
      <c r="G20" s="23"/>
      <c r="H20" s="31"/>
    </row>
    <row r="21" spans="1:9" x14ac:dyDescent="0.35">
      <c r="A21" s="3" t="s">
        <v>106</v>
      </c>
      <c r="B21" s="23" t="s">
        <v>26</v>
      </c>
      <c r="C21" s="208">
        <v>0</v>
      </c>
      <c r="G21" s="23"/>
      <c r="H21" s="36"/>
    </row>
    <row r="22" spans="1:9" x14ac:dyDescent="0.35">
      <c r="A22" s="3" t="s">
        <v>107</v>
      </c>
      <c r="B22" s="23" t="s">
        <v>26</v>
      </c>
      <c r="C22" s="208">
        <v>0</v>
      </c>
    </row>
    <row r="23" spans="1:9" x14ac:dyDescent="0.35">
      <c r="A23" s="3" t="s">
        <v>108</v>
      </c>
      <c r="C23" s="24" t="s">
        <v>405</v>
      </c>
      <c r="D23" s="108" t="s">
        <v>99</v>
      </c>
      <c r="F23" s="28"/>
    </row>
    <row r="24" spans="1:9" x14ac:dyDescent="0.35">
      <c r="A24" s="3" t="s">
        <v>109</v>
      </c>
      <c r="G24" s="23"/>
      <c r="H24" s="34"/>
    </row>
    <row r="25" spans="1:9" x14ac:dyDescent="0.35">
      <c r="A25" s="3" t="s">
        <v>110</v>
      </c>
      <c r="B25" s="23" t="str">
        <f>$C$5&amp;"/kg"</f>
        <v>INR/kg</v>
      </c>
      <c r="C25" s="207"/>
      <c r="G25" s="23"/>
      <c r="H25" s="34"/>
    </row>
    <row r="26" spans="1:9" x14ac:dyDescent="0.35">
      <c r="A26" s="3" t="s">
        <v>111</v>
      </c>
      <c r="B26" s="23" t="s">
        <v>26</v>
      </c>
      <c r="C26" s="209">
        <v>0</v>
      </c>
      <c r="G26" s="23"/>
      <c r="H26" s="34"/>
    </row>
    <row r="27" spans="1:9" x14ac:dyDescent="0.35">
      <c r="A27" s="3" t="s">
        <v>112</v>
      </c>
      <c r="B27" s="23" t="str">
        <f>$C$5&amp;"/kg"</f>
        <v>INR/kg</v>
      </c>
      <c r="C27" s="216">
        <v>0</v>
      </c>
      <c r="D27" s="218"/>
      <c r="E27" s="108" t="s">
        <v>533</v>
      </c>
      <c r="G27" s="23"/>
      <c r="H27" s="34"/>
    </row>
    <row r="28" spans="1:9" x14ac:dyDescent="0.35">
      <c r="A28" s="3" t="s">
        <v>415</v>
      </c>
      <c r="B28" s="23" t="s">
        <v>26</v>
      </c>
      <c r="C28" s="209">
        <v>0</v>
      </c>
    </row>
    <row r="29" spans="1:9" x14ac:dyDescent="0.35">
      <c r="A29" s="3" t="s">
        <v>416</v>
      </c>
      <c r="B29" s="23" t="str">
        <f>$C$5&amp;"/kg"</f>
        <v>INR/kg</v>
      </c>
      <c r="C29" s="216">
        <v>0</v>
      </c>
      <c r="D29" s="218"/>
      <c r="E29" s="108" t="s">
        <v>533</v>
      </c>
    </row>
    <row r="30" spans="1:9" x14ac:dyDescent="0.35">
      <c r="G30" s="23"/>
      <c r="H30" s="37"/>
    </row>
    <row r="31" spans="1:9" x14ac:dyDescent="0.35">
      <c r="A31" s="3" t="s">
        <v>414</v>
      </c>
      <c r="B31" s="23" t="s">
        <v>26</v>
      </c>
      <c r="C31" s="209">
        <v>0</v>
      </c>
      <c r="G31" s="23"/>
      <c r="H31" s="37"/>
    </row>
    <row r="32" spans="1:9" x14ac:dyDescent="0.35">
      <c r="A32" s="3" t="s">
        <v>413</v>
      </c>
      <c r="B32" s="23" t="str">
        <f>$C$5&amp;"/kg"</f>
        <v>INR/kg</v>
      </c>
      <c r="C32" s="216">
        <v>0</v>
      </c>
      <c r="D32" s="218"/>
      <c r="E32" s="108" t="s">
        <v>533</v>
      </c>
    </row>
    <row r="34" spans="1:5" x14ac:dyDescent="0.35">
      <c r="A34" s="27" t="s">
        <v>404</v>
      </c>
      <c r="C34" s="24" t="s">
        <v>400</v>
      </c>
      <c r="D34" s="108"/>
    </row>
    <row r="35" spans="1:5" x14ac:dyDescent="0.35">
      <c r="A35" s="28" t="s">
        <v>409</v>
      </c>
      <c r="C35" s="113" t="s">
        <v>476</v>
      </c>
    </row>
    <row r="36" spans="1:5" x14ac:dyDescent="0.35">
      <c r="A36" s="3" t="s">
        <v>113</v>
      </c>
      <c r="B36" s="23" t="s">
        <v>114</v>
      </c>
      <c r="C36" s="24">
        <v>8</v>
      </c>
    </row>
    <row r="37" spans="1:5" x14ac:dyDescent="0.35">
      <c r="A37" s="3" t="s">
        <v>115</v>
      </c>
      <c r="B37" s="23" t="s">
        <v>116</v>
      </c>
      <c r="C37" s="24">
        <v>16</v>
      </c>
    </row>
    <row r="38" spans="1:5" x14ac:dyDescent="0.35">
      <c r="A38" s="3" t="s">
        <v>117</v>
      </c>
      <c r="C38" s="24" t="s">
        <v>402</v>
      </c>
      <c r="D38" s="108" t="s">
        <v>99</v>
      </c>
    </row>
    <row r="39" spans="1:5" x14ac:dyDescent="0.35">
      <c r="A39" s="3" t="s">
        <v>448</v>
      </c>
      <c r="B39" s="23" t="s">
        <v>114</v>
      </c>
      <c r="C39" s="42">
        <v>6</v>
      </c>
      <c r="D39" s="108"/>
    </row>
    <row r="40" spans="1:5" x14ac:dyDescent="0.35">
      <c r="A40" s="3" t="s">
        <v>451</v>
      </c>
      <c r="B40" s="23" t="s">
        <v>114</v>
      </c>
      <c r="C40" s="62">
        <v>6</v>
      </c>
      <c r="D40" s="108"/>
    </row>
    <row r="41" spans="1:5" x14ac:dyDescent="0.35">
      <c r="C41" s="94"/>
    </row>
    <row r="42" spans="1:5" x14ac:dyDescent="0.35">
      <c r="A42" s="27" t="s">
        <v>77</v>
      </c>
    </row>
    <row r="43" spans="1:5" x14ac:dyDescent="0.35">
      <c r="A43" s="3" t="s">
        <v>118</v>
      </c>
      <c r="B43" s="23" t="str">
        <f>$C$5&amp;"/kWH"</f>
        <v>INR/kWH</v>
      </c>
      <c r="C43" s="210">
        <f>IF(D43=0,VLOOKUP($C$4,_xlnm.Database,MATCH($A43,Database!$A$3:$P$3,0),0),D43)</f>
        <v>10.72</v>
      </c>
      <c r="D43" s="206"/>
      <c r="E43" s="108" t="s">
        <v>533</v>
      </c>
    </row>
    <row r="45" spans="1:5" x14ac:dyDescent="0.35">
      <c r="A45" s="27" t="s">
        <v>119</v>
      </c>
    </row>
    <row r="46" spans="1:5" x14ac:dyDescent="0.35">
      <c r="A46" s="3" t="s">
        <v>45</v>
      </c>
      <c r="B46" s="23" t="str">
        <f>$C$5&amp;"/year"</f>
        <v>INR/year</v>
      </c>
      <c r="C46" s="204">
        <f>IF(D46=0,VLOOKUP($C$4,_xlnm.Database,MATCH($A46,Database!$A$3:$P$3,0),0),D46)</f>
        <v>541800</v>
      </c>
      <c r="D46" s="206"/>
    </row>
    <row r="47" spans="1:5" x14ac:dyDescent="0.35">
      <c r="A47" s="3" t="s">
        <v>49</v>
      </c>
      <c r="B47" s="23" t="str">
        <f>$C$5&amp;"/year"</f>
        <v>INR/year</v>
      </c>
      <c r="C47" s="204">
        <f>IF(D47=0,VLOOKUP($C$4,_xlnm.Database,MATCH($A47,Database!$A$3:$P$3,0),0),D47)</f>
        <v>1260000</v>
      </c>
      <c r="D47" s="206"/>
    </row>
    <row r="48" spans="1:5" x14ac:dyDescent="0.35">
      <c r="A48" s="3" t="s">
        <v>51</v>
      </c>
      <c r="B48" s="23" t="str">
        <f>$C$5&amp;"/year"</f>
        <v>INR/year</v>
      </c>
      <c r="C48" s="204">
        <f>IF(D48=0,VLOOKUP($C$4,_xlnm.Database,MATCH($A48,Database!$A$3:$P$3,0),0),D48)</f>
        <v>1890000</v>
      </c>
      <c r="D48" s="206"/>
    </row>
    <row r="50" spans="1:4" x14ac:dyDescent="0.35">
      <c r="A50" s="38" t="s">
        <v>120</v>
      </c>
      <c r="B50" s="39"/>
    </row>
    <row r="51" spans="1:4" x14ac:dyDescent="0.35">
      <c r="A51" s="40" t="s">
        <v>121</v>
      </c>
      <c r="B51" s="39" t="s">
        <v>122</v>
      </c>
      <c r="C51" s="41">
        <v>2.5000000000000001E-2</v>
      </c>
    </row>
    <row r="52" spans="1:4" x14ac:dyDescent="0.35">
      <c r="A52" s="40" t="s">
        <v>42</v>
      </c>
      <c r="B52" s="39" t="s">
        <v>122</v>
      </c>
      <c r="C52" s="41">
        <v>2.5000000000000001E-2</v>
      </c>
    </row>
    <row r="53" spans="1:4" x14ac:dyDescent="0.35">
      <c r="A53" s="40"/>
      <c r="B53" s="39"/>
    </row>
    <row r="54" spans="1:4" x14ac:dyDescent="0.35">
      <c r="A54" s="27" t="s">
        <v>71</v>
      </c>
    </row>
    <row r="55" spans="1:4" x14ac:dyDescent="0.35">
      <c r="A55" s="205" t="s">
        <v>542</v>
      </c>
      <c r="B55" s="23" t="s">
        <v>26</v>
      </c>
      <c r="C55" s="211">
        <f>IF(D55=0,VLOOKUP($C$4,_xlnm.Database,MATCH($A55,Database!$A$3:$P$3,0),0),D55)</f>
        <v>0.15</v>
      </c>
      <c r="D55" s="206"/>
    </row>
    <row r="56" spans="1:4" x14ac:dyDescent="0.35">
      <c r="A56" s="3" t="s">
        <v>25</v>
      </c>
      <c r="B56" s="23" t="s">
        <v>26</v>
      </c>
      <c r="C56" s="211">
        <f>IF(D56=0,VLOOKUP($C$4,_xlnm.Database,MATCH($A56,Database!$A$3:$P$3,0),0),D56)</f>
        <v>0.1</v>
      </c>
      <c r="D56" s="206"/>
    </row>
    <row r="57" spans="1:4" x14ac:dyDescent="0.35">
      <c r="A57" s="3" t="s">
        <v>123</v>
      </c>
      <c r="B57" s="23" t="s">
        <v>124</v>
      </c>
      <c r="C57" s="24">
        <v>5</v>
      </c>
    </row>
    <row r="59" spans="1:4" x14ac:dyDescent="0.35">
      <c r="A59" s="38" t="s">
        <v>125</v>
      </c>
    </row>
    <row r="60" spans="1:4" x14ac:dyDescent="0.35">
      <c r="A60" s="3" t="s">
        <v>10</v>
      </c>
      <c r="B60" s="23" t="s">
        <v>126</v>
      </c>
      <c r="C60" s="204">
        <f>IF(D60=0,VLOOKUP($C$4,_xlnm.Database,MATCH($A60,Database!$A$3:$P$3,0),0),D60)</f>
        <v>23519.018667714194</v>
      </c>
      <c r="D60" s="206"/>
    </row>
    <row r="61" spans="1:4" x14ac:dyDescent="0.35">
      <c r="A61" s="205" t="s">
        <v>15</v>
      </c>
      <c r="B61" s="23" t="s">
        <v>127</v>
      </c>
      <c r="C61" s="204">
        <f>IF(D61=0,VLOOKUP($C$4,_xlnm.Database,MATCH($A61,Database!$A$3:$P$3,0),0),D61)</f>
        <v>7000</v>
      </c>
      <c r="D61" s="206"/>
    </row>
    <row r="62" spans="1:4" x14ac:dyDescent="0.35">
      <c r="A62" s="3" t="s">
        <v>19</v>
      </c>
      <c r="B62" s="23" t="s">
        <v>127</v>
      </c>
      <c r="C62" s="204">
        <f>IF(D62=0,VLOOKUP($C$4,_xlnm.Database,MATCH($A62,Database!$A$3:$P$3,0),0),D62)</f>
        <v>2136.331306739994</v>
      </c>
      <c r="D62" s="206"/>
    </row>
    <row r="63" spans="1:4" x14ac:dyDescent="0.35">
      <c r="A63" s="3" t="s">
        <v>23</v>
      </c>
      <c r="C63" s="24" t="s">
        <v>128</v>
      </c>
      <c r="D63" s="108" t="s">
        <v>99</v>
      </c>
    </row>
    <row r="65" spans="1:4" x14ac:dyDescent="0.35">
      <c r="A65" s="27" t="s">
        <v>6</v>
      </c>
    </row>
    <row r="66" spans="1:4" x14ac:dyDescent="0.35">
      <c r="A66" s="3" t="s">
        <v>31</v>
      </c>
      <c r="B66" s="23" t="s">
        <v>26</v>
      </c>
      <c r="C66" s="211">
        <f>IF(D66=0,VLOOKUP($C$4,_xlnm.Database,MATCH($A66,Database!$A$3:$P$3,0),0),D66)</f>
        <v>0.125</v>
      </c>
      <c r="D66" s="206"/>
    </row>
    <row r="67" spans="1:4" x14ac:dyDescent="0.35">
      <c r="A67" s="3" t="s">
        <v>34</v>
      </c>
      <c r="B67" s="23" t="s">
        <v>26</v>
      </c>
      <c r="C67" s="211">
        <f>IF(D67=0,VLOOKUP($C$4,_xlnm.Database,MATCH($A67,Database!$A$3:$P$3,0),0),D67)</f>
        <v>0.14000000000000001</v>
      </c>
      <c r="D67" s="206"/>
    </row>
    <row r="68" spans="1:4" x14ac:dyDescent="0.35">
      <c r="A68" s="3" t="s">
        <v>59</v>
      </c>
      <c r="B68" s="23" t="s">
        <v>26</v>
      </c>
      <c r="C68" s="33">
        <v>0.2</v>
      </c>
    </row>
    <row r="69" spans="1:4" x14ac:dyDescent="0.35">
      <c r="A69" s="3" t="s">
        <v>129</v>
      </c>
      <c r="C69" s="24" t="s">
        <v>130</v>
      </c>
      <c r="D69" s="108" t="s">
        <v>99</v>
      </c>
    </row>
    <row r="71" spans="1:4" x14ac:dyDescent="0.35">
      <c r="A71" s="43" t="s">
        <v>471</v>
      </c>
    </row>
    <row r="72" spans="1:4" x14ac:dyDescent="0.35">
      <c r="A72" s="3" t="s">
        <v>131</v>
      </c>
      <c r="B72" s="23" t="s">
        <v>114</v>
      </c>
      <c r="C72" s="44">
        <v>360</v>
      </c>
    </row>
    <row r="73" spans="1:4" x14ac:dyDescent="0.35">
      <c r="A73" s="3" t="s">
        <v>132</v>
      </c>
      <c r="B73" s="23" t="s">
        <v>114</v>
      </c>
      <c r="C73" s="44">
        <v>0</v>
      </c>
    </row>
    <row r="74" spans="1:4" x14ac:dyDescent="0.35">
      <c r="A74" s="3" t="s">
        <v>428</v>
      </c>
      <c r="B74" s="23" t="s">
        <v>114</v>
      </c>
      <c r="C74" s="219">
        <v>2000</v>
      </c>
    </row>
    <row r="75" spans="1:4" x14ac:dyDescent="0.35">
      <c r="A75" s="3" t="s">
        <v>429</v>
      </c>
      <c r="B75" s="23" t="s">
        <v>87</v>
      </c>
      <c r="C75" s="44">
        <v>60</v>
      </c>
    </row>
    <row r="76" spans="1:4" x14ac:dyDescent="0.35">
      <c r="A76" s="3" t="s">
        <v>430</v>
      </c>
      <c r="B76" s="23" t="s">
        <v>87</v>
      </c>
      <c r="C76" s="44">
        <v>25</v>
      </c>
    </row>
    <row r="77" spans="1:4" x14ac:dyDescent="0.35">
      <c r="A77" s="3" t="s">
        <v>133</v>
      </c>
      <c r="C77" s="24" t="s">
        <v>134</v>
      </c>
      <c r="D77" s="108" t="s">
        <v>99</v>
      </c>
    </row>
    <row r="78" spans="1:4" x14ac:dyDescent="0.35">
      <c r="A78" s="3" t="s">
        <v>135</v>
      </c>
      <c r="C78" s="24" t="s">
        <v>136</v>
      </c>
      <c r="D78" s="108" t="s">
        <v>99</v>
      </c>
    </row>
    <row r="79" spans="1:4" x14ac:dyDescent="0.35">
      <c r="A79" s="3" t="s">
        <v>137</v>
      </c>
      <c r="C79" s="24">
        <v>8000</v>
      </c>
    </row>
    <row r="81" spans="1:4" x14ac:dyDescent="0.35">
      <c r="A81" s="3" t="s">
        <v>138</v>
      </c>
      <c r="C81" s="45">
        <v>330</v>
      </c>
    </row>
    <row r="82" spans="1:4" x14ac:dyDescent="0.35">
      <c r="A82" s="3" t="s">
        <v>139</v>
      </c>
      <c r="C82" s="44">
        <v>3</v>
      </c>
    </row>
    <row r="83" spans="1:4" x14ac:dyDescent="0.35">
      <c r="A83" s="3" t="s">
        <v>140</v>
      </c>
      <c r="C83" s="44">
        <v>24</v>
      </c>
    </row>
    <row r="84" spans="1:4" x14ac:dyDescent="0.35">
      <c r="A84" s="3" t="s">
        <v>141</v>
      </c>
      <c r="C84" s="46">
        <v>0.8</v>
      </c>
    </row>
    <row r="85" spans="1:4" x14ac:dyDescent="0.35">
      <c r="A85" s="3" t="s">
        <v>142</v>
      </c>
      <c r="C85" s="44">
        <f>C81*C83</f>
        <v>7920</v>
      </c>
    </row>
    <row r="87" spans="1:4" x14ac:dyDescent="0.35">
      <c r="A87" s="27" t="s">
        <v>143</v>
      </c>
    </row>
    <row r="88" spans="1:4" x14ac:dyDescent="0.35">
      <c r="A88" s="205" t="s">
        <v>498</v>
      </c>
      <c r="C88" s="204">
        <f>IF(D88=0,VLOOKUP($C$4,_xlnm.Database,MATCH($A88,Database!$A$3:$P$3,0),0),D88)</f>
        <v>104.27</v>
      </c>
      <c r="D88" s="206"/>
    </row>
    <row r="89" spans="1:4" x14ac:dyDescent="0.35">
      <c r="A89" s="205" t="s">
        <v>499</v>
      </c>
      <c r="C89" s="204">
        <f>IF(D89=0,VLOOKUP($C$4,_xlnm.Database,MATCH($A89,Database!$A$3:$P$3,0),0),D89)</f>
        <v>87</v>
      </c>
      <c r="D89" s="206"/>
    </row>
    <row r="91" spans="1:4" x14ac:dyDescent="0.35">
      <c r="A91" s="3" t="s">
        <v>144</v>
      </c>
    </row>
    <row r="93" spans="1:4" x14ac:dyDescent="0.35">
      <c r="A93" s="27" t="s">
        <v>421</v>
      </c>
    </row>
    <row r="94" spans="1:4" x14ac:dyDescent="0.35">
      <c r="A94" s="3" t="s">
        <v>422</v>
      </c>
      <c r="B94" s="23" t="s">
        <v>197</v>
      </c>
      <c r="C94" s="24">
        <v>45</v>
      </c>
    </row>
    <row r="95" spans="1:4" x14ac:dyDescent="0.35">
      <c r="A95" s="3" t="s">
        <v>423</v>
      </c>
      <c r="B95" s="23" t="s">
        <v>197</v>
      </c>
      <c r="C95" s="24">
        <v>7</v>
      </c>
    </row>
    <row r="97" spans="1:3" x14ac:dyDescent="0.35">
      <c r="A97" s="27" t="s">
        <v>424</v>
      </c>
    </row>
    <row r="98" spans="1:3" x14ac:dyDescent="0.35">
      <c r="A98" s="3" t="s">
        <v>425</v>
      </c>
      <c r="B98" s="23" t="s">
        <v>426</v>
      </c>
      <c r="C98" s="24">
        <v>45</v>
      </c>
    </row>
    <row r="99" spans="1:3" x14ac:dyDescent="0.35">
      <c r="A99" s="3" t="s">
        <v>427</v>
      </c>
      <c r="B99" s="23" t="s">
        <v>426</v>
      </c>
      <c r="C99" s="24">
        <v>60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445713F-F32A-4829-B5E3-0C586BCF7A06}">
          <x14:formula1>
            <xm:f>backup!$B$137:$B$138</xm:f>
          </x14:formula1>
          <xm:sqref>C63</xm:sqref>
        </x14:dataValidation>
        <x14:dataValidation type="list" allowBlank="1" showInputMessage="1" showErrorMessage="1" xr:uid="{1038709A-EE98-4A3F-BF93-0C630854ADD2}">
          <x14:formula1>
            <xm:f>backup!$B$114:$B$115</xm:f>
          </x14:formula1>
          <xm:sqref>C69</xm:sqref>
        </x14:dataValidation>
        <x14:dataValidation type="list" allowBlank="1" showInputMessage="1" showErrorMessage="1" xr:uid="{015D347C-B6DF-4044-954A-89E525123E8C}">
          <x14:formula1>
            <xm:f>backup!$B$119:$B$124</xm:f>
          </x14:formula1>
          <xm:sqref>C78</xm:sqref>
        </x14:dataValidation>
        <x14:dataValidation type="list" allowBlank="1" showInputMessage="1" showErrorMessage="1" xr:uid="{0FB60F6C-6C2A-4DFF-8AE1-0246BF181B2D}">
          <x14:formula1>
            <xm:f>backup!$B$127:$B$128</xm:f>
          </x14:formula1>
          <xm:sqref>C77</xm:sqref>
        </x14:dataValidation>
        <x14:dataValidation type="list" allowBlank="1" showInputMessage="1" showErrorMessage="1" xr:uid="{8840743E-1151-4704-9628-0E9E4EC5B38E}">
          <x14:formula1>
            <xm:f>backup!$B$104:$B$111</xm:f>
          </x14:formula1>
          <xm:sqref>C23 C13</xm:sqref>
        </x14:dataValidation>
        <x14:dataValidation type="list" allowBlank="1" showInputMessage="1" showErrorMessage="1" xr:uid="{A6D24947-A193-4705-B895-B0DF65C8F9DD}">
          <x14:formula1>
            <xm:f>backup!$D$43:$D$46</xm:f>
          </x14:formula1>
          <xm:sqref>C38:C40</xm:sqref>
        </x14:dataValidation>
        <x14:dataValidation type="list" allowBlank="1" showInputMessage="1" showErrorMessage="1" xr:uid="{F52C6298-E066-403A-A478-DA50CA2B5D9C}">
          <x14:formula1>
            <xm:f>Database!$A$4:$A$38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3EBC-6393-4907-AC44-FD6413F13350}">
  <dimension ref="A3:D42"/>
  <sheetViews>
    <sheetView workbookViewId="0">
      <selection activeCell="D1" sqref="D1"/>
    </sheetView>
  </sheetViews>
  <sheetFormatPr defaultRowHeight="14.25" x14ac:dyDescent="0.45"/>
  <cols>
    <col min="1" max="1" width="5.1328125" style="47" customWidth="1"/>
    <col min="2" max="2" width="19.796875" bestFit="1" customWidth="1"/>
    <col min="3" max="3" width="9.796875" bestFit="1" customWidth="1"/>
    <col min="4" max="4" width="11.33203125" customWidth="1"/>
  </cols>
  <sheetData>
    <row r="3" spans="1:4" x14ac:dyDescent="0.45">
      <c r="B3" s="48" t="s">
        <v>54</v>
      </c>
      <c r="C3" s="49" t="s">
        <v>1</v>
      </c>
      <c r="D3" s="50" t="str">
        <f>_xlfn.XLOOKUP(B3,input!A:A,input!C:C)</f>
        <v>XXXXX</v>
      </c>
    </row>
    <row r="4" spans="1:4" x14ac:dyDescent="0.45">
      <c r="B4" s="48" t="s">
        <v>83</v>
      </c>
      <c r="C4" s="49"/>
      <c r="D4" s="51" t="str">
        <f>_xlfn.XLOOKUP(B4,input!A:A,input!C:C)</f>
        <v>Bottle Mono PE CMT220ml19g W/O MB PCR70%</v>
      </c>
    </row>
    <row r="5" spans="1:4" x14ac:dyDescent="0.45">
      <c r="B5" s="14" t="str">
        <f>input!A11</f>
        <v>Weight</v>
      </c>
      <c r="C5" s="52" t="s">
        <v>96</v>
      </c>
      <c r="D5" s="53">
        <f>_xlfn.XLOOKUP($B5,input!$A:$A,input!$C:$C)</f>
        <v>17.5</v>
      </c>
    </row>
    <row r="6" spans="1:4" x14ac:dyDescent="0.45">
      <c r="B6" s="14"/>
      <c r="C6" s="52"/>
      <c r="D6" s="14"/>
    </row>
    <row r="7" spans="1:4" x14ac:dyDescent="0.45">
      <c r="B7" s="14" t="s">
        <v>97</v>
      </c>
      <c r="C7" s="52" t="s">
        <v>26</v>
      </c>
      <c r="D7" s="54">
        <f>_xlfn.XLOOKUP($B7,input!$A:$A,input!$C:$C)</f>
        <v>0.98</v>
      </c>
    </row>
    <row r="8" spans="1:4" x14ac:dyDescent="0.45">
      <c r="B8" s="14" t="s">
        <v>103</v>
      </c>
      <c r="C8" s="52" t="str">
        <f>input!$C$5&amp;"/kg"</f>
        <v>INR/kg</v>
      </c>
      <c r="D8" s="53">
        <f>_xlfn.XLOOKUP($B8,input!$A:$A,input!$C:$C)</f>
        <v>95</v>
      </c>
    </row>
    <row r="9" spans="1:4" x14ac:dyDescent="0.45">
      <c r="A9" s="100" t="s">
        <v>64</v>
      </c>
      <c r="B9" s="14" t="s">
        <v>145</v>
      </c>
      <c r="C9" s="23" t="str">
        <f>input!$C$5&amp;" / 1000 pcs"</f>
        <v>INR / 1000 pcs</v>
      </c>
      <c r="D9" s="81">
        <f>$D$5*D7*D8</f>
        <v>1629.2499999999998</v>
      </c>
    </row>
    <row r="10" spans="1:4" x14ac:dyDescent="0.45">
      <c r="A10" s="100"/>
      <c r="B10" s="14"/>
      <c r="C10" s="52"/>
      <c r="D10" s="14"/>
    </row>
    <row r="11" spans="1:4" x14ac:dyDescent="0.45">
      <c r="A11" s="100"/>
      <c r="B11" s="14" t="s">
        <v>104</v>
      </c>
      <c r="C11" s="52" t="s">
        <v>26</v>
      </c>
      <c r="D11" s="54">
        <f>_xlfn.XLOOKUP($B11,input!$A:$A,input!$C:$C)</f>
        <v>0.02</v>
      </c>
    </row>
    <row r="12" spans="1:4" x14ac:dyDescent="0.45">
      <c r="B12" s="14" t="s">
        <v>105</v>
      </c>
      <c r="C12" s="52" t="str">
        <f>input!$C$5&amp;"/kg"</f>
        <v>INR/kg</v>
      </c>
      <c r="D12" s="53">
        <f>_xlfn.XLOOKUP($B12,input!$A:$A,input!$C:$C)</f>
        <v>450.44640000000004</v>
      </c>
    </row>
    <row r="13" spans="1:4" x14ac:dyDescent="0.45">
      <c r="A13" s="100" t="s">
        <v>65</v>
      </c>
      <c r="B13" s="14" t="s">
        <v>146</v>
      </c>
      <c r="C13" s="23" t="str">
        <f>input!$C$5&amp;" / 1000 pcs"</f>
        <v>INR / 1000 pcs</v>
      </c>
      <c r="D13" s="81">
        <f>$D$5*D11*D12</f>
        <v>157.65624000000003</v>
      </c>
    </row>
    <row r="14" spans="1:4" x14ac:dyDescent="0.45">
      <c r="B14" s="14"/>
      <c r="C14" s="52"/>
      <c r="D14" s="14"/>
    </row>
    <row r="15" spans="1:4" x14ac:dyDescent="0.45">
      <c r="B15" s="14" t="s">
        <v>410</v>
      </c>
      <c r="C15" s="52" t="s">
        <v>26</v>
      </c>
      <c r="D15" s="54">
        <f>_xlfn.XLOOKUP($B15,input!$A:$A,input!$C:$C)</f>
        <v>0</v>
      </c>
    </row>
    <row r="16" spans="1:4" x14ac:dyDescent="0.45">
      <c r="B16" s="14" t="s">
        <v>411</v>
      </c>
      <c r="C16" s="52" t="str">
        <f>input!$C$5&amp;"/kg"</f>
        <v>INR/kg</v>
      </c>
      <c r="D16" s="53">
        <f>_xlfn.XLOOKUP($B16,input!$A:$A,input!$C:$C)</f>
        <v>0</v>
      </c>
    </row>
    <row r="17" spans="1:4" x14ac:dyDescent="0.45">
      <c r="A17" s="100" t="s">
        <v>419</v>
      </c>
      <c r="B17" s="14" t="s">
        <v>412</v>
      </c>
      <c r="C17" s="23" t="str">
        <f>input!$C$5&amp;" / 1000 pcs"</f>
        <v>INR / 1000 pcs</v>
      </c>
      <c r="D17" s="56">
        <f>D9*D11*D15*D16</f>
        <v>0</v>
      </c>
    </row>
    <row r="18" spans="1:4" x14ac:dyDescent="0.45">
      <c r="B18" s="14"/>
      <c r="C18" s="52"/>
      <c r="D18" s="14"/>
    </row>
    <row r="19" spans="1:4" x14ac:dyDescent="0.45">
      <c r="B19" s="14" t="s">
        <v>106</v>
      </c>
      <c r="C19" s="52" t="s">
        <v>26</v>
      </c>
      <c r="D19" s="54">
        <f>_xlfn.XLOOKUP($B19,input!$A:$A,input!$C:$C)</f>
        <v>0</v>
      </c>
    </row>
    <row r="20" spans="1:4" x14ac:dyDescent="0.45">
      <c r="B20" s="14" t="s">
        <v>110</v>
      </c>
      <c r="C20" s="52" t="str">
        <f>input!$C$5&amp;"/kg"</f>
        <v>INR/kg</v>
      </c>
      <c r="D20" s="53">
        <f>_xlfn.XLOOKUP($B20,input!$A:$A,input!$C:$C)</f>
        <v>0</v>
      </c>
    </row>
    <row r="21" spans="1:4" x14ac:dyDescent="0.45">
      <c r="A21" s="100" t="s">
        <v>64</v>
      </c>
      <c r="B21" s="14" t="s">
        <v>147</v>
      </c>
      <c r="C21" s="23" t="str">
        <f>input!$C$5&amp;" / 1000 pcs"</f>
        <v>INR / 1000 pcs</v>
      </c>
      <c r="D21" s="56">
        <f>D13*D15*D19*D20</f>
        <v>0</v>
      </c>
    </row>
    <row r="22" spans="1:4" x14ac:dyDescent="0.45">
      <c r="B22" s="14"/>
      <c r="C22" s="52"/>
      <c r="D22" s="14"/>
    </row>
    <row r="23" spans="1:4" x14ac:dyDescent="0.45">
      <c r="B23" s="14" t="s">
        <v>111</v>
      </c>
      <c r="C23" s="52" t="s">
        <v>26</v>
      </c>
      <c r="D23" s="54">
        <f>_xlfn.XLOOKUP($B23,input!$A:$A,input!$C:$C)</f>
        <v>0</v>
      </c>
    </row>
    <row r="24" spans="1:4" x14ac:dyDescent="0.45">
      <c r="B24" s="14" t="s">
        <v>112</v>
      </c>
      <c r="C24" s="52" t="str">
        <f>input!$C$5&amp;"/kg"</f>
        <v>INR/kg</v>
      </c>
      <c r="D24" s="53">
        <f>_xlfn.XLOOKUP($B24,input!$A:$A,input!$C:$C)</f>
        <v>0</v>
      </c>
    </row>
    <row r="25" spans="1:4" x14ac:dyDescent="0.45">
      <c r="A25" s="100" t="s">
        <v>65</v>
      </c>
      <c r="B25" s="14" t="s">
        <v>148</v>
      </c>
      <c r="C25" s="23" t="str">
        <f>input!$C$5&amp;" / 1000 pcs"</f>
        <v>INR / 1000 pcs</v>
      </c>
      <c r="D25" s="55">
        <f>D5*D19*D23*D24</f>
        <v>0</v>
      </c>
    </row>
    <row r="26" spans="1:4" x14ac:dyDescent="0.45">
      <c r="B26" s="14"/>
      <c r="C26" s="52"/>
      <c r="D26" s="14"/>
    </row>
    <row r="27" spans="1:4" x14ac:dyDescent="0.45">
      <c r="B27" s="14" t="s">
        <v>415</v>
      </c>
      <c r="C27" s="52" t="s">
        <v>26</v>
      </c>
      <c r="D27" s="54">
        <f>_xlfn.XLOOKUP($B27,input!$A:$A,input!$C:$C)</f>
        <v>0</v>
      </c>
    </row>
    <row r="28" spans="1:4" x14ac:dyDescent="0.45">
      <c r="B28" s="14" t="s">
        <v>416</v>
      </c>
      <c r="C28" s="52" t="str">
        <f>input!$C$5&amp;"/kg"</f>
        <v>INR/kg</v>
      </c>
      <c r="D28" s="53">
        <f>_xlfn.XLOOKUP($B28,input!$A:$A,input!$C:$C)</f>
        <v>0</v>
      </c>
    </row>
    <row r="29" spans="1:4" x14ac:dyDescent="0.45">
      <c r="A29" s="100" t="s">
        <v>419</v>
      </c>
      <c r="B29" s="14" t="s">
        <v>417</v>
      </c>
      <c r="C29" s="23" t="str">
        <f>input!$C$5&amp;" / 1000 pcs"</f>
        <v>INR / 1000 pcs</v>
      </c>
      <c r="D29" s="55">
        <f>D5*D19*D27*D28</f>
        <v>0</v>
      </c>
    </row>
    <row r="30" spans="1:4" x14ac:dyDescent="0.45">
      <c r="B30" s="14"/>
      <c r="C30" s="52"/>
      <c r="D30" s="14"/>
    </row>
    <row r="31" spans="1:4" x14ac:dyDescent="0.45">
      <c r="B31" s="14" t="s">
        <v>414</v>
      </c>
      <c r="C31" s="52" t="s">
        <v>26</v>
      </c>
      <c r="D31" s="54">
        <f>_xlfn.XLOOKUP($B31,input!$A:$A,input!C:C)</f>
        <v>0</v>
      </c>
    </row>
    <row r="32" spans="1:4" x14ac:dyDescent="0.45">
      <c r="B32" s="14" t="s">
        <v>413</v>
      </c>
      <c r="C32" s="52" t="str">
        <f>input!$C$5&amp;"/kg"</f>
        <v>INR/kg</v>
      </c>
      <c r="D32" s="53">
        <f>_xlfn.XLOOKUP($B32,input!$A:$A,input!$C:$C)</f>
        <v>0</v>
      </c>
    </row>
    <row r="33" spans="1:4" x14ac:dyDescent="0.45">
      <c r="A33" s="47" t="s">
        <v>57</v>
      </c>
      <c r="B33" s="14" t="s">
        <v>418</v>
      </c>
      <c r="C33" s="23" t="str">
        <f>input!$C$5&amp;" / 1000 pcs"</f>
        <v>INR / 1000 pcs</v>
      </c>
      <c r="D33" s="55">
        <f>$D$5*D31*D32</f>
        <v>0</v>
      </c>
    </row>
    <row r="34" spans="1:4" x14ac:dyDescent="0.45">
      <c r="B34" s="14"/>
      <c r="C34" s="52"/>
      <c r="D34" s="14"/>
    </row>
    <row r="35" spans="1:4" x14ac:dyDescent="0.45">
      <c r="B35" s="14"/>
      <c r="C35" s="52"/>
      <c r="D35" s="14"/>
    </row>
    <row r="36" spans="1:4" x14ac:dyDescent="0.45">
      <c r="B36" s="14" t="s">
        <v>459</v>
      </c>
      <c r="C36" s="52" t="s">
        <v>26</v>
      </c>
      <c r="D36" s="192">
        <f>_xlfn.XLOOKUP(B36,conversion!$B:$B,conversion!$D:$D,0)</f>
        <v>1.0102897062017346E-2</v>
      </c>
    </row>
    <row r="37" spans="1:4" x14ac:dyDescent="0.45">
      <c r="A37" s="100" t="s">
        <v>64</v>
      </c>
      <c r="B37" s="14" t="s">
        <v>459</v>
      </c>
      <c r="C37" s="23" t="str">
        <f>input!$C$5&amp;" / 1000 pcs"</f>
        <v>INR / 1000 pcs</v>
      </c>
      <c r="D37" s="53">
        <f>SUMIF($C$7:$C$34,$C37,D$7:D$34)*D$36</f>
        <v>18.052929802196459</v>
      </c>
    </row>
    <row r="38" spans="1:4" x14ac:dyDescent="0.45">
      <c r="B38" s="14"/>
      <c r="C38" s="52"/>
      <c r="D38" s="14"/>
    </row>
    <row r="39" spans="1:4" x14ac:dyDescent="0.45">
      <c r="B39" s="57" t="s">
        <v>149</v>
      </c>
      <c r="C39" s="52"/>
      <c r="D39" s="14"/>
    </row>
    <row r="40" spans="1:4" x14ac:dyDescent="0.45">
      <c r="A40" s="100" t="s">
        <v>64</v>
      </c>
      <c r="B40" s="14" t="s">
        <v>144</v>
      </c>
      <c r="C40" s="23" t="str">
        <f>input!$C$5&amp;" / 1000 pcs"</f>
        <v>INR / 1000 pcs</v>
      </c>
      <c r="D40" s="53">
        <f>_xlfn.XLOOKUP(B40,input!$A:$A,input!$C:$C,0)</f>
        <v>0</v>
      </c>
    </row>
    <row r="41" spans="1:4" x14ac:dyDescent="0.45">
      <c r="B41" s="14"/>
      <c r="C41" s="52"/>
      <c r="D41" s="14"/>
    </row>
    <row r="42" spans="1:4" x14ac:dyDescent="0.45">
      <c r="B42" s="58" t="s">
        <v>57</v>
      </c>
      <c r="C42" s="23" t="str">
        <f>input!$C$5&amp;" / 1000 pcs"</f>
        <v>INR / 1000 pcs</v>
      </c>
      <c r="D42" s="59">
        <f>SUMIF($C$7:$C$40,$C42,D$7:D$40)</f>
        <v>1804.9591698021964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DF67B-81D8-4642-A476-2E0DE0B5997F}">
  <dimension ref="A1:G421"/>
  <sheetViews>
    <sheetView topLeftCell="A8" workbookViewId="0">
      <selection activeCell="D54" sqref="D54"/>
    </sheetView>
  </sheetViews>
  <sheetFormatPr defaultColWidth="9" defaultRowHeight="11.65" x14ac:dyDescent="0.35"/>
  <cols>
    <col min="1" max="1" width="3" style="69" customWidth="1"/>
    <col min="2" max="2" width="33" style="3" bestFit="1" customWidth="1"/>
    <col min="3" max="3" width="10.1328125" style="3" bestFit="1" customWidth="1"/>
    <col min="4" max="4" width="20.796875" style="62" customWidth="1"/>
    <col min="5" max="5" width="21.53125" style="3" customWidth="1"/>
    <col min="6" max="6" width="10.53125" style="3" customWidth="1"/>
    <col min="7" max="7" width="12.46484375" style="3" customWidth="1"/>
    <col min="8" max="16384" width="9" style="3"/>
  </cols>
  <sheetData>
    <row r="1" spans="2:4" hidden="1" x14ac:dyDescent="0.35"/>
    <row r="2" spans="2:4" hidden="1" x14ac:dyDescent="0.35"/>
    <row r="3" spans="2:4" hidden="1" x14ac:dyDescent="0.35"/>
    <row r="4" spans="2:4" hidden="1" x14ac:dyDescent="0.35"/>
    <row r="5" spans="2:4" hidden="1" x14ac:dyDescent="0.35"/>
    <row r="6" spans="2:4" hidden="1" x14ac:dyDescent="0.35"/>
    <row r="7" spans="2:4" hidden="1" x14ac:dyDescent="0.35"/>
    <row r="9" spans="2:4" x14ac:dyDescent="0.35">
      <c r="D9" s="109">
        <v>1</v>
      </c>
    </row>
    <row r="10" spans="2:4" x14ac:dyDescent="0.35">
      <c r="B10" s="48" t="s">
        <v>54</v>
      </c>
      <c r="C10" s="49" t="s">
        <v>1</v>
      </c>
      <c r="D10" s="50" t="str">
        <f>_xlfn.XLOOKUP(B10,input!$A:$A,input!$C:$C)</f>
        <v>XXXXX</v>
      </c>
    </row>
    <row r="11" spans="2:4" ht="24.5" customHeight="1" x14ac:dyDescent="0.35">
      <c r="B11" s="48" t="s">
        <v>83</v>
      </c>
      <c r="C11" s="49"/>
      <c r="D11" s="97" t="str">
        <f>_xlfn.XLOOKUP(B11,input!A:A,input!C:C)</f>
        <v>Bottle Mono PE CMT220ml19g W/O MB PCR70%</v>
      </c>
    </row>
    <row r="12" spans="2:4" x14ac:dyDescent="0.35">
      <c r="B12" s="63" t="s">
        <v>150</v>
      </c>
      <c r="C12" s="14"/>
      <c r="D12" s="64"/>
    </row>
    <row r="13" spans="2:4" x14ac:dyDescent="0.35">
      <c r="B13" s="14" t="str">
        <f>input!A8</f>
        <v xml:space="preserve">Annual Volume </v>
      </c>
      <c r="C13" s="52" t="str">
        <f>input!B8</f>
        <v>pcs</v>
      </c>
      <c r="D13" s="65">
        <f>_xlfn.XLOOKUP($B13,input!$A:$A,input!$C:$C)</f>
        <v>62975559</v>
      </c>
    </row>
    <row r="14" spans="2:4" x14ac:dyDescent="0.35">
      <c r="B14" s="14" t="s">
        <v>151</v>
      </c>
      <c r="C14" s="52" t="str">
        <f>C13</f>
        <v>pcs</v>
      </c>
      <c r="D14" s="65">
        <f>D13/75%</f>
        <v>83967412</v>
      </c>
    </row>
    <row r="15" spans="2:4" x14ac:dyDescent="0.35">
      <c r="B15" s="14"/>
      <c r="C15" s="14"/>
      <c r="D15" s="99" t="s">
        <v>409</v>
      </c>
    </row>
    <row r="16" spans="2:4" x14ac:dyDescent="0.35">
      <c r="B16" s="14" t="s">
        <v>404</v>
      </c>
      <c r="C16" s="14"/>
      <c r="D16" s="65" t="str">
        <f>_xlfn.XLOOKUP($B16,input!$A:$A,input!$C:$C)</f>
        <v>ISBM 1</v>
      </c>
    </row>
    <row r="17" spans="2:6" x14ac:dyDescent="0.35">
      <c r="B17" s="14" t="s">
        <v>356</v>
      </c>
      <c r="C17" s="14"/>
      <c r="D17" s="65" t="str">
        <f>_xlfn.XLOOKUP(D15,input!$A:$A,input!$C:$C,0)</f>
        <v>Bottle</v>
      </c>
    </row>
    <row r="18" spans="2:6" x14ac:dyDescent="0.35">
      <c r="B18" s="14" t="s">
        <v>113</v>
      </c>
      <c r="C18" s="52" t="s">
        <v>114</v>
      </c>
      <c r="D18" s="65">
        <f>_xlfn.XLOOKUP($B18,input!$A:$A,input!$C:$C)</f>
        <v>8</v>
      </c>
    </row>
    <row r="19" spans="2:6" x14ac:dyDescent="0.35">
      <c r="B19" s="14" t="s">
        <v>115</v>
      </c>
      <c r="C19" s="52" t="s">
        <v>116</v>
      </c>
      <c r="D19" s="65">
        <f>_xlfn.XLOOKUP($B19,input!$A:$A,input!$C:$C)</f>
        <v>16</v>
      </c>
    </row>
    <row r="20" spans="2:6" x14ac:dyDescent="0.35">
      <c r="B20" s="14" t="s">
        <v>117</v>
      </c>
      <c r="C20" s="14"/>
      <c r="D20" s="65" t="str">
        <f>_xlfn.XLOOKUP($B20,input!$A:$A,input!$C:$C)</f>
        <v>ASB 70 DPH V4</v>
      </c>
    </row>
    <row r="21" spans="2:6" x14ac:dyDescent="0.35">
      <c r="B21" s="14" t="s">
        <v>152</v>
      </c>
      <c r="C21" s="52" t="s">
        <v>114</v>
      </c>
      <c r="D21" s="65">
        <f>3600/D19*D18</f>
        <v>1800</v>
      </c>
    </row>
    <row r="22" spans="2:6" x14ac:dyDescent="0.35">
      <c r="B22" s="14" t="s">
        <v>153</v>
      </c>
      <c r="C22" s="52" t="s">
        <v>114</v>
      </c>
      <c r="D22" s="65">
        <f>D21*input!$C$85</f>
        <v>14256000</v>
      </c>
      <c r="F22" s="112"/>
    </row>
    <row r="23" spans="2:6" x14ac:dyDescent="0.35">
      <c r="B23" s="191" t="s">
        <v>480</v>
      </c>
      <c r="C23" s="52" t="s">
        <v>114</v>
      </c>
      <c r="D23" s="65">
        <f>D31*D32/60</f>
        <v>18</v>
      </c>
      <c r="F23" s="112"/>
    </row>
    <row r="24" spans="2:6" x14ac:dyDescent="0.35">
      <c r="B24" s="191" t="s">
        <v>481</v>
      </c>
      <c r="C24" s="52" t="s">
        <v>114</v>
      </c>
      <c r="D24" s="65">
        <f>D37*D38/60</f>
        <v>4.5</v>
      </c>
      <c r="F24" s="112"/>
    </row>
    <row r="25" spans="2:6" x14ac:dyDescent="0.35">
      <c r="B25" s="191" t="s">
        <v>482</v>
      </c>
      <c r="C25" s="52" t="s">
        <v>114</v>
      </c>
      <c r="D25" s="65">
        <f>D14/D21</f>
        <v>46648.562222222223</v>
      </c>
      <c r="F25" s="112"/>
    </row>
    <row r="26" spans="2:6" x14ac:dyDescent="0.35">
      <c r="B26" s="14" t="s">
        <v>154</v>
      </c>
      <c r="C26" s="52" t="s">
        <v>114</v>
      </c>
      <c r="D26" s="65">
        <f>ROUNDUP(SUM(D23:D25)/input!$C$85,0)</f>
        <v>6</v>
      </c>
    </row>
    <row r="27" spans="2:6" x14ac:dyDescent="0.35">
      <c r="B27" s="14" t="s">
        <v>155</v>
      </c>
      <c r="C27" s="52" t="s">
        <v>26</v>
      </c>
      <c r="D27" s="66">
        <f>D13/(D22*D26)</f>
        <v>0.73624624719416387</v>
      </c>
    </row>
    <row r="28" spans="2:6" x14ac:dyDescent="0.35">
      <c r="B28" s="14" t="s">
        <v>156</v>
      </c>
      <c r="C28" s="52" t="s">
        <v>157</v>
      </c>
      <c r="D28" s="65">
        <f>D13/D21</f>
        <v>34986.421666666669</v>
      </c>
    </row>
    <row r="29" spans="2:6" x14ac:dyDescent="0.35">
      <c r="B29" s="14"/>
      <c r="C29" s="14"/>
      <c r="D29" s="64"/>
    </row>
    <row r="30" spans="2:6" x14ac:dyDescent="0.35">
      <c r="B30" s="57" t="s">
        <v>446</v>
      </c>
      <c r="C30" s="14"/>
      <c r="D30" s="64"/>
    </row>
    <row r="31" spans="2:6" x14ac:dyDescent="0.35">
      <c r="B31" s="14" t="s">
        <v>448</v>
      </c>
      <c r="C31" s="52" t="s">
        <v>114</v>
      </c>
      <c r="D31" s="65">
        <f>_xlfn.XLOOKUP($B31,input!$A:$A,input!$C:$C)</f>
        <v>6</v>
      </c>
    </row>
    <row r="32" spans="2:6" x14ac:dyDescent="0.35">
      <c r="B32" s="14" t="s">
        <v>158</v>
      </c>
      <c r="C32" s="52" t="s">
        <v>159</v>
      </c>
      <c r="D32" s="65">
        <v>180</v>
      </c>
    </row>
    <row r="33" spans="2:4" x14ac:dyDescent="0.35">
      <c r="B33" s="14" t="s">
        <v>163</v>
      </c>
      <c r="C33" s="52" t="s">
        <v>114</v>
      </c>
      <c r="D33" s="65">
        <v>0</v>
      </c>
    </row>
    <row r="34" spans="2:4" x14ac:dyDescent="0.35">
      <c r="B34" s="14" t="s">
        <v>449</v>
      </c>
      <c r="C34" s="52" t="s">
        <v>26</v>
      </c>
      <c r="D34" s="66">
        <v>0</v>
      </c>
    </row>
    <row r="35" spans="2:4" x14ac:dyDescent="0.35">
      <c r="B35" s="14"/>
      <c r="C35" s="52"/>
      <c r="D35" s="101"/>
    </row>
    <row r="36" spans="2:4" x14ac:dyDescent="0.35">
      <c r="B36" s="57" t="s">
        <v>450</v>
      </c>
      <c r="C36" s="52"/>
      <c r="D36" s="101"/>
    </row>
    <row r="37" spans="2:4" x14ac:dyDescent="0.35">
      <c r="B37" s="14" t="s">
        <v>451</v>
      </c>
      <c r="C37" s="52" t="s">
        <v>114</v>
      </c>
      <c r="D37" s="65">
        <f>D31</f>
        <v>6</v>
      </c>
    </row>
    <row r="38" spans="2:4" x14ac:dyDescent="0.35">
      <c r="B38" s="14" t="s">
        <v>160</v>
      </c>
      <c r="C38" s="52" t="s">
        <v>159</v>
      </c>
      <c r="D38" s="65">
        <v>45</v>
      </c>
    </row>
    <row r="39" spans="2:4" x14ac:dyDescent="0.35">
      <c r="B39" s="14" t="s">
        <v>161</v>
      </c>
      <c r="C39" s="52" t="s">
        <v>162</v>
      </c>
      <c r="D39" s="65">
        <f>60/D19*D18*input!$C$84</f>
        <v>24</v>
      </c>
    </row>
    <row r="40" spans="2:4" x14ac:dyDescent="0.35">
      <c r="B40" s="14" t="s">
        <v>452</v>
      </c>
      <c r="C40" s="52" t="s">
        <v>114</v>
      </c>
      <c r="D40" s="65">
        <f>D37*D38*D39</f>
        <v>6480</v>
      </c>
    </row>
    <row r="41" spans="2:4" x14ac:dyDescent="0.35">
      <c r="B41" s="14" t="s">
        <v>453</v>
      </c>
      <c r="C41" s="52" t="s">
        <v>26</v>
      </c>
      <c r="D41" s="67">
        <f>IFERROR(D40/$D$13,0)</f>
        <v>1.028970620173455E-4</v>
      </c>
    </row>
    <row r="42" spans="2:4" x14ac:dyDescent="0.35">
      <c r="B42" s="14"/>
      <c r="C42" s="52"/>
      <c r="D42" s="102"/>
    </row>
    <row r="43" spans="2:4" x14ac:dyDescent="0.35">
      <c r="B43" s="57" t="s">
        <v>454</v>
      </c>
      <c r="C43" s="52"/>
      <c r="D43" s="102"/>
    </row>
    <row r="44" spans="2:4" x14ac:dyDescent="0.35">
      <c r="B44" s="14" t="s">
        <v>447</v>
      </c>
      <c r="C44" s="52" t="s">
        <v>114</v>
      </c>
      <c r="D44" s="103">
        <f>D31</f>
        <v>6</v>
      </c>
    </row>
    <row r="45" spans="2:4" x14ac:dyDescent="0.35">
      <c r="B45" s="14" t="s">
        <v>455</v>
      </c>
      <c r="C45" s="52" t="s">
        <v>460</v>
      </c>
      <c r="D45" s="65">
        <f>8*60</f>
        <v>480</v>
      </c>
    </row>
    <row r="46" spans="2:4" x14ac:dyDescent="0.35">
      <c r="B46" s="14" t="s">
        <v>456</v>
      </c>
      <c r="C46" s="52" t="s">
        <v>461</v>
      </c>
      <c r="D46" s="65">
        <v>0</v>
      </c>
    </row>
    <row r="47" spans="2:4" x14ac:dyDescent="0.35">
      <c r="B47" s="14" t="s">
        <v>457</v>
      </c>
      <c r="C47" s="52" t="s">
        <v>114</v>
      </c>
      <c r="D47" s="65">
        <f>D44*D45*D46</f>
        <v>0</v>
      </c>
    </row>
    <row r="48" spans="2:4" x14ac:dyDescent="0.35">
      <c r="B48" s="14" t="s">
        <v>449</v>
      </c>
      <c r="C48" s="52" t="s">
        <v>26</v>
      </c>
      <c r="D48" s="67">
        <f>IFERROR(D47/D13,0)</f>
        <v>0</v>
      </c>
    </row>
    <row r="49" spans="2:4" x14ac:dyDescent="0.35">
      <c r="B49" s="14"/>
      <c r="C49" s="52"/>
      <c r="D49" s="102"/>
    </row>
    <row r="50" spans="2:4" x14ac:dyDescent="0.35">
      <c r="B50" s="14" t="s">
        <v>458</v>
      </c>
      <c r="C50" s="52" t="s">
        <v>26</v>
      </c>
      <c r="D50" s="67">
        <f>IF(D20=0,0,1%)</f>
        <v>0.01</v>
      </c>
    </row>
    <row r="51" spans="2:4" x14ac:dyDescent="0.35">
      <c r="B51" s="14" t="s">
        <v>459</v>
      </c>
      <c r="C51" s="52" t="s">
        <v>26</v>
      </c>
      <c r="D51" s="67">
        <f>D34+D41+D48+D50</f>
        <v>1.0102897062017346E-2</v>
      </c>
    </row>
    <row r="52" spans="2:4" x14ac:dyDescent="0.35">
      <c r="B52" s="14"/>
      <c r="C52" s="14"/>
      <c r="D52" s="64"/>
    </row>
    <row r="53" spans="2:4" x14ac:dyDescent="0.35">
      <c r="B53" s="14" t="s">
        <v>164</v>
      </c>
      <c r="C53" s="14" t="str">
        <f>input!$C$5</f>
        <v>INR</v>
      </c>
      <c r="D53" s="65">
        <f>_xlfn.XLOOKUP(D20,backup!$D:$D,backup!$K:$K,0)*$D$26</f>
        <v>339473924.39999998</v>
      </c>
    </row>
    <row r="54" spans="2:4" x14ac:dyDescent="0.35">
      <c r="B54" s="14" t="s">
        <v>165</v>
      </c>
      <c r="C54" s="14" t="str">
        <f>input!$C$5</f>
        <v>INR</v>
      </c>
      <c r="D54" s="220">
        <f>_xlfn.XLOOKUP($B54,backup!$D:$D,backup!$K:$K,0)</f>
        <v>2606750</v>
      </c>
    </row>
    <row r="55" spans="2:4" x14ac:dyDescent="0.35">
      <c r="B55" s="14" t="s">
        <v>166</v>
      </c>
      <c r="C55" s="14" t="str">
        <f>input!$C$5</f>
        <v>INR</v>
      </c>
      <c r="D55" s="65">
        <f>backup!$E$39</f>
        <v>4739399.7989773946</v>
      </c>
    </row>
    <row r="56" spans="2:4" x14ac:dyDescent="0.35">
      <c r="B56" s="14" t="s">
        <v>167</v>
      </c>
      <c r="C56" s="14" t="str">
        <f>input!$C$5</f>
        <v>INR</v>
      </c>
      <c r="D56" s="65">
        <f>SUM(D53:D55)</f>
        <v>346820074.19897735</v>
      </c>
    </row>
    <row r="57" spans="2:4" x14ac:dyDescent="0.35">
      <c r="B57" s="14"/>
      <c r="C57" s="14"/>
      <c r="D57" s="64"/>
    </row>
    <row r="58" spans="2:4" x14ac:dyDescent="0.35">
      <c r="B58" s="14" t="s">
        <v>123</v>
      </c>
      <c r="C58" s="52" t="s">
        <v>124</v>
      </c>
      <c r="D58" s="65">
        <f>_xlfn.XLOOKUP($B58,input!$A:$A,input!$C:$C)</f>
        <v>5</v>
      </c>
    </row>
    <row r="59" spans="2:4" x14ac:dyDescent="0.35">
      <c r="B59" s="14" t="s">
        <v>71</v>
      </c>
      <c r="C59" s="14" t="str">
        <f>input!$C$5</f>
        <v>INR</v>
      </c>
      <c r="D59" s="65">
        <f>VLOOKUP(D58,Depreciation_Schedule,MATCH(D$9,$A$219:$D$219,0),0)</f>
        <v>25798520.105919514</v>
      </c>
    </row>
    <row r="60" spans="2:4" x14ac:dyDescent="0.35">
      <c r="B60" s="58" t="s">
        <v>71</v>
      </c>
      <c r="C60" s="61" t="str">
        <f>input!$C$5&amp;" / 1000 pcs"</f>
        <v>INR / 1000 pcs</v>
      </c>
      <c r="D60" s="65">
        <f>D59*1000/D13</f>
        <v>409.6592474219961</v>
      </c>
    </row>
    <row r="61" spans="2:4" x14ac:dyDescent="0.35">
      <c r="B61" s="14"/>
      <c r="C61" s="14"/>
      <c r="D61" s="64"/>
    </row>
    <row r="62" spans="2:4" x14ac:dyDescent="0.35">
      <c r="B62" s="14" t="s">
        <v>31</v>
      </c>
      <c r="C62" s="52" t="s">
        <v>26</v>
      </c>
      <c r="D62" s="68">
        <f>_xlfn.XLOOKUP($B62,input!$A:$A,input!$C:$C)</f>
        <v>0.125</v>
      </c>
    </row>
    <row r="63" spans="2:4" x14ac:dyDescent="0.35">
      <c r="B63" s="14" t="s">
        <v>31</v>
      </c>
      <c r="C63" s="14" t="str">
        <f>input!$C$5</f>
        <v>INR</v>
      </c>
      <c r="D63" s="65">
        <f>VLOOKUP(D58,Interest_Schedule,MATCH(D$9,$A$260:$D$260,0),0)</f>
        <v>31743207.500134811</v>
      </c>
    </row>
    <row r="64" spans="2:4" x14ac:dyDescent="0.35">
      <c r="B64" s="58" t="s">
        <v>31</v>
      </c>
      <c r="C64" s="61" t="str">
        <f>input!$C$5&amp;" / 1000 pcs"</f>
        <v>INR / 1000 pcs</v>
      </c>
      <c r="D64" s="65">
        <f>D63*1000/D13</f>
        <v>504.05598623006762</v>
      </c>
    </row>
    <row r="65" spans="1:4" x14ac:dyDescent="0.35">
      <c r="B65" s="14"/>
      <c r="C65" s="14"/>
      <c r="D65" s="64"/>
    </row>
    <row r="66" spans="1:4" x14ac:dyDescent="0.35">
      <c r="B66" s="14" t="s">
        <v>34</v>
      </c>
      <c r="C66" s="14"/>
      <c r="D66" s="70"/>
    </row>
    <row r="67" spans="1:4" x14ac:dyDescent="0.35">
      <c r="B67" s="14" t="s">
        <v>34</v>
      </c>
      <c r="C67" s="52" t="s">
        <v>26</v>
      </c>
      <c r="D67" s="67">
        <f>_xlfn.XLOOKUP($B67,input!$A:$A,input!$C:$C,0)</f>
        <v>0.14000000000000001</v>
      </c>
    </row>
    <row r="68" spans="1:4" x14ac:dyDescent="0.35">
      <c r="B68" s="58" t="s">
        <v>168</v>
      </c>
      <c r="C68" s="61" t="str">
        <f>input!$C$5&amp;" / 1000 pcs"</f>
        <v>INR / 1000 pcs</v>
      </c>
      <c r="D68" s="65">
        <f>$D$112</f>
        <v>28.69520547945206</v>
      </c>
    </row>
    <row r="69" spans="1:4" x14ac:dyDescent="0.35">
      <c r="B69" s="58" t="s">
        <v>169</v>
      </c>
      <c r="C69" s="61" t="str">
        <f>input!$C$5&amp;" / 1000 pcs"</f>
        <v>INR / 1000 pcs</v>
      </c>
      <c r="D69" s="65">
        <f>$D$113</f>
        <v>8.9156261576097577</v>
      </c>
    </row>
    <row r="70" spans="1:4" x14ac:dyDescent="0.35">
      <c r="B70" s="58" t="s">
        <v>170</v>
      </c>
      <c r="C70" s="61" t="str">
        <f>input!$C$5&amp;" / 1000 pcs"</f>
        <v>INR / 1000 pcs</v>
      </c>
      <c r="D70" s="65">
        <f>$D$114</f>
        <v>1.7988187930170116</v>
      </c>
    </row>
    <row r="71" spans="1:4" x14ac:dyDescent="0.35">
      <c r="B71" s="14"/>
      <c r="C71" s="14"/>
      <c r="D71" s="64"/>
    </row>
    <row r="72" spans="1:4" x14ac:dyDescent="0.35">
      <c r="B72" s="14" t="s">
        <v>121</v>
      </c>
      <c r="C72" s="52" t="s">
        <v>26</v>
      </c>
      <c r="D72" s="68">
        <f>_xlfn.XLOOKUP($B72,input!$A:$A,input!$C:$C)</f>
        <v>2.5000000000000001E-2</v>
      </c>
    </row>
    <row r="73" spans="1:4" x14ac:dyDescent="0.35">
      <c r="B73" s="14" t="s">
        <v>121</v>
      </c>
      <c r="C73" s="14" t="str">
        <f>input!$C$5</f>
        <v>INR</v>
      </c>
      <c r="D73" s="65">
        <f>D56*D72</f>
        <v>8670501.8549744338</v>
      </c>
    </row>
    <row r="74" spans="1:4" x14ac:dyDescent="0.35">
      <c r="B74" s="58" t="s">
        <v>121</v>
      </c>
      <c r="C74" s="61" t="str">
        <f>input!$C$5&amp;" / 1000 pcs"</f>
        <v>INR / 1000 pcs</v>
      </c>
      <c r="D74" s="65">
        <f>D73*1000/D13</f>
        <v>137.6804270204959</v>
      </c>
    </row>
    <row r="75" spans="1:4" x14ac:dyDescent="0.35">
      <c r="B75" s="14"/>
      <c r="C75" s="14"/>
      <c r="D75" s="64"/>
    </row>
    <row r="76" spans="1:4" x14ac:dyDescent="0.35">
      <c r="B76" s="14" t="s">
        <v>42</v>
      </c>
      <c r="C76" s="52" t="s">
        <v>26</v>
      </c>
      <c r="D76" s="68">
        <f>_xlfn.XLOOKUP($B76,input!$A:$A,input!$C:$C)</f>
        <v>2.5000000000000001E-2</v>
      </c>
    </row>
    <row r="77" spans="1:4" x14ac:dyDescent="0.35">
      <c r="B77" s="14" t="s">
        <v>42</v>
      </c>
      <c r="C77" s="14" t="str">
        <f>input!$C$5</f>
        <v>INR</v>
      </c>
      <c r="D77" s="65">
        <f>D56*D76</f>
        <v>8670501.8549744338</v>
      </c>
    </row>
    <row r="78" spans="1:4" x14ac:dyDescent="0.35">
      <c r="A78" s="69" t="s">
        <v>171</v>
      </c>
      <c r="B78" s="58" t="s">
        <v>42</v>
      </c>
      <c r="C78" s="61" t="str">
        <f>input!$C$5&amp;" / 1000 pcs"</f>
        <v>INR / 1000 pcs</v>
      </c>
      <c r="D78" s="71">
        <f>D77*1000/D13</f>
        <v>137.6804270204959</v>
      </c>
    </row>
    <row r="79" spans="1:4" x14ac:dyDescent="0.35">
      <c r="B79" s="14"/>
      <c r="C79" s="14"/>
      <c r="D79" s="64"/>
    </row>
    <row r="80" spans="1:4" x14ac:dyDescent="0.35">
      <c r="B80" s="63" t="s">
        <v>172</v>
      </c>
      <c r="C80" s="14"/>
      <c r="D80" s="64"/>
    </row>
    <row r="81" spans="2:4" x14ac:dyDescent="0.35">
      <c r="B81" s="14" t="s">
        <v>173</v>
      </c>
      <c r="C81" s="14"/>
      <c r="D81" s="65"/>
    </row>
    <row r="82" spans="2:4" x14ac:dyDescent="0.35">
      <c r="B82" s="14" t="s">
        <v>174</v>
      </c>
      <c r="C82" s="52" t="s">
        <v>175</v>
      </c>
      <c r="D82" s="65">
        <f>VLOOKUP(D$20,Machines,COLUMNS(backup!$D$42:$F$46),0)</f>
        <v>65</v>
      </c>
    </row>
    <row r="83" spans="2:4" x14ac:dyDescent="0.35">
      <c r="B83" s="14" t="s">
        <v>474</v>
      </c>
      <c r="C83" s="52" t="s">
        <v>175</v>
      </c>
      <c r="D83" s="65">
        <v>10.5</v>
      </c>
    </row>
    <row r="84" spans="2:4" x14ac:dyDescent="0.35">
      <c r="B84" s="14" t="s">
        <v>176</v>
      </c>
      <c r="C84" s="52" t="s">
        <v>175</v>
      </c>
      <c r="D84" s="65">
        <f>D82*20%</f>
        <v>13</v>
      </c>
    </row>
    <row r="85" spans="2:4" x14ac:dyDescent="0.35">
      <c r="B85" s="14" t="s">
        <v>177</v>
      </c>
      <c r="C85" s="52" t="s">
        <v>175</v>
      </c>
      <c r="D85" s="65">
        <f>SUM(D82:D84)</f>
        <v>88.5</v>
      </c>
    </row>
    <row r="86" spans="2:4" x14ac:dyDescent="0.35">
      <c r="B86" s="14" t="s">
        <v>178</v>
      </c>
      <c r="C86" s="52" t="s">
        <v>26</v>
      </c>
      <c r="D86" s="66">
        <v>0.5</v>
      </c>
    </row>
    <row r="87" spans="2:4" x14ac:dyDescent="0.35">
      <c r="B87" s="14" t="s">
        <v>179</v>
      </c>
      <c r="C87" s="52" t="s">
        <v>175</v>
      </c>
      <c r="D87" s="65">
        <f>D85*D86</f>
        <v>44.25</v>
      </c>
    </row>
    <row r="88" spans="2:4" x14ac:dyDescent="0.35">
      <c r="B88" s="14" t="s">
        <v>118</v>
      </c>
      <c r="C88" s="52" t="str">
        <f>input!$C$5&amp;" /KWH"</f>
        <v>INR /KWH</v>
      </c>
      <c r="D88" s="65">
        <f>_xlfn.XLOOKUP($B88,input!$A:$A,input!$C:$C)</f>
        <v>10.72</v>
      </c>
    </row>
    <row r="89" spans="2:4" x14ac:dyDescent="0.35">
      <c r="B89" s="14" t="s">
        <v>180</v>
      </c>
      <c r="C89" s="52" t="str">
        <f>input!$C$5&amp;" /KWH"</f>
        <v>INR /KWH</v>
      </c>
      <c r="D89" s="65">
        <f>D87*D88</f>
        <v>474.36</v>
      </c>
    </row>
    <row r="90" spans="2:4" x14ac:dyDescent="0.35">
      <c r="B90" s="14" t="s">
        <v>181</v>
      </c>
      <c r="C90" s="14" t="str">
        <f>input!$C$5</f>
        <v>INR</v>
      </c>
      <c r="D90" s="65">
        <f>D89*D28</f>
        <v>16596158.981800001</v>
      </c>
    </row>
    <row r="91" spans="2:4" x14ac:dyDescent="0.35">
      <c r="B91" s="58" t="s">
        <v>172</v>
      </c>
      <c r="C91" s="61" t="str">
        <f>input!$C$5&amp;" / 1000 pcs"</f>
        <v>INR / 1000 pcs</v>
      </c>
      <c r="D91" s="65">
        <f>D90*1000/D13</f>
        <v>263.53333333333336</v>
      </c>
    </row>
    <row r="92" spans="2:4" x14ac:dyDescent="0.35">
      <c r="B92" s="14"/>
      <c r="C92" s="14"/>
      <c r="D92" s="64"/>
    </row>
    <row r="93" spans="2:4" x14ac:dyDescent="0.35">
      <c r="B93" s="58" t="s">
        <v>182</v>
      </c>
      <c r="C93" s="61" t="str">
        <f>input!$C$5&amp;" / 1000 pcs"</f>
        <v>INR / 1000 pcs</v>
      </c>
      <c r="D93" s="65">
        <f>$F$156*D28*1000/D13</f>
        <v>74.971590909090907</v>
      </c>
    </row>
    <row r="94" spans="2:4" x14ac:dyDescent="0.35">
      <c r="B94" s="14"/>
      <c r="C94" s="14"/>
      <c r="D94" s="64"/>
    </row>
    <row r="95" spans="2:4" x14ac:dyDescent="0.35">
      <c r="B95" s="58" t="s">
        <v>183</v>
      </c>
      <c r="C95" s="61" t="str">
        <f>input!$C$5&amp;" / 1000 pcs"</f>
        <v>INR / 1000 pcs</v>
      </c>
      <c r="D95" s="65">
        <f>$D$192*1000/D13</f>
        <v>125.7561101068617</v>
      </c>
    </row>
    <row r="96" spans="2:4" x14ac:dyDescent="0.35">
      <c r="B96" s="14"/>
      <c r="C96" s="14"/>
      <c r="D96" s="64"/>
    </row>
    <row r="97" spans="2:6" x14ac:dyDescent="0.35">
      <c r="B97" s="58" t="s">
        <v>58</v>
      </c>
      <c r="C97" s="61" t="str">
        <f>input!$C$5&amp;" / 1000 pcs"</f>
        <v>INR / 1000 pcs</v>
      </c>
      <c r="D97" s="65">
        <f>SUMIF($C$13:$C$95,$C$97,D$13:D$95)</f>
        <v>1692.7467724724204</v>
      </c>
    </row>
    <row r="98" spans="2:6" x14ac:dyDescent="0.35">
      <c r="B98" s="14"/>
      <c r="C98" s="14"/>
      <c r="D98" s="64"/>
    </row>
    <row r="99" spans="2:6" x14ac:dyDescent="0.35">
      <c r="B99" s="63" t="s">
        <v>431</v>
      </c>
      <c r="C99" s="14"/>
      <c r="D99" s="64"/>
    </row>
    <row r="100" spans="2:6" x14ac:dyDescent="0.35">
      <c r="B100" s="14" t="s">
        <v>432</v>
      </c>
      <c r="C100" s="14" t="str">
        <f>input!$C$5</f>
        <v>INR</v>
      </c>
      <c r="D100" s="98">
        <f>IF($D$18=0,0,_xlfn.XLOOKUP($D$18,backup!$B:$B,backup!$C:$C,0)*conversion!D26)</f>
        <v>60059520</v>
      </c>
      <c r="E100" s="112"/>
      <c r="F100" s="112"/>
    </row>
    <row r="101" spans="2:6" x14ac:dyDescent="0.35">
      <c r="B101" s="14" t="s">
        <v>433</v>
      </c>
      <c r="C101" s="14" t="str">
        <f>input!$C$5</f>
        <v>INR</v>
      </c>
      <c r="D101" s="98">
        <f>D100*5%</f>
        <v>3002976</v>
      </c>
    </row>
    <row r="102" spans="2:6" x14ac:dyDescent="0.35">
      <c r="B102" s="14" t="s">
        <v>434</v>
      </c>
      <c r="C102" s="14" t="str">
        <f>input!$C$5</f>
        <v>INR</v>
      </c>
      <c r="D102" s="98">
        <f>SUM(D100:D101)</f>
        <v>63062496</v>
      </c>
    </row>
    <row r="103" spans="2:6" x14ac:dyDescent="0.35">
      <c r="B103" s="14" t="s">
        <v>435</v>
      </c>
      <c r="C103" s="14" t="str">
        <f>input!$C$5</f>
        <v>INR</v>
      </c>
      <c r="D103" s="98">
        <f>$D$102*10%</f>
        <v>6306249.6000000006</v>
      </c>
    </row>
    <row r="104" spans="2:6" ht="23.25" x14ac:dyDescent="0.35">
      <c r="B104" s="7" t="s">
        <v>436</v>
      </c>
      <c r="C104" s="14" t="str">
        <f>input!$C$5</f>
        <v>INR</v>
      </c>
      <c r="D104" s="98">
        <f>$D$102*5%</f>
        <v>3153124.8000000003</v>
      </c>
    </row>
    <row r="105" spans="2:6" x14ac:dyDescent="0.35">
      <c r="B105" s="14" t="s">
        <v>437</v>
      </c>
      <c r="C105" s="14" t="str">
        <f>input!$C$5</f>
        <v>INR</v>
      </c>
      <c r="D105" s="98">
        <f>$D$102*1%</f>
        <v>630624.96</v>
      </c>
    </row>
    <row r="106" spans="2:6" x14ac:dyDescent="0.35">
      <c r="B106" s="14" t="s">
        <v>351</v>
      </c>
      <c r="C106" s="14" t="str">
        <f>input!$C$5</f>
        <v>INR</v>
      </c>
      <c r="D106" s="98">
        <f>SUM(D102:D105)*10%</f>
        <v>7315249.5359999985</v>
      </c>
    </row>
    <row r="107" spans="2:6" x14ac:dyDescent="0.35">
      <c r="B107" s="58" t="s">
        <v>438</v>
      </c>
      <c r="C107" s="58" t="str">
        <f>input!$C$5</f>
        <v>INR</v>
      </c>
      <c r="D107" s="98">
        <f>SUM(D100:D106)</f>
        <v>143530240.89600003</v>
      </c>
    </row>
    <row r="108" spans="2:6" x14ac:dyDescent="0.35">
      <c r="B108" s="14"/>
      <c r="C108" s="14"/>
      <c r="D108" s="98"/>
    </row>
    <row r="109" spans="2:6" x14ac:dyDescent="0.35">
      <c r="B109" s="14"/>
      <c r="C109" s="14"/>
      <c r="D109" s="64"/>
    </row>
    <row r="110" spans="2:6" x14ac:dyDescent="0.35">
      <c r="B110" s="63" t="s">
        <v>184</v>
      </c>
      <c r="C110" s="14"/>
      <c r="D110" s="64"/>
    </row>
    <row r="111" spans="2:6" x14ac:dyDescent="0.35">
      <c r="B111" s="57" t="s">
        <v>185</v>
      </c>
      <c r="C111" s="14"/>
      <c r="D111" s="64"/>
    </row>
    <row r="112" spans="2:6" x14ac:dyDescent="0.35">
      <c r="B112" s="14" t="s">
        <v>168</v>
      </c>
      <c r="C112" s="52" t="str">
        <f>input!$C$5&amp;" / 1000 pcs"</f>
        <v>INR / 1000 pcs</v>
      </c>
      <c r="D112" s="65">
        <f>input!C15*conversion!D125*10^3*conversion!D67*1000/D13</f>
        <v>28.69520547945206</v>
      </c>
    </row>
    <row r="113" spans="2:4" x14ac:dyDescent="0.35">
      <c r="B113" s="14" t="s">
        <v>169</v>
      </c>
      <c r="C113" s="52" t="str">
        <f>input!$C$5&amp;" / 1000 pcs"</f>
        <v>INR / 1000 pcs</v>
      </c>
      <c r="D113" s="65">
        <f>SUM(D130:D131)*D142*D67/D13</f>
        <v>8.9156261576097577</v>
      </c>
    </row>
    <row r="114" spans="2:4" x14ac:dyDescent="0.35">
      <c r="B114" s="14" t="s">
        <v>186</v>
      </c>
      <c r="C114" s="52" t="str">
        <f>input!$C$5&amp;" / 1000 pcs"</f>
        <v>INR / 1000 pcs</v>
      </c>
      <c r="D114" s="65">
        <f>D145*_xlfn.XLOOKUP(B180,input!$A:$A,input!$C:$C,0)*D67*D124/365*1000/D13</f>
        <v>1.7988187930170116</v>
      </c>
    </row>
    <row r="115" spans="2:4" x14ac:dyDescent="0.35">
      <c r="B115" s="14"/>
      <c r="C115" s="14"/>
      <c r="D115" s="64"/>
    </row>
    <row r="116" spans="2:4" x14ac:dyDescent="0.35">
      <c r="B116" s="14" t="s">
        <v>187</v>
      </c>
      <c r="C116" s="14"/>
      <c r="D116" s="65">
        <f>D13</f>
        <v>62975559</v>
      </c>
    </row>
    <row r="117" spans="2:4" x14ac:dyDescent="0.35">
      <c r="B117" s="14"/>
      <c r="C117" s="14"/>
      <c r="D117" s="64"/>
    </row>
    <row r="118" spans="2:4" x14ac:dyDescent="0.35">
      <c r="B118" s="58" t="s">
        <v>188</v>
      </c>
      <c r="C118" s="14"/>
      <c r="D118" s="64"/>
    </row>
    <row r="119" spans="2:4" x14ac:dyDescent="0.35">
      <c r="B119" s="57" t="s">
        <v>189</v>
      </c>
      <c r="C119" s="14"/>
      <c r="D119" s="64"/>
    </row>
    <row r="120" spans="2:4" x14ac:dyDescent="0.35">
      <c r="B120" s="14" t="s">
        <v>190</v>
      </c>
      <c r="C120" s="52" t="s">
        <v>191</v>
      </c>
      <c r="D120" s="65">
        <v>22</v>
      </c>
    </row>
    <row r="121" spans="2:4" x14ac:dyDescent="0.35">
      <c r="B121" s="14" t="s">
        <v>192</v>
      </c>
      <c r="C121" s="52" t="s">
        <v>191</v>
      </c>
      <c r="D121" s="65">
        <v>20</v>
      </c>
    </row>
    <row r="122" spans="2:4" x14ac:dyDescent="0.35">
      <c r="B122" s="14" t="s">
        <v>193</v>
      </c>
      <c r="C122" s="52" t="s">
        <v>194</v>
      </c>
      <c r="D122" s="65">
        <v>40</v>
      </c>
    </row>
    <row r="123" spans="2:4" x14ac:dyDescent="0.35">
      <c r="B123" s="14" t="s">
        <v>195</v>
      </c>
      <c r="C123" s="52" t="s">
        <v>8</v>
      </c>
      <c r="D123" s="65">
        <f>22/7*(D120*0.348/2)^2+4</f>
        <v>50.054121142857134</v>
      </c>
    </row>
    <row r="124" spans="2:4" x14ac:dyDescent="0.35">
      <c r="B124" s="14" t="s">
        <v>196</v>
      </c>
      <c r="C124" s="52" t="s">
        <v>197</v>
      </c>
      <c r="D124" s="65">
        <v>45</v>
      </c>
    </row>
    <row r="125" spans="2:4" x14ac:dyDescent="0.35">
      <c r="B125" s="14" t="s">
        <v>198</v>
      </c>
      <c r="C125" s="52" t="s">
        <v>194</v>
      </c>
      <c r="D125" s="65">
        <f>D116*D129/10^6*D124/365</f>
        <v>135.87192523972601</v>
      </c>
    </row>
    <row r="126" spans="2:4" x14ac:dyDescent="0.35">
      <c r="B126" s="14" t="s">
        <v>199</v>
      </c>
      <c r="C126" s="52" t="s">
        <v>8</v>
      </c>
      <c r="D126" s="65">
        <f>D125/D122*D123</f>
        <v>170.02374514656182</v>
      </c>
    </row>
    <row r="127" spans="2:4" x14ac:dyDescent="0.35">
      <c r="B127" s="14"/>
      <c r="C127" s="14"/>
      <c r="D127" s="64"/>
    </row>
    <row r="128" spans="2:4" x14ac:dyDescent="0.35">
      <c r="B128" s="63" t="s">
        <v>200</v>
      </c>
      <c r="C128" s="14"/>
      <c r="D128" s="64"/>
    </row>
    <row r="129" spans="2:4" x14ac:dyDescent="0.35">
      <c r="B129" s="14" t="s">
        <v>201</v>
      </c>
      <c r="C129" s="14" t="s">
        <v>96</v>
      </c>
      <c r="D129" s="65">
        <f>input!C11</f>
        <v>17.5</v>
      </c>
    </row>
    <row r="130" spans="2:4" x14ac:dyDescent="0.35">
      <c r="B130" s="14" t="s">
        <v>63</v>
      </c>
      <c r="C130" s="52" t="str">
        <f>input!$C$5&amp;" / 1000 pcs"</f>
        <v>INR / 1000 pcs</v>
      </c>
      <c r="D130" s="65">
        <f>material!D42</f>
        <v>1804.9591698021964</v>
      </c>
    </row>
    <row r="131" spans="2:4" x14ac:dyDescent="0.35">
      <c r="B131" s="14" t="s">
        <v>66</v>
      </c>
      <c r="C131" s="52" t="str">
        <f>input!$C$5&amp;" / 1000 pcs"</f>
        <v>INR / 1000 pcs</v>
      </c>
      <c r="D131" s="65">
        <f>SUM(D60,D64,D78,D91,D93,D95)</f>
        <v>1515.6566950218457</v>
      </c>
    </row>
    <row r="132" spans="2:4" x14ac:dyDescent="0.35">
      <c r="B132" s="14"/>
      <c r="C132" s="14"/>
      <c r="D132" s="64"/>
    </row>
    <row r="133" spans="2:4" x14ac:dyDescent="0.35">
      <c r="B133" s="58" t="s">
        <v>202</v>
      </c>
      <c r="C133" s="14"/>
      <c r="D133" s="64"/>
    </row>
    <row r="134" spans="2:4" x14ac:dyDescent="0.35">
      <c r="B134" s="14" t="s">
        <v>203</v>
      </c>
      <c r="C134" s="52" t="s">
        <v>204</v>
      </c>
      <c r="D134" s="65" t="s">
        <v>205</v>
      </c>
    </row>
    <row r="135" spans="2:4" x14ac:dyDescent="0.35">
      <c r="B135" s="14" t="s">
        <v>206</v>
      </c>
      <c r="C135" s="52" t="s">
        <v>114</v>
      </c>
      <c r="D135" s="65">
        <v>20</v>
      </c>
    </row>
    <row r="136" spans="2:4" x14ac:dyDescent="0.35">
      <c r="B136" s="14" t="s">
        <v>207</v>
      </c>
      <c r="C136" s="52" t="s">
        <v>114</v>
      </c>
      <c r="D136" s="65">
        <v>10</v>
      </c>
    </row>
    <row r="137" spans="2:4" x14ac:dyDescent="0.35">
      <c r="B137" s="14" t="s">
        <v>208</v>
      </c>
      <c r="C137" s="52" t="s">
        <v>114</v>
      </c>
      <c r="D137" s="65">
        <f>D135*D136</f>
        <v>200</v>
      </c>
    </row>
    <row r="138" spans="2:4" x14ac:dyDescent="0.35">
      <c r="B138" s="14" t="s">
        <v>209</v>
      </c>
      <c r="C138" s="52" t="s">
        <v>8</v>
      </c>
      <c r="D138" s="65">
        <f>2.5*1+4</f>
        <v>6.5</v>
      </c>
    </row>
    <row r="139" spans="2:4" x14ac:dyDescent="0.35">
      <c r="B139" s="14" t="s">
        <v>210</v>
      </c>
      <c r="C139" s="52" t="s">
        <v>114</v>
      </c>
      <c r="D139" s="65">
        <f>_xlfn.XLOOKUP(B139,input!$A:$A,input!$C:$C,0)</f>
        <v>360</v>
      </c>
    </row>
    <row r="140" spans="2:4" x14ac:dyDescent="0.35">
      <c r="B140" s="14" t="s">
        <v>211</v>
      </c>
      <c r="C140" s="52" t="s">
        <v>114</v>
      </c>
      <c r="D140" s="65">
        <f>D137*D139</f>
        <v>72000</v>
      </c>
    </row>
    <row r="141" spans="2:4" x14ac:dyDescent="0.35">
      <c r="B141" s="14" t="s">
        <v>202</v>
      </c>
      <c r="C141" s="52" t="s">
        <v>197</v>
      </c>
      <c r="D141" s="65">
        <v>7</v>
      </c>
    </row>
    <row r="142" spans="2:4" x14ac:dyDescent="0.35">
      <c r="B142" s="14" t="s">
        <v>212</v>
      </c>
      <c r="C142" s="52" t="s">
        <v>114</v>
      </c>
      <c r="D142" s="65">
        <f>D116*D141/365</f>
        <v>1207750.4465753424</v>
      </c>
    </row>
    <row r="143" spans="2:4" x14ac:dyDescent="0.35">
      <c r="B143" s="14" t="s">
        <v>213</v>
      </c>
      <c r="C143" s="52" t="s">
        <v>8</v>
      </c>
      <c r="D143" s="65">
        <f>D142/D140*D138</f>
        <v>109.03302642694062</v>
      </c>
    </row>
    <row r="144" spans="2:4" x14ac:dyDescent="0.35">
      <c r="B144" s="14"/>
      <c r="C144" s="14"/>
      <c r="D144" s="64"/>
    </row>
    <row r="145" spans="1:7" x14ac:dyDescent="0.35">
      <c r="B145" s="14" t="s">
        <v>214</v>
      </c>
      <c r="C145" s="14"/>
      <c r="D145" s="65">
        <f>D126+D143</f>
        <v>279.05677157350243</v>
      </c>
    </row>
    <row r="146" spans="1:7" x14ac:dyDescent="0.35">
      <c r="B146" s="14"/>
      <c r="C146" s="14"/>
      <c r="D146" s="64"/>
    </row>
    <row r="147" spans="1:7" x14ac:dyDescent="0.35">
      <c r="F147" s="72"/>
    </row>
    <row r="148" spans="1:7" x14ac:dyDescent="0.35">
      <c r="B148" s="43" t="s">
        <v>78</v>
      </c>
    </row>
    <row r="149" spans="1:7" x14ac:dyDescent="0.35">
      <c r="B149" s="57" t="s">
        <v>139</v>
      </c>
      <c r="C149" s="14"/>
      <c r="D149" s="104">
        <v>3</v>
      </c>
      <c r="E149" s="105"/>
      <c r="F149" s="105" t="s">
        <v>400</v>
      </c>
    </row>
    <row r="150" spans="1:7" x14ac:dyDescent="0.35">
      <c r="B150" s="57" t="s">
        <v>182</v>
      </c>
      <c r="C150" s="14" t="s">
        <v>1</v>
      </c>
      <c r="D150" s="106" t="s">
        <v>215</v>
      </c>
      <c r="E150" s="106" t="s">
        <v>216</v>
      </c>
      <c r="F150" s="105" t="s">
        <v>217</v>
      </c>
    </row>
    <row r="151" spans="1:7" x14ac:dyDescent="0.35">
      <c r="B151" s="14" t="s">
        <v>45</v>
      </c>
      <c r="C151" s="14" t="str">
        <f>input!$C$5</f>
        <v>INR</v>
      </c>
      <c r="D151" s="65">
        <f>1/4</f>
        <v>0.25</v>
      </c>
      <c r="E151" s="65">
        <f>_xlfn.XLOOKUP($B151,input!$A:$A,input!C:C)</f>
        <v>541800</v>
      </c>
      <c r="F151" s="65">
        <f>D151*D$149*D$26*E151</f>
        <v>2438100</v>
      </c>
      <c r="G151" s="40" t="s">
        <v>218</v>
      </c>
    </row>
    <row r="152" spans="1:7" x14ac:dyDescent="0.35">
      <c r="B152" s="14" t="s">
        <v>219</v>
      </c>
      <c r="C152" s="14" t="str">
        <f>input!$C$5</f>
        <v>INR</v>
      </c>
      <c r="D152" s="65">
        <v>0.25</v>
      </c>
      <c r="E152" s="65">
        <f>_xlfn.XLOOKUP(B151,input!$A:$A,input!$C:$C,0)*70%</f>
        <v>379260</v>
      </c>
      <c r="F152" s="65">
        <f>D152*$D$149*$D$26*E152</f>
        <v>1706670</v>
      </c>
      <c r="G152" s="40" t="s">
        <v>220</v>
      </c>
    </row>
    <row r="153" spans="1:7" x14ac:dyDescent="0.35">
      <c r="B153" s="14" t="s">
        <v>49</v>
      </c>
      <c r="C153" s="14" t="str">
        <f>input!$C$5</f>
        <v>INR</v>
      </c>
      <c r="D153" s="65">
        <v>6.6666666666666666E-2</v>
      </c>
      <c r="E153" s="65">
        <f>_xlfn.XLOOKUP($B153,input!$A:$A,input!C:C)</f>
        <v>1260000</v>
      </c>
      <c r="F153" s="65">
        <f>D153*$D$149*$D$26*E153</f>
        <v>1512000.0000000002</v>
      </c>
      <c r="G153" s="40" t="s">
        <v>221</v>
      </c>
    </row>
    <row r="154" spans="1:7" x14ac:dyDescent="0.35">
      <c r="B154" s="14" t="s">
        <v>51</v>
      </c>
      <c r="C154" s="14" t="str">
        <f>input!$C$5</f>
        <v>INR</v>
      </c>
      <c r="D154" s="65">
        <f>1*2/30</f>
        <v>6.6666666666666666E-2</v>
      </c>
      <c r="E154" s="65">
        <f>_xlfn.XLOOKUP($B154,input!$A:$A,input!C:C)</f>
        <v>1890000</v>
      </c>
      <c r="F154" s="65">
        <f>D154*$D$26*E154</f>
        <v>756000</v>
      </c>
      <c r="G154" s="40" t="s">
        <v>222</v>
      </c>
    </row>
    <row r="155" spans="1:7" x14ac:dyDescent="0.35">
      <c r="B155" s="14" t="s">
        <v>62</v>
      </c>
      <c r="C155" s="14" t="str">
        <f>input!$C$5</f>
        <v>INR</v>
      </c>
      <c r="D155" s="65"/>
      <c r="E155" s="65"/>
      <c r="F155" s="65">
        <f>SUM(F151:F154)</f>
        <v>6412770</v>
      </c>
    </row>
    <row r="156" spans="1:7" x14ac:dyDescent="0.35">
      <c r="B156" s="14" t="s">
        <v>223</v>
      </c>
      <c r="C156" s="14"/>
      <c r="D156" s="65"/>
      <c r="E156" s="65"/>
      <c r="F156" s="65">
        <f>F155/(input!C85*conversion!D26)</f>
        <v>134.94886363636363</v>
      </c>
    </row>
    <row r="157" spans="1:7" x14ac:dyDescent="0.35">
      <c r="B157" s="73"/>
      <c r="C157" s="73"/>
      <c r="D157" s="74"/>
      <c r="E157" s="75"/>
    </row>
    <row r="158" spans="1:7" x14ac:dyDescent="0.35">
      <c r="D158" s="104"/>
      <c r="E158" s="110"/>
      <c r="F158" s="24"/>
    </row>
    <row r="159" spans="1:7" x14ac:dyDescent="0.35">
      <c r="B159" s="57" t="s">
        <v>224</v>
      </c>
      <c r="C159" s="14"/>
      <c r="D159" s="104" t="s">
        <v>215</v>
      </c>
      <c r="E159" s="110" t="s">
        <v>217</v>
      </c>
      <c r="F159" s="24"/>
    </row>
    <row r="160" spans="1:7" x14ac:dyDescent="0.35">
      <c r="A160" s="69" t="s">
        <v>45</v>
      </c>
      <c r="B160" s="14" t="s">
        <v>225</v>
      </c>
      <c r="C160" s="14" t="str">
        <f>input!$C$5</f>
        <v>INR</v>
      </c>
      <c r="D160" s="65">
        <v>2</v>
      </c>
      <c r="E160" s="111">
        <f>D160*_xlfn.XLOOKUP(A160,input!$A:$A,input!$C:$C,0)</f>
        <v>1083600</v>
      </c>
      <c r="F160" s="3" t="s">
        <v>226</v>
      </c>
    </row>
    <row r="161" spans="1:6" x14ac:dyDescent="0.35">
      <c r="A161" s="69" t="s">
        <v>49</v>
      </c>
      <c r="B161" s="14" t="s">
        <v>227</v>
      </c>
      <c r="C161" s="14" t="str">
        <f>input!$C$5</f>
        <v>INR</v>
      </c>
      <c r="D161" s="65">
        <v>2</v>
      </c>
      <c r="E161" s="111">
        <f>D161*_xlfn.XLOOKUP(A161,input!$A:$A,input!$C:$C,0)</f>
        <v>2520000</v>
      </c>
      <c r="F161" s="3" t="s">
        <v>228</v>
      </c>
    </row>
    <row r="162" spans="1:6" x14ac:dyDescent="0.35">
      <c r="A162" s="69" t="s">
        <v>45</v>
      </c>
      <c r="B162" s="14" t="s">
        <v>229</v>
      </c>
      <c r="C162" s="14" t="str">
        <f>input!$C$5</f>
        <v>INR</v>
      </c>
      <c r="D162" s="65">
        <v>1</v>
      </c>
      <c r="E162" s="111">
        <f>D162*_xlfn.XLOOKUP(A162,input!$A:$A,input!$C:$C,0)</f>
        <v>541800</v>
      </c>
    </row>
    <row r="163" spans="1:6" x14ac:dyDescent="0.35">
      <c r="A163" s="69" t="s">
        <v>45</v>
      </c>
      <c r="B163" s="14" t="s">
        <v>230</v>
      </c>
      <c r="C163" s="14" t="str">
        <f>input!$C$5</f>
        <v>INR</v>
      </c>
      <c r="D163" s="65">
        <v>1</v>
      </c>
      <c r="E163" s="111">
        <f>D163*_xlfn.XLOOKUP(A163,input!$A:$A,input!$C:$C,0)</f>
        <v>541800</v>
      </c>
    </row>
    <row r="164" spans="1:6" x14ac:dyDescent="0.35">
      <c r="A164" s="69" t="s">
        <v>45</v>
      </c>
      <c r="B164" s="14" t="s">
        <v>231</v>
      </c>
      <c r="C164" s="14" t="str">
        <f>input!$C$5</f>
        <v>INR</v>
      </c>
      <c r="D164" s="65">
        <v>1</v>
      </c>
      <c r="E164" s="111">
        <f>D164*_xlfn.XLOOKUP(A164,input!$A:$A,input!$C:$C,0)</f>
        <v>541800</v>
      </c>
    </row>
    <row r="165" spans="1:6" x14ac:dyDescent="0.35">
      <c r="A165" s="69" t="s">
        <v>45</v>
      </c>
      <c r="B165" s="14" t="s">
        <v>232</v>
      </c>
      <c r="C165" s="14" t="str">
        <f>input!$C$5</f>
        <v>INR</v>
      </c>
      <c r="D165" s="65">
        <v>1</v>
      </c>
      <c r="E165" s="111">
        <f>D165*_xlfn.XLOOKUP(A165,input!$A:$A,input!$C:$C,0)</f>
        <v>541800</v>
      </c>
    </row>
    <row r="166" spans="1:6" x14ac:dyDescent="0.35">
      <c r="A166" s="69" t="s">
        <v>45</v>
      </c>
      <c r="B166" s="14" t="s">
        <v>233</v>
      </c>
      <c r="C166" s="14" t="str">
        <f>input!$C$5</f>
        <v>INR</v>
      </c>
      <c r="D166" s="65">
        <v>1</v>
      </c>
      <c r="E166" s="111">
        <f>D166*_xlfn.XLOOKUP(A166,input!$A:$A,input!$C:$C,0)</f>
        <v>541800</v>
      </c>
    </row>
    <row r="167" spans="1:6" x14ac:dyDescent="0.35">
      <c r="A167" s="69" t="s">
        <v>45</v>
      </c>
      <c r="B167" s="14" t="s">
        <v>234</v>
      </c>
      <c r="C167" s="14" t="str">
        <f>input!$C$5</f>
        <v>INR</v>
      </c>
      <c r="D167" s="65">
        <v>1</v>
      </c>
      <c r="E167" s="111">
        <f>D167*_xlfn.XLOOKUP(A167,input!$A:$A,input!$C:$C,0)</f>
        <v>541800</v>
      </c>
    </row>
    <row r="168" spans="1:6" x14ac:dyDescent="0.35">
      <c r="A168" s="69" t="s">
        <v>45</v>
      </c>
      <c r="B168" s="14" t="s">
        <v>235</v>
      </c>
      <c r="C168" s="14" t="str">
        <f>input!$C$5</f>
        <v>INR</v>
      </c>
      <c r="D168" s="65">
        <v>9</v>
      </c>
      <c r="E168" s="111">
        <f>D168*_xlfn.XLOOKUP(A168,input!$A:$A,input!$C:$C,0)</f>
        <v>4876200</v>
      </c>
      <c r="F168" s="3" t="s">
        <v>236</v>
      </c>
    </row>
    <row r="169" spans="1:6" x14ac:dyDescent="0.35">
      <c r="A169" s="69" t="s">
        <v>45</v>
      </c>
      <c r="B169" s="14" t="s">
        <v>237</v>
      </c>
      <c r="C169" s="14" t="str">
        <f>input!$C$5</f>
        <v>INR</v>
      </c>
      <c r="D169" s="65">
        <v>9</v>
      </c>
      <c r="E169" s="111">
        <f>D169*_xlfn.XLOOKUP(A169,input!$A:$A,input!$C:$C,0)</f>
        <v>4876200</v>
      </c>
      <c r="F169" s="3" t="s">
        <v>236</v>
      </c>
    </row>
    <row r="170" spans="1:6" x14ac:dyDescent="0.35">
      <c r="A170" s="69" t="s">
        <v>45</v>
      </c>
      <c r="B170" s="14" t="s">
        <v>238</v>
      </c>
      <c r="C170" s="14" t="str">
        <f>input!$C$5</f>
        <v>INR</v>
      </c>
      <c r="D170" s="65">
        <v>9</v>
      </c>
      <c r="E170" s="111">
        <f>D170*_xlfn.XLOOKUP(A170,input!$A:$A,input!$C:$C,0)</f>
        <v>4876200</v>
      </c>
      <c r="F170" s="3" t="s">
        <v>236</v>
      </c>
    </row>
    <row r="171" spans="1:6" x14ac:dyDescent="0.35">
      <c r="A171" s="69" t="s">
        <v>51</v>
      </c>
      <c r="B171" s="14" t="s">
        <v>239</v>
      </c>
      <c r="C171" s="14" t="str">
        <f>input!$C$5</f>
        <v>INR</v>
      </c>
      <c r="D171" s="65">
        <v>1</v>
      </c>
      <c r="E171" s="111">
        <f>D171*_xlfn.XLOOKUP(A171,input!$A:$A,input!$C:$C,0)</f>
        <v>1890000</v>
      </c>
      <c r="F171" s="42"/>
    </row>
    <row r="172" spans="1:6" x14ac:dyDescent="0.35">
      <c r="B172" s="14" t="s">
        <v>62</v>
      </c>
      <c r="C172" s="14" t="str">
        <f>input!$C$5</f>
        <v>INR</v>
      </c>
      <c r="D172" s="65"/>
      <c r="E172" s="111">
        <f>SUM(E160:E171)</f>
        <v>23373000</v>
      </c>
      <c r="F172" s="42"/>
    </row>
    <row r="174" spans="1:6" x14ac:dyDescent="0.35">
      <c r="B174" s="43" t="s">
        <v>240</v>
      </c>
    </row>
    <row r="175" spans="1:6" x14ac:dyDescent="0.35">
      <c r="B175" s="43"/>
      <c r="E175" s="76" t="s">
        <v>400</v>
      </c>
    </row>
    <row r="176" spans="1:6" x14ac:dyDescent="0.35">
      <c r="B176" s="49" t="s">
        <v>0</v>
      </c>
      <c r="C176" s="49" t="s">
        <v>1</v>
      </c>
      <c r="D176" s="76" t="s">
        <v>400</v>
      </c>
      <c r="E176" s="76" t="str">
        <f>input!$C$5&amp;" / 1000 pcs"</f>
        <v>INR / 1000 pcs</v>
      </c>
    </row>
    <row r="177" spans="2:7" x14ac:dyDescent="0.35">
      <c r="B177" s="14" t="s">
        <v>23</v>
      </c>
      <c r="C177" s="14"/>
      <c r="D177" s="65" t="str">
        <f>_xlfn.XLOOKUP($B177,input!$A:$A,input!$C:$C)</f>
        <v>Owned</v>
      </c>
      <c r="E177" s="65"/>
    </row>
    <row r="178" spans="2:7" x14ac:dyDescent="0.35">
      <c r="B178" s="14" t="s">
        <v>241</v>
      </c>
      <c r="C178" s="14" t="s">
        <v>8</v>
      </c>
      <c r="D178" s="65">
        <f>backup!C17</f>
        <v>1012.6525308192894</v>
      </c>
      <c r="E178" s="65"/>
    </row>
    <row r="179" spans="2:7" x14ac:dyDescent="0.35">
      <c r="B179" s="14" t="s">
        <v>242</v>
      </c>
      <c r="C179" s="14" t="s">
        <v>8</v>
      </c>
      <c r="D179" s="65">
        <f>backup!C15</f>
        <v>708.85677157350256</v>
      </c>
      <c r="E179" s="65"/>
    </row>
    <row r="180" spans="2:7" x14ac:dyDescent="0.35">
      <c r="B180" s="14" t="s">
        <v>10</v>
      </c>
      <c r="C180" s="14" t="str">
        <f>input!$C$5</f>
        <v>INR</v>
      </c>
      <c r="D180" s="65">
        <f>IF($D$177="Owned",_xlfn.XLOOKUP($B180,input!$A:$A,input!$C:$C,0)*conversion!D178,IF(conversion!$D$177="Leased",0))</f>
        <v>23816593.77624689</v>
      </c>
      <c r="E180" s="65"/>
    </row>
    <row r="181" spans="2:7" x14ac:dyDescent="0.35">
      <c r="B181" s="191" t="s">
        <v>15</v>
      </c>
      <c r="C181" s="14" t="str">
        <f>input!$C$5</f>
        <v>INR</v>
      </c>
      <c r="D181" s="65">
        <f>IF($D$177="Owned",_xlfn.XLOOKUP($B181,input!$A:$A,input!$C:$C,0)*conversion!D179,IF(conversion!$D$177="Leased",0))</f>
        <v>4961997.401014518</v>
      </c>
      <c r="E181" s="65"/>
    </row>
    <row r="182" spans="2:7" x14ac:dyDescent="0.35">
      <c r="B182" s="14" t="s">
        <v>166</v>
      </c>
      <c r="C182" s="14" t="str">
        <f>input!$C$5</f>
        <v>INR</v>
      </c>
      <c r="D182" s="65">
        <f>backup!E39</f>
        <v>4739399.7989773946</v>
      </c>
      <c r="E182" s="65"/>
    </row>
    <row r="183" spans="2:7" x14ac:dyDescent="0.35">
      <c r="B183" s="14" t="s">
        <v>19</v>
      </c>
      <c r="C183" s="14" t="s">
        <v>87</v>
      </c>
      <c r="D183" s="65">
        <f>IF($D$177="Owned",0,IF($D$177="Leased",D179*_xlfn.XLOOKUP(B183,input!$A:$A,input!$C:$C,0)))</f>
        <v>0</v>
      </c>
      <c r="E183" s="65"/>
    </row>
    <row r="184" spans="2:7" x14ac:dyDescent="0.35">
      <c r="B184" s="14" t="s">
        <v>62</v>
      </c>
      <c r="C184" s="14" t="str">
        <f>input!$C$5</f>
        <v>INR</v>
      </c>
      <c r="D184" s="65">
        <f>SUM(D180:D183)</f>
        <v>33517990.976238802</v>
      </c>
      <c r="E184" s="65"/>
    </row>
    <row r="185" spans="2:7" x14ac:dyDescent="0.35">
      <c r="B185" s="14"/>
      <c r="C185" s="14"/>
      <c r="D185" s="64"/>
      <c r="E185" s="64"/>
    </row>
    <row r="186" spans="2:7" x14ac:dyDescent="0.35">
      <c r="B186" s="14" t="s">
        <v>25</v>
      </c>
      <c r="C186" s="14" t="str">
        <f>input!$C$5</f>
        <v>INR</v>
      </c>
      <c r="D186" s="65">
        <f>VLOOKUP(D58,Dep_Sch_Others,COLUMNS($A$324:$D$359),0)</f>
        <v>309278.81700653437</v>
      </c>
      <c r="E186" s="65">
        <f>D186*1000/$D$13</f>
        <v>4.9110928416933053</v>
      </c>
    </row>
    <row r="187" spans="2:7" x14ac:dyDescent="0.35">
      <c r="B187" s="14" t="s">
        <v>479</v>
      </c>
      <c r="C187" s="14" t="str">
        <f>input!$C$5</f>
        <v>INR</v>
      </c>
      <c r="D187" s="65">
        <f>VLOOKUP(D58,Interest_Sch_Others,COLUMNS($A$364:$D$422),0)</f>
        <v>2634002.0640709833</v>
      </c>
      <c r="E187" s="65">
        <f>D187*1000/$D$13</f>
        <v>41.825782984649386</v>
      </c>
    </row>
    <row r="188" spans="2:7" x14ac:dyDescent="0.35">
      <c r="B188" s="14" t="s">
        <v>19</v>
      </c>
      <c r="C188" s="14" t="str">
        <f>input!$C$5</f>
        <v>INR</v>
      </c>
      <c r="D188" s="65">
        <f>D183</f>
        <v>0</v>
      </c>
      <c r="E188" s="65">
        <f>D188*1000/$D$13</f>
        <v>0</v>
      </c>
    </row>
    <row r="189" spans="2:7" x14ac:dyDescent="0.35">
      <c r="B189" s="14" t="s">
        <v>224</v>
      </c>
      <c r="C189" s="14" t="str">
        <f>input!$C$5</f>
        <v>INR</v>
      </c>
      <c r="D189" s="65">
        <f>E172*backup!C17/backup!C140</f>
        <v>4733745.5205678502</v>
      </c>
      <c r="E189" s="65">
        <f>D189*1000/$D$13</f>
        <v>75.167979383364425</v>
      </c>
      <c r="G189" s="112"/>
    </row>
    <row r="190" spans="2:7" x14ac:dyDescent="0.35">
      <c r="B190" s="14" t="s">
        <v>42</v>
      </c>
      <c r="C190" s="14" t="str">
        <f>input!$C$5</f>
        <v>INR</v>
      </c>
      <c r="D190" s="65">
        <f>SUM(D181:D182)*_xlfn.XLOOKUP($B190,input!$A:$A,input!$C:$C,0)</f>
        <v>242534.92999979781</v>
      </c>
      <c r="E190" s="65">
        <f>D190*1000/$D$13</f>
        <v>3.8512548971545901</v>
      </c>
    </row>
    <row r="191" spans="2:7" x14ac:dyDescent="0.35">
      <c r="B191" s="14"/>
      <c r="C191" s="14"/>
      <c r="D191" s="64"/>
      <c r="E191" s="64"/>
    </row>
    <row r="192" spans="2:7" x14ac:dyDescent="0.35">
      <c r="B192" s="14" t="s">
        <v>243</v>
      </c>
      <c r="C192" s="14" t="str">
        <f>input!$C$5</f>
        <v>INR</v>
      </c>
      <c r="D192" s="65">
        <f>SUM(D186:D190)</f>
        <v>7919561.3316451656</v>
      </c>
      <c r="E192" s="65"/>
    </row>
    <row r="193" spans="2:4" x14ac:dyDescent="0.35">
      <c r="B193" s="14"/>
      <c r="C193" s="14"/>
      <c r="D193" s="64"/>
    </row>
    <row r="195" spans="2:4" x14ac:dyDescent="0.35">
      <c r="B195" s="49" t="s">
        <v>0</v>
      </c>
      <c r="C195" s="49" t="s">
        <v>1</v>
      </c>
      <c r="D195" s="76" t="s">
        <v>472</v>
      </c>
    </row>
    <row r="196" spans="2:4" x14ac:dyDescent="0.35">
      <c r="B196" s="14" t="s">
        <v>463</v>
      </c>
      <c r="C196" s="14"/>
      <c r="D196" s="98"/>
    </row>
    <row r="197" spans="2:4" x14ac:dyDescent="0.35">
      <c r="B197" s="14" t="s">
        <v>131</v>
      </c>
      <c r="C197" s="14" t="s">
        <v>114</v>
      </c>
      <c r="D197" s="98">
        <f>_xlfn.XLOOKUP($B$197,input!$A:$A,input!$C:$C,0)</f>
        <v>360</v>
      </c>
    </row>
    <row r="198" spans="2:4" x14ac:dyDescent="0.35">
      <c r="B198" s="14" t="s">
        <v>429</v>
      </c>
      <c r="C198" s="14" t="s">
        <v>87</v>
      </c>
      <c r="D198" s="98">
        <f>_xlfn.XLOOKUP($B$198,input!$A:$A,input!$C:$C,0)</f>
        <v>60</v>
      </c>
    </row>
    <row r="199" spans="2:4" x14ac:dyDescent="0.35">
      <c r="B199" s="14" t="s">
        <v>430</v>
      </c>
      <c r="C199" s="14" t="s">
        <v>87</v>
      </c>
      <c r="D199" s="98">
        <f>_xlfn.XLOOKUP($B$199,input!$A:$A,input!$C:$C,0)</f>
        <v>25</v>
      </c>
    </row>
    <row r="200" spans="2:4" x14ac:dyDescent="0.35">
      <c r="B200" s="58" t="s">
        <v>464</v>
      </c>
      <c r="C200" s="58" t="s">
        <v>465</v>
      </c>
      <c r="D200" s="98">
        <f>(SUM(D198:D199)*1000/D197)</f>
        <v>236.11111111111111</v>
      </c>
    </row>
    <row r="201" spans="2:4" x14ac:dyDescent="0.35">
      <c r="B201" s="14"/>
      <c r="C201" s="14"/>
      <c r="D201" s="101"/>
    </row>
    <row r="202" spans="2:4" x14ac:dyDescent="0.35">
      <c r="B202" s="14" t="s">
        <v>466</v>
      </c>
      <c r="C202" s="14"/>
      <c r="D202" s="101"/>
    </row>
    <row r="203" spans="2:4" x14ac:dyDescent="0.35">
      <c r="B203" s="14" t="s">
        <v>131</v>
      </c>
      <c r="C203" s="14" t="s">
        <v>114</v>
      </c>
      <c r="D203" s="98">
        <f>_xlfn.XLOOKUP($B$197,input!$A:$A,input!$C:$C,0)</f>
        <v>360</v>
      </c>
    </row>
    <row r="204" spans="2:4" x14ac:dyDescent="0.35">
      <c r="B204" s="14" t="s">
        <v>428</v>
      </c>
      <c r="C204" s="14" t="s">
        <v>114</v>
      </c>
      <c r="D204" s="98">
        <f>_xlfn.XLOOKUP(B204,input!$A:$A,input!$C:$C,0)</f>
        <v>2000</v>
      </c>
    </row>
    <row r="205" spans="2:4" x14ac:dyDescent="0.35">
      <c r="B205" s="14" t="s">
        <v>467</v>
      </c>
      <c r="C205" s="14" t="s">
        <v>114</v>
      </c>
      <c r="D205" s="98">
        <f>D203*D204</f>
        <v>720000</v>
      </c>
    </row>
    <row r="206" spans="2:4" x14ac:dyDescent="0.35">
      <c r="B206" s="14" t="s">
        <v>137</v>
      </c>
      <c r="C206" s="14" t="s">
        <v>87</v>
      </c>
      <c r="D206" s="98">
        <f>_xlfn.XLOOKUP($B$206,input!$A:$A,input!$C:$C,0)</f>
        <v>8000</v>
      </c>
    </row>
    <row r="207" spans="2:4" x14ac:dyDescent="0.35">
      <c r="B207" s="58" t="s">
        <v>468</v>
      </c>
      <c r="C207" s="58" t="s">
        <v>465</v>
      </c>
      <c r="D207" s="98">
        <f>(D206/D205)*1000</f>
        <v>11.111111111111111</v>
      </c>
    </row>
    <row r="210" spans="2:4" ht="14.25" x14ac:dyDescent="0.45">
      <c r="B210" s="43" t="s">
        <v>34</v>
      </c>
      <c r="C210"/>
    </row>
    <row r="211" spans="2:4" x14ac:dyDescent="0.35">
      <c r="B211" s="14" t="s">
        <v>63</v>
      </c>
      <c r="C211" s="14" t="s">
        <v>469</v>
      </c>
      <c r="D211" s="98">
        <f>summary!$B$5</f>
        <v>1804.9591698021964</v>
      </c>
    </row>
    <row r="212" spans="2:4" x14ac:dyDescent="0.35">
      <c r="B212" s="14" t="s">
        <v>66</v>
      </c>
      <c r="C212" s="14" t="s">
        <v>469</v>
      </c>
      <c r="D212" s="98">
        <f>D60+D64+D74+D78+D91+D93+E186+E187+E188+E189</f>
        <v>1649.4858671451868</v>
      </c>
    </row>
    <row r="213" spans="2:4" x14ac:dyDescent="0.35">
      <c r="B213" s="14" t="str">
        <f>input!A98</f>
        <v>RM Payment term</v>
      </c>
      <c r="C213" s="14" t="s">
        <v>426</v>
      </c>
      <c r="D213" s="98">
        <f>_xlfn.XLOOKUP($B$213,input!$A:$A,input!$C:$C,0)</f>
        <v>45</v>
      </c>
    </row>
    <row r="214" spans="2:4" x14ac:dyDescent="0.35">
      <c r="B214" s="14" t="str">
        <f>input!A99</f>
        <v>FG Payment term</v>
      </c>
      <c r="C214" s="14" t="s">
        <v>426</v>
      </c>
      <c r="D214" s="98">
        <f>_xlfn.XLOOKUP($B$214,input!$A:$A,input!$C:$C,0)</f>
        <v>60</v>
      </c>
    </row>
    <row r="215" spans="2:4" x14ac:dyDescent="0.35">
      <c r="B215" s="14" t="s">
        <v>470</v>
      </c>
      <c r="C215" s="14" t="s">
        <v>426</v>
      </c>
      <c r="D215" s="98">
        <f>D214-D213</f>
        <v>15</v>
      </c>
    </row>
    <row r="216" spans="2:4" x14ac:dyDescent="0.35">
      <c r="B216" s="14" t="str">
        <f>input!A67</f>
        <v>Interest on Working Capital</v>
      </c>
      <c r="C216" s="14" t="s">
        <v>26</v>
      </c>
      <c r="D216" s="107">
        <f>_xlfn.XLOOKUP($B$216,input!$A:$A,input!$C:$C,0)</f>
        <v>0.14000000000000001</v>
      </c>
    </row>
    <row r="217" spans="2:4" x14ac:dyDescent="0.35">
      <c r="B217" s="14" t="str">
        <f>B216</f>
        <v>Interest on Working Capital</v>
      </c>
      <c r="C217" s="14" t="s">
        <v>469</v>
      </c>
      <c r="D217" s="98">
        <f>SUM(D211:D212)*D216*D215/365</f>
        <v>19.874889253669878</v>
      </c>
    </row>
    <row r="219" spans="2:4" x14ac:dyDescent="0.35">
      <c r="D219" s="109">
        <f t="shared" ref="D219:D221" si="0">D9</f>
        <v>1</v>
      </c>
    </row>
    <row r="220" spans="2:4" x14ac:dyDescent="0.35">
      <c r="B220" s="49" t="s">
        <v>244</v>
      </c>
      <c r="C220" s="49" t="s">
        <v>1</v>
      </c>
      <c r="D220" s="76" t="str">
        <f t="shared" si="0"/>
        <v>XXXXX</v>
      </c>
    </row>
    <row r="221" spans="2:4" x14ac:dyDescent="0.35">
      <c r="B221" s="49"/>
      <c r="C221" s="49"/>
      <c r="D221" s="76" t="str">
        <f t="shared" si="0"/>
        <v>Bottle Mono PE CMT220ml19g W/O MB PCR70%</v>
      </c>
    </row>
    <row r="222" spans="2:4" x14ac:dyDescent="0.35">
      <c r="B222" s="49"/>
      <c r="C222" s="49"/>
      <c r="D222" s="48" t="s">
        <v>400</v>
      </c>
    </row>
    <row r="223" spans="2:4" x14ac:dyDescent="0.35">
      <c r="B223" s="14" t="s">
        <v>245</v>
      </c>
      <c r="C223" s="14"/>
      <c r="D223" s="64">
        <f>D56</f>
        <v>346820074.19897735</v>
      </c>
    </row>
    <row r="224" spans="2:4" x14ac:dyDescent="0.35">
      <c r="B224" s="14"/>
      <c r="C224" s="14"/>
      <c r="D224" s="64"/>
    </row>
    <row r="225" spans="1:4" x14ac:dyDescent="0.35">
      <c r="B225" s="191" t="s">
        <v>542</v>
      </c>
      <c r="C225" s="14" t="s">
        <v>26</v>
      </c>
      <c r="D225" s="68">
        <f>_xlfn.XLOOKUP($B225,input!$A:$A,input!$C:$C)</f>
        <v>0.15</v>
      </c>
    </row>
    <row r="226" spans="1:4" x14ac:dyDescent="0.35">
      <c r="B226" s="14" t="s">
        <v>246</v>
      </c>
      <c r="C226" s="14" t="str">
        <f>input!$C$5</f>
        <v>INR</v>
      </c>
      <c r="D226" s="65">
        <f>D223*5%</f>
        <v>17341003.709948868</v>
      </c>
    </row>
    <row r="227" spans="1:4" x14ac:dyDescent="0.35">
      <c r="B227" s="14" t="s">
        <v>247</v>
      </c>
      <c r="C227" s="14" t="str">
        <f>input!$C$5</f>
        <v>INR</v>
      </c>
      <c r="D227" s="65">
        <f>D223-D226</f>
        <v>329479070.48902845</v>
      </c>
    </row>
    <row r="228" spans="1:4" x14ac:dyDescent="0.35">
      <c r="A228" s="69">
        <v>1</v>
      </c>
      <c r="B228" s="14" t="s">
        <v>248</v>
      </c>
      <c r="C228" s="14" t="str">
        <f>input!$C$5</f>
        <v>INR</v>
      </c>
      <c r="D228" s="65">
        <f>D227*D$225</f>
        <v>49421860.573354267</v>
      </c>
    </row>
    <row r="229" spans="1:4" x14ac:dyDescent="0.35">
      <c r="B229" s="14" t="s">
        <v>249</v>
      </c>
      <c r="C229" s="14" t="str">
        <f>input!$C$5</f>
        <v>INR</v>
      </c>
      <c r="D229" s="65">
        <f>D227-D228</f>
        <v>280057209.91567421</v>
      </c>
    </row>
    <row r="230" spans="1:4" x14ac:dyDescent="0.35">
      <c r="A230" s="69">
        <f>A228+1</f>
        <v>2</v>
      </c>
      <c r="B230" s="14" t="s">
        <v>250</v>
      </c>
      <c r="C230" s="14" t="str">
        <f>input!$C$5</f>
        <v>INR</v>
      </c>
      <c r="D230" s="65">
        <f>D229*D$225</f>
        <v>42008581.487351127</v>
      </c>
    </row>
    <row r="231" spans="1:4" x14ac:dyDescent="0.35">
      <c r="B231" s="14" t="s">
        <v>251</v>
      </c>
      <c r="C231" s="14" t="str">
        <f>input!$C$5</f>
        <v>INR</v>
      </c>
      <c r="D231" s="65">
        <f>D229-D230</f>
        <v>238048628.42832309</v>
      </c>
    </row>
    <row r="232" spans="1:4" x14ac:dyDescent="0.35">
      <c r="A232" s="69">
        <f>A230+1</f>
        <v>3</v>
      </c>
      <c r="B232" s="14" t="s">
        <v>252</v>
      </c>
      <c r="C232" s="14" t="str">
        <f>input!$C$5</f>
        <v>INR</v>
      </c>
      <c r="D232" s="65">
        <f>D231*D$225</f>
        <v>35707294.264248461</v>
      </c>
    </row>
    <row r="233" spans="1:4" x14ac:dyDescent="0.35">
      <c r="B233" s="14" t="s">
        <v>253</v>
      </c>
      <c r="C233" s="14" t="str">
        <f>input!$C$5</f>
        <v>INR</v>
      </c>
      <c r="D233" s="65">
        <f>D231-D232</f>
        <v>202341334.16407463</v>
      </c>
    </row>
    <row r="234" spans="1:4" x14ac:dyDescent="0.35">
      <c r="A234" s="69">
        <f>A232+1</f>
        <v>4</v>
      </c>
      <c r="B234" s="14" t="s">
        <v>254</v>
      </c>
      <c r="C234" s="14" t="str">
        <f>input!$C$5</f>
        <v>INR</v>
      </c>
      <c r="D234" s="65">
        <f>D233*D$225</f>
        <v>30351200.124611191</v>
      </c>
    </row>
    <row r="235" spans="1:4" x14ac:dyDescent="0.35">
      <c r="B235" s="14" t="s">
        <v>255</v>
      </c>
      <c r="C235" s="14" t="str">
        <f>input!$C$5</f>
        <v>INR</v>
      </c>
      <c r="D235" s="65">
        <f>D233-D234</f>
        <v>171990134.03946343</v>
      </c>
    </row>
    <row r="236" spans="1:4" x14ac:dyDescent="0.35">
      <c r="A236" s="69">
        <f>A234+1</f>
        <v>5</v>
      </c>
      <c r="B236" s="14" t="s">
        <v>256</v>
      </c>
      <c r="C236" s="14" t="str">
        <f>input!$C$5</f>
        <v>INR</v>
      </c>
      <c r="D236" s="65">
        <f>D235*D$225</f>
        <v>25798520.105919514</v>
      </c>
    </row>
    <row r="237" spans="1:4" x14ac:dyDescent="0.35">
      <c r="B237" s="14" t="s">
        <v>257</v>
      </c>
      <c r="C237" s="14" t="str">
        <f>input!$C$5</f>
        <v>INR</v>
      </c>
      <c r="D237" s="65">
        <f>D235-D236</f>
        <v>146191613.93354392</v>
      </c>
    </row>
    <row r="238" spans="1:4" x14ac:dyDescent="0.35">
      <c r="A238" s="69">
        <f>A236+1</f>
        <v>6</v>
      </c>
      <c r="B238" s="14" t="s">
        <v>258</v>
      </c>
      <c r="C238" s="14" t="str">
        <f>input!$C$5</f>
        <v>INR</v>
      </c>
      <c r="D238" s="65">
        <f>D237*D$225</f>
        <v>21928742.090031587</v>
      </c>
    </row>
    <row r="239" spans="1:4" x14ac:dyDescent="0.35">
      <c r="B239" s="14" t="s">
        <v>259</v>
      </c>
      <c r="C239" s="14" t="str">
        <f>input!$C$5</f>
        <v>INR</v>
      </c>
      <c r="D239" s="65">
        <f>D237-D238</f>
        <v>124262871.84351233</v>
      </c>
    </row>
    <row r="240" spans="1:4" x14ac:dyDescent="0.35">
      <c r="A240" s="69">
        <f>A238+1</f>
        <v>7</v>
      </c>
      <c r="B240" s="14" t="s">
        <v>260</v>
      </c>
      <c r="C240" s="14" t="str">
        <f>input!$C$5</f>
        <v>INR</v>
      </c>
      <c r="D240" s="65">
        <f>D239*D$225</f>
        <v>18639430.77652685</v>
      </c>
    </row>
    <row r="241" spans="1:4" x14ac:dyDescent="0.35">
      <c r="B241" s="14" t="s">
        <v>261</v>
      </c>
      <c r="C241" s="14" t="str">
        <f>input!$C$5</f>
        <v>INR</v>
      </c>
      <c r="D241" s="65">
        <f>D239-D240</f>
        <v>105623441.06698547</v>
      </c>
    </row>
    <row r="242" spans="1:4" x14ac:dyDescent="0.35">
      <c r="A242" s="69">
        <f>A240+1</f>
        <v>8</v>
      </c>
      <c r="B242" s="14" t="s">
        <v>262</v>
      </c>
      <c r="C242" s="14" t="str">
        <f>input!$C$5</f>
        <v>INR</v>
      </c>
      <c r="D242" s="65">
        <f>D241*D$225</f>
        <v>15843516.16004782</v>
      </c>
    </row>
    <row r="243" spans="1:4" x14ac:dyDescent="0.35">
      <c r="B243" s="14" t="s">
        <v>263</v>
      </c>
      <c r="C243" s="14" t="str">
        <f>input!$C$5</f>
        <v>INR</v>
      </c>
      <c r="D243" s="65">
        <f>D241-D242</f>
        <v>89779924.906937659</v>
      </c>
    </row>
    <row r="244" spans="1:4" x14ac:dyDescent="0.35">
      <c r="A244" s="69">
        <f>A242+1</f>
        <v>9</v>
      </c>
      <c r="B244" s="14" t="s">
        <v>264</v>
      </c>
      <c r="C244" s="14" t="str">
        <f>input!$C$5</f>
        <v>INR</v>
      </c>
      <c r="D244" s="65">
        <f>D243*D$225</f>
        <v>13466988.736040648</v>
      </c>
    </row>
    <row r="245" spans="1:4" x14ac:dyDescent="0.35">
      <c r="B245" s="14" t="s">
        <v>265</v>
      </c>
      <c r="C245" s="14" t="str">
        <f>input!$C$5</f>
        <v>INR</v>
      </c>
      <c r="D245" s="65">
        <f>D243-D244</f>
        <v>76312936.170897007</v>
      </c>
    </row>
    <row r="246" spans="1:4" x14ac:dyDescent="0.35">
      <c r="A246" s="69">
        <f>A244+1</f>
        <v>10</v>
      </c>
      <c r="B246" s="14" t="s">
        <v>266</v>
      </c>
      <c r="C246" s="14" t="str">
        <f>input!$C$5</f>
        <v>INR</v>
      </c>
      <c r="D246" s="65">
        <f>D245*D$225</f>
        <v>11446940.42563455</v>
      </c>
    </row>
    <row r="247" spans="1:4" x14ac:dyDescent="0.35">
      <c r="B247" s="14" t="s">
        <v>267</v>
      </c>
      <c r="C247" s="14" t="str">
        <f>input!$C$5</f>
        <v>INR</v>
      </c>
      <c r="D247" s="65">
        <f>D245-D246</f>
        <v>64865995.745262459</v>
      </c>
    </row>
    <row r="248" spans="1:4" x14ac:dyDescent="0.35">
      <c r="A248" s="69">
        <f>A246+1</f>
        <v>11</v>
      </c>
      <c r="B248" s="14" t="s">
        <v>268</v>
      </c>
      <c r="C248" s="14" t="str">
        <f>input!$C$5</f>
        <v>INR</v>
      </c>
      <c r="D248" s="65">
        <f>D247*D$225</f>
        <v>9729899.3617893681</v>
      </c>
    </row>
    <row r="249" spans="1:4" x14ac:dyDescent="0.35">
      <c r="B249" s="14" t="s">
        <v>269</v>
      </c>
      <c r="C249" s="14" t="str">
        <f>input!$C$5</f>
        <v>INR</v>
      </c>
      <c r="D249" s="65">
        <f>D247-D248</f>
        <v>55136096.383473091</v>
      </c>
    </row>
    <row r="250" spans="1:4" x14ac:dyDescent="0.35">
      <c r="A250" s="69">
        <f>A248+1</f>
        <v>12</v>
      </c>
      <c r="B250" s="14" t="s">
        <v>270</v>
      </c>
      <c r="C250" s="14" t="str">
        <f>input!$C$5</f>
        <v>INR</v>
      </c>
      <c r="D250" s="65">
        <f>D249*D$225</f>
        <v>8270414.4575209636</v>
      </c>
    </row>
    <row r="251" spans="1:4" x14ac:dyDescent="0.35">
      <c r="B251" s="14" t="s">
        <v>271</v>
      </c>
      <c r="C251" s="14" t="str">
        <f>input!$C$5</f>
        <v>INR</v>
      </c>
      <c r="D251" s="65">
        <f>D249-D250</f>
        <v>46865681.925952129</v>
      </c>
    </row>
    <row r="252" spans="1:4" x14ac:dyDescent="0.35">
      <c r="A252" s="69">
        <f>A250+1</f>
        <v>13</v>
      </c>
      <c r="B252" s="14" t="s">
        <v>272</v>
      </c>
      <c r="C252" s="14" t="str">
        <f>input!$C$5</f>
        <v>INR</v>
      </c>
      <c r="D252" s="65">
        <f>D251*D$225</f>
        <v>7029852.2888928195</v>
      </c>
    </row>
    <row r="253" spans="1:4" x14ac:dyDescent="0.35">
      <c r="B253" s="14" t="s">
        <v>273</v>
      </c>
      <c r="C253" s="14" t="str">
        <f>input!$C$5</f>
        <v>INR</v>
      </c>
      <c r="D253" s="65">
        <f>D251-D252</f>
        <v>39835829.637059309</v>
      </c>
    </row>
    <row r="254" spans="1:4" x14ac:dyDescent="0.35">
      <c r="A254" s="69">
        <f>A252+1</f>
        <v>14</v>
      </c>
      <c r="B254" s="14" t="s">
        <v>274</v>
      </c>
      <c r="C254" s="14" t="str">
        <f>input!$C$5</f>
        <v>INR</v>
      </c>
      <c r="D254" s="65">
        <f>D253*D$225</f>
        <v>5975374.4455588963</v>
      </c>
    </row>
    <row r="255" spans="1:4" x14ac:dyDescent="0.35">
      <c r="B255" s="14" t="s">
        <v>275</v>
      </c>
      <c r="C255" s="14" t="str">
        <f>input!$C$5</f>
        <v>INR</v>
      </c>
      <c r="D255" s="65">
        <f>D253-D254</f>
        <v>33860455.19150041</v>
      </c>
    </row>
    <row r="256" spans="1:4" x14ac:dyDescent="0.35">
      <c r="A256" s="69">
        <f>A254+1</f>
        <v>15</v>
      </c>
      <c r="B256" s="14" t="s">
        <v>276</v>
      </c>
      <c r="C256" s="14" t="str">
        <f>input!$C$5</f>
        <v>INR</v>
      </c>
      <c r="D256" s="65">
        <f>D255*D$225</f>
        <v>5079068.2787250616</v>
      </c>
    </row>
    <row r="260" spans="1:4" x14ac:dyDescent="0.35">
      <c r="D260" s="109">
        <f t="shared" ref="D260:D262" si="1">D9</f>
        <v>1</v>
      </c>
    </row>
    <row r="261" spans="1:4" x14ac:dyDescent="0.35">
      <c r="B261" s="48" t="s">
        <v>277</v>
      </c>
      <c r="C261" s="48" t="s">
        <v>1</v>
      </c>
      <c r="D261" s="76" t="str">
        <f t="shared" si="1"/>
        <v>XXXXX</v>
      </c>
    </row>
    <row r="262" spans="1:4" x14ac:dyDescent="0.35">
      <c r="B262" s="48"/>
      <c r="C262" s="48"/>
      <c r="D262" s="76" t="str">
        <f t="shared" si="1"/>
        <v>Bottle Mono PE CMT220ml19g W/O MB PCR70%</v>
      </c>
    </row>
    <row r="263" spans="1:4" x14ac:dyDescent="0.35">
      <c r="B263" s="48"/>
      <c r="C263" s="48"/>
      <c r="D263" s="48" t="s">
        <v>400</v>
      </c>
    </row>
    <row r="264" spans="1:4" x14ac:dyDescent="0.35">
      <c r="B264" s="14" t="s">
        <v>278</v>
      </c>
      <c r="C264" s="14" t="str">
        <f>input!$C$5</f>
        <v>INR</v>
      </c>
      <c r="D264" s="65">
        <f>D56</f>
        <v>346820074.19897735</v>
      </c>
    </row>
    <row r="265" spans="1:4" x14ac:dyDescent="0.35">
      <c r="B265" s="14"/>
      <c r="C265" s="77"/>
      <c r="D265" s="64"/>
    </row>
    <row r="266" spans="1:4" x14ac:dyDescent="0.35">
      <c r="B266" s="14" t="s">
        <v>31</v>
      </c>
      <c r="C266" s="77" t="s">
        <v>26</v>
      </c>
      <c r="D266" s="68">
        <f>_xlfn.XLOOKUP($B266,input!$A:$A,input!$C:$C)</f>
        <v>0.125</v>
      </c>
    </row>
    <row r="267" spans="1:4" x14ac:dyDescent="0.35">
      <c r="B267" s="14" t="s">
        <v>279</v>
      </c>
      <c r="C267" s="77" t="s">
        <v>124</v>
      </c>
      <c r="D267" s="65">
        <v>10</v>
      </c>
    </row>
    <row r="268" spans="1:4" x14ac:dyDescent="0.35">
      <c r="B268" s="14" t="s">
        <v>280</v>
      </c>
      <c r="C268" s="77"/>
      <c r="D268" s="65">
        <v>1</v>
      </c>
    </row>
    <row r="269" spans="1:4" x14ac:dyDescent="0.35">
      <c r="B269" s="14" t="s">
        <v>281</v>
      </c>
      <c r="C269" s="14" t="str">
        <f>input!$C$5</f>
        <v>INR</v>
      </c>
      <c r="D269" s="65">
        <f>-PMT((D266/D268),(D267*D268),D264)</f>
        <v>62643259.810094975</v>
      </c>
    </row>
    <row r="270" spans="1:4" x14ac:dyDescent="0.35">
      <c r="B270" s="14"/>
      <c r="C270" s="77"/>
      <c r="D270" s="64"/>
    </row>
    <row r="271" spans="1:4" x14ac:dyDescent="0.35">
      <c r="B271" s="14" t="s">
        <v>282</v>
      </c>
      <c r="C271" s="14" t="str">
        <f>input!$C$5</f>
        <v>INR</v>
      </c>
      <c r="D271" s="65">
        <f>D264</f>
        <v>346820074.19897735</v>
      </c>
    </row>
    <row r="272" spans="1:4" x14ac:dyDescent="0.35">
      <c r="A272" s="69">
        <v>1</v>
      </c>
      <c r="B272" s="14" t="s">
        <v>72</v>
      </c>
      <c r="C272" s="14" t="str">
        <f>input!$C$5</f>
        <v>INR</v>
      </c>
      <c r="D272" s="65">
        <f>D271*D$266</f>
        <v>43352509.274872169</v>
      </c>
    </row>
    <row r="273" spans="1:4" x14ac:dyDescent="0.35">
      <c r="B273" s="14" t="s">
        <v>283</v>
      </c>
      <c r="C273" s="14" t="str">
        <f>input!$C$5</f>
        <v>INR</v>
      </c>
      <c r="D273" s="65">
        <f>D$269-D272</f>
        <v>19290750.535222806</v>
      </c>
    </row>
    <row r="274" spans="1:4" x14ac:dyDescent="0.35">
      <c r="B274" s="14" t="s">
        <v>284</v>
      </c>
      <c r="C274" s="14" t="str">
        <f>input!$C$5</f>
        <v>INR</v>
      </c>
      <c r="D274" s="65">
        <f>D271-D273</f>
        <v>327529323.66375452</v>
      </c>
    </row>
    <row r="275" spans="1:4" x14ac:dyDescent="0.35">
      <c r="B275" s="14"/>
      <c r="C275" s="77"/>
      <c r="D275" s="64"/>
    </row>
    <row r="276" spans="1:4" x14ac:dyDescent="0.35">
      <c r="B276" s="14" t="s">
        <v>282</v>
      </c>
      <c r="C276" s="14" t="str">
        <f>input!$C$5</f>
        <v>INR</v>
      </c>
      <c r="D276" s="65">
        <f>D274</f>
        <v>327529323.66375452</v>
      </c>
    </row>
    <row r="277" spans="1:4" x14ac:dyDescent="0.35">
      <c r="A277" s="69">
        <f>A272+1</f>
        <v>2</v>
      </c>
      <c r="B277" s="14" t="s">
        <v>72</v>
      </c>
      <c r="C277" s="14" t="str">
        <f>input!$C$5</f>
        <v>INR</v>
      </c>
      <c r="D277" s="65">
        <f>D276*D$266</f>
        <v>40941165.457969315</v>
      </c>
    </row>
    <row r="278" spans="1:4" x14ac:dyDescent="0.35">
      <c r="B278" s="14" t="s">
        <v>283</v>
      </c>
      <c r="C278" s="14" t="str">
        <f>input!$C$5</f>
        <v>INR</v>
      </c>
      <c r="D278" s="65">
        <f>D$269-D277</f>
        <v>21702094.35212566</v>
      </c>
    </row>
    <row r="279" spans="1:4" x14ac:dyDescent="0.35">
      <c r="B279" s="14" t="s">
        <v>284</v>
      </c>
      <c r="C279" s="14" t="str">
        <f>input!$C$5</f>
        <v>INR</v>
      </c>
      <c r="D279" s="65">
        <f>D276-D278</f>
        <v>305827229.31162888</v>
      </c>
    </row>
    <row r="280" spans="1:4" x14ac:dyDescent="0.35">
      <c r="B280" s="14"/>
      <c r="C280" s="77"/>
      <c r="D280" s="64"/>
    </row>
    <row r="281" spans="1:4" x14ac:dyDescent="0.35">
      <c r="B281" s="14" t="s">
        <v>282</v>
      </c>
      <c r="C281" s="14" t="str">
        <f>input!$C$5</f>
        <v>INR</v>
      </c>
      <c r="D281" s="65">
        <f>D279</f>
        <v>305827229.31162888</v>
      </c>
    </row>
    <row r="282" spans="1:4" x14ac:dyDescent="0.35">
      <c r="A282" s="69">
        <f>A277+1</f>
        <v>3</v>
      </c>
      <c r="B282" s="14" t="s">
        <v>72</v>
      </c>
      <c r="C282" s="14" t="str">
        <f>input!$C$5</f>
        <v>INR</v>
      </c>
      <c r="D282" s="65">
        <f>D281*D$266</f>
        <v>38228403.66395361</v>
      </c>
    </row>
    <row r="283" spans="1:4" x14ac:dyDescent="0.35">
      <c r="B283" s="14" t="s">
        <v>283</v>
      </c>
      <c r="C283" s="14" t="str">
        <f>input!$C$5</f>
        <v>INR</v>
      </c>
      <c r="D283" s="65">
        <f>D$269-D282</f>
        <v>24414856.146141365</v>
      </c>
    </row>
    <row r="284" spans="1:4" x14ac:dyDescent="0.35">
      <c r="B284" s="14" t="s">
        <v>284</v>
      </c>
      <c r="C284" s="14" t="str">
        <f>input!$C$5</f>
        <v>INR</v>
      </c>
      <c r="D284" s="65">
        <f>D281-D283</f>
        <v>281412373.16548753</v>
      </c>
    </row>
    <row r="285" spans="1:4" x14ac:dyDescent="0.35">
      <c r="B285" s="14"/>
      <c r="C285" s="77"/>
      <c r="D285" s="64"/>
    </row>
    <row r="286" spans="1:4" x14ac:dyDescent="0.35">
      <c r="B286" s="14" t="s">
        <v>282</v>
      </c>
      <c r="C286" s="14" t="str">
        <f>input!$C$5</f>
        <v>INR</v>
      </c>
      <c r="D286" s="65">
        <f>D284</f>
        <v>281412373.16548753</v>
      </c>
    </row>
    <row r="287" spans="1:4" x14ac:dyDescent="0.35">
      <c r="A287" s="69">
        <f>A282+1</f>
        <v>4</v>
      </c>
      <c r="B287" s="14" t="s">
        <v>72</v>
      </c>
      <c r="C287" s="14" t="str">
        <f>input!$C$5</f>
        <v>INR</v>
      </c>
      <c r="D287" s="65">
        <f>D286*D$266</f>
        <v>35176546.645685941</v>
      </c>
    </row>
    <row r="288" spans="1:4" x14ac:dyDescent="0.35">
      <c r="B288" s="14" t="s">
        <v>283</v>
      </c>
      <c r="C288" s="14" t="str">
        <f>input!$C$5</f>
        <v>INR</v>
      </c>
      <c r="D288" s="65">
        <f>D$269-D287</f>
        <v>27466713.164409034</v>
      </c>
    </row>
    <row r="289" spans="1:4" x14ac:dyDescent="0.35">
      <c r="B289" s="14" t="s">
        <v>284</v>
      </c>
      <c r="C289" s="14" t="str">
        <f>input!$C$5</f>
        <v>INR</v>
      </c>
      <c r="D289" s="65">
        <f>D286-D288</f>
        <v>253945660.00107849</v>
      </c>
    </row>
    <row r="290" spans="1:4" x14ac:dyDescent="0.35">
      <c r="B290" s="14"/>
      <c r="C290" s="77"/>
      <c r="D290" s="64"/>
    </row>
    <row r="291" spans="1:4" x14ac:dyDescent="0.35">
      <c r="B291" s="14" t="s">
        <v>282</v>
      </c>
      <c r="C291" s="14" t="str">
        <f>input!$C$5</f>
        <v>INR</v>
      </c>
      <c r="D291" s="65">
        <f>D289</f>
        <v>253945660.00107849</v>
      </c>
    </row>
    <row r="292" spans="1:4" x14ac:dyDescent="0.35">
      <c r="A292" s="69">
        <f>A287+1</f>
        <v>5</v>
      </c>
      <c r="B292" s="14" t="s">
        <v>72</v>
      </c>
      <c r="C292" s="14" t="str">
        <f>input!$C$5</f>
        <v>INR</v>
      </c>
      <c r="D292" s="65">
        <f>D291*D$266</f>
        <v>31743207.500134811</v>
      </c>
    </row>
    <row r="293" spans="1:4" x14ac:dyDescent="0.35">
      <c r="B293" s="14" t="s">
        <v>283</v>
      </c>
      <c r="C293" s="14" t="str">
        <f>input!$C$5</f>
        <v>INR</v>
      </c>
      <c r="D293" s="65">
        <f>D$269-D292</f>
        <v>30900052.309960164</v>
      </c>
    </row>
    <row r="294" spans="1:4" x14ac:dyDescent="0.35">
      <c r="B294" s="14" t="s">
        <v>284</v>
      </c>
      <c r="C294" s="14" t="str">
        <f>input!$C$5</f>
        <v>INR</v>
      </c>
      <c r="D294" s="65">
        <f>D291-D293</f>
        <v>223045607.69111833</v>
      </c>
    </row>
    <row r="295" spans="1:4" x14ac:dyDescent="0.35">
      <c r="B295" s="14"/>
      <c r="C295" s="77"/>
      <c r="D295" s="64"/>
    </row>
    <row r="296" spans="1:4" x14ac:dyDescent="0.35">
      <c r="B296" s="14" t="s">
        <v>282</v>
      </c>
      <c r="C296" s="14" t="str">
        <f>input!$C$5</f>
        <v>INR</v>
      </c>
      <c r="D296" s="65">
        <f>D294</f>
        <v>223045607.69111833</v>
      </c>
    </row>
    <row r="297" spans="1:4" x14ac:dyDescent="0.35">
      <c r="A297" s="69">
        <f>A292+1</f>
        <v>6</v>
      </c>
      <c r="B297" s="14" t="s">
        <v>72</v>
      </c>
      <c r="C297" s="14" t="str">
        <f>input!$C$5</f>
        <v>INR</v>
      </c>
      <c r="D297" s="65">
        <f>D296*D$266</f>
        <v>27880700.961389791</v>
      </c>
    </row>
    <row r="298" spans="1:4" x14ac:dyDescent="0.35">
      <c r="B298" s="14" t="s">
        <v>283</v>
      </c>
      <c r="C298" s="14" t="str">
        <f>input!$C$5</f>
        <v>INR</v>
      </c>
      <c r="D298" s="65">
        <f>D$269-D297</f>
        <v>34762558.848705187</v>
      </c>
    </row>
    <row r="299" spans="1:4" x14ac:dyDescent="0.35">
      <c r="B299" s="14" t="s">
        <v>284</v>
      </c>
      <c r="C299" s="14" t="str">
        <f>input!$C$5</f>
        <v>INR</v>
      </c>
      <c r="D299" s="65">
        <f>D296-D298</f>
        <v>188283048.84241313</v>
      </c>
    </row>
    <row r="300" spans="1:4" x14ac:dyDescent="0.35">
      <c r="B300" s="14"/>
      <c r="C300" s="77"/>
      <c r="D300" s="64"/>
    </row>
    <row r="301" spans="1:4" x14ac:dyDescent="0.35">
      <c r="B301" s="14" t="s">
        <v>282</v>
      </c>
      <c r="C301" s="14" t="str">
        <f>input!$C$5</f>
        <v>INR</v>
      </c>
      <c r="D301" s="65">
        <f>D299</f>
        <v>188283048.84241313</v>
      </c>
    </row>
    <row r="302" spans="1:4" x14ac:dyDescent="0.35">
      <c r="A302" s="69">
        <f>A297+1</f>
        <v>7</v>
      </c>
      <c r="B302" s="14" t="s">
        <v>72</v>
      </c>
      <c r="C302" s="14" t="str">
        <f>input!$C$5</f>
        <v>INR</v>
      </c>
      <c r="D302" s="65">
        <f>D301*D$266</f>
        <v>23535381.105301641</v>
      </c>
    </row>
    <row r="303" spans="1:4" x14ac:dyDescent="0.35">
      <c r="B303" s="14" t="s">
        <v>283</v>
      </c>
      <c r="C303" s="14" t="str">
        <f>input!$C$5</f>
        <v>INR</v>
      </c>
      <c r="D303" s="65">
        <f>D$269-D302</f>
        <v>39107878.704793334</v>
      </c>
    </row>
    <row r="304" spans="1:4" x14ac:dyDescent="0.35">
      <c r="B304" s="14" t="s">
        <v>284</v>
      </c>
      <c r="C304" s="14" t="str">
        <f>input!$C$5</f>
        <v>INR</v>
      </c>
      <c r="D304" s="65">
        <f>D301-D303</f>
        <v>149175170.13761979</v>
      </c>
    </row>
    <row r="305" spans="1:4" x14ac:dyDescent="0.35">
      <c r="B305" s="14"/>
      <c r="C305" s="77"/>
      <c r="D305" s="64"/>
    </row>
    <row r="306" spans="1:4" x14ac:dyDescent="0.35">
      <c r="B306" s="14" t="s">
        <v>282</v>
      </c>
      <c r="C306" s="14" t="str">
        <f>input!$C$5</f>
        <v>INR</v>
      </c>
      <c r="D306" s="65">
        <f>D304</f>
        <v>149175170.13761979</v>
      </c>
    </row>
    <row r="307" spans="1:4" x14ac:dyDescent="0.35">
      <c r="A307" s="69">
        <f>A302+1</f>
        <v>8</v>
      </c>
      <c r="B307" s="14" t="s">
        <v>72</v>
      </c>
      <c r="C307" s="14" t="str">
        <f>input!$C$5</f>
        <v>INR</v>
      </c>
      <c r="D307" s="65">
        <f>D306*D$266</f>
        <v>18646896.267202474</v>
      </c>
    </row>
    <row r="308" spans="1:4" x14ac:dyDescent="0.35">
      <c r="B308" s="14" t="s">
        <v>283</v>
      </c>
      <c r="C308" s="14" t="str">
        <f>input!$C$5</f>
        <v>INR</v>
      </c>
      <c r="D308" s="65">
        <f>D$269-D307</f>
        <v>43996363.542892501</v>
      </c>
    </row>
    <row r="309" spans="1:4" x14ac:dyDescent="0.35">
      <c r="B309" s="14" t="s">
        <v>284</v>
      </c>
      <c r="C309" s="14" t="str">
        <f>input!$C$5</f>
        <v>INR</v>
      </c>
      <c r="D309" s="65">
        <f>D306-D308</f>
        <v>105178806.59472729</v>
      </c>
    </row>
    <row r="310" spans="1:4" x14ac:dyDescent="0.35">
      <c r="B310" s="14"/>
      <c r="C310" s="77"/>
      <c r="D310" s="64"/>
    </row>
    <row r="311" spans="1:4" x14ac:dyDescent="0.35">
      <c r="B311" s="14" t="s">
        <v>282</v>
      </c>
      <c r="C311" s="14" t="str">
        <f>input!$C$5</f>
        <v>INR</v>
      </c>
      <c r="D311" s="65">
        <f>D309</f>
        <v>105178806.59472729</v>
      </c>
    </row>
    <row r="312" spans="1:4" x14ac:dyDescent="0.35">
      <c r="A312" s="69">
        <f>A307+1</f>
        <v>9</v>
      </c>
      <c r="B312" s="14" t="s">
        <v>72</v>
      </c>
      <c r="C312" s="14" t="str">
        <f>input!$C$5</f>
        <v>INR</v>
      </c>
      <c r="D312" s="65">
        <f>D311*D$266</f>
        <v>13147350.824340912</v>
      </c>
    </row>
    <row r="313" spans="1:4" x14ac:dyDescent="0.35">
      <c r="B313" s="14" t="s">
        <v>283</v>
      </c>
      <c r="C313" s="14" t="str">
        <f>input!$C$5</f>
        <v>INR</v>
      </c>
      <c r="D313" s="65">
        <f>D$269-D312</f>
        <v>49495908.985754065</v>
      </c>
    </row>
    <row r="314" spans="1:4" x14ac:dyDescent="0.35">
      <c r="B314" s="14" t="s">
        <v>284</v>
      </c>
      <c r="C314" s="14" t="str">
        <f>input!$C$5</f>
        <v>INR</v>
      </c>
      <c r="D314" s="65">
        <f>D311-D313</f>
        <v>55682897.608973227</v>
      </c>
    </row>
    <row r="315" spans="1:4" x14ac:dyDescent="0.35">
      <c r="B315" s="14"/>
      <c r="C315" s="77"/>
      <c r="D315" s="64"/>
    </row>
    <row r="316" spans="1:4" x14ac:dyDescent="0.35">
      <c r="B316" s="14" t="s">
        <v>282</v>
      </c>
      <c r="C316" s="14" t="str">
        <f>input!$C$5</f>
        <v>INR</v>
      </c>
      <c r="D316" s="65">
        <f>D314</f>
        <v>55682897.608973227</v>
      </c>
    </row>
    <row r="317" spans="1:4" x14ac:dyDescent="0.35">
      <c r="A317" s="69">
        <f>A312+1</f>
        <v>10</v>
      </c>
      <c r="B317" s="14" t="s">
        <v>72</v>
      </c>
      <c r="C317" s="14" t="str">
        <f>input!$C$5</f>
        <v>INR</v>
      </c>
      <c r="D317" s="65">
        <f>D316*D$266</f>
        <v>6960362.2011216534</v>
      </c>
    </row>
    <row r="318" spans="1:4" x14ac:dyDescent="0.35">
      <c r="B318" s="14" t="s">
        <v>283</v>
      </c>
      <c r="C318" s="14" t="str">
        <f>input!$C$5</f>
        <v>INR</v>
      </c>
      <c r="D318" s="65">
        <f>D$269-D317</f>
        <v>55682897.608973324</v>
      </c>
    </row>
    <row r="319" spans="1:4" x14ac:dyDescent="0.35">
      <c r="B319" s="14" t="s">
        <v>284</v>
      </c>
      <c r="C319" s="14" t="str">
        <f>input!$C$5</f>
        <v>INR</v>
      </c>
      <c r="D319" s="65">
        <f>D316-D318</f>
        <v>-9.6857547760009766E-8</v>
      </c>
    </row>
    <row r="322" spans="1:4" ht="14.25" x14ac:dyDescent="0.45">
      <c r="B322" s="43"/>
      <c r="C322"/>
      <c r="D322"/>
    </row>
    <row r="323" spans="1:4" ht="14.25" x14ac:dyDescent="0.45">
      <c r="B323"/>
      <c r="C323"/>
      <c r="D323"/>
    </row>
    <row r="324" spans="1:4" x14ac:dyDescent="0.35">
      <c r="B324" s="48" t="s">
        <v>285</v>
      </c>
      <c r="C324" s="48" t="s">
        <v>1</v>
      </c>
      <c r="D324" s="92" t="s">
        <v>286</v>
      </c>
    </row>
    <row r="325" spans="1:4" x14ac:dyDescent="0.35">
      <c r="B325" s="48"/>
      <c r="C325" s="48"/>
      <c r="D325" s="92" t="s">
        <v>400</v>
      </c>
    </row>
    <row r="326" spans="1:4" x14ac:dyDescent="0.35">
      <c r="B326" s="57" t="s">
        <v>245</v>
      </c>
      <c r="C326" s="14" t="str">
        <f>input!$C$5</f>
        <v>INR</v>
      </c>
      <c r="D326" s="78">
        <f>D181</f>
        <v>4961997.401014518</v>
      </c>
    </row>
    <row r="327" spans="1:4" ht="14.25" x14ac:dyDescent="0.45">
      <c r="B327" s="79"/>
      <c r="C327" s="79"/>
      <c r="D327" s="14"/>
    </row>
    <row r="328" spans="1:4" x14ac:dyDescent="0.35">
      <c r="B328" s="14" t="s">
        <v>25</v>
      </c>
      <c r="C328" s="14" t="str">
        <f>input!$C$5</f>
        <v>INR</v>
      </c>
      <c r="D328" s="68">
        <f>_xlfn.XLOOKUP($B328,input!$A:$A,input!$C:$C)</f>
        <v>0.1</v>
      </c>
    </row>
    <row r="329" spans="1:4" x14ac:dyDescent="0.35">
      <c r="B329" s="14" t="s">
        <v>246</v>
      </c>
      <c r="C329" s="14" t="str">
        <f>input!$C$5</f>
        <v>INR</v>
      </c>
      <c r="D329" s="60">
        <f>D326*5%</f>
        <v>248099.87005072591</v>
      </c>
    </row>
    <row r="330" spans="1:4" x14ac:dyDescent="0.35">
      <c r="B330" s="14" t="s">
        <v>287</v>
      </c>
      <c r="C330" s="14" t="str">
        <f>input!$C$5</f>
        <v>INR</v>
      </c>
      <c r="D330" s="60">
        <f>D326-D329</f>
        <v>4713897.5309637925</v>
      </c>
    </row>
    <row r="331" spans="1:4" x14ac:dyDescent="0.35">
      <c r="A331" s="69">
        <v>1</v>
      </c>
      <c r="B331" s="14" t="s">
        <v>248</v>
      </c>
      <c r="C331" s="14" t="str">
        <f>input!$C$5</f>
        <v>INR</v>
      </c>
      <c r="D331" s="80">
        <f>D330*$D$328</f>
        <v>471389.75309637928</v>
      </c>
    </row>
    <row r="332" spans="1:4" x14ac:dyDescent="0.35">
      <c r="B332" s="14" t="s">
        <v>288</v>
      </c>
      <c r="C332" s="14" t="str">
        <f>input!$C$5</f>
        <v>INR</v>
      </c>
      <c r="D332" s="60">
        <f>D330-D331</f>
        <v>4242507.7778674131</v>
      </c>
    </row>
    <row r="333" spans="1:4" x14ac:dyDescent="0.35">
      <c r="A333" s="69">
        <f>A331+1</f>
        <v>2</v>
      </c>
      <c r="B333" s="14" t="s">
        <v>250</v>
      </c>
      <c r="C333" s="14" t="str">
        <f>input!$C$5</f>
        <v>INR</v>
      </c>
      <c r="D333" s="80">
        <f>D332*$D$328</f>
        <v>424250.77778674132</v>
      </c>
    </row>
    <row r="334" spans="1:4" x14ac:dyDescent="0.35">
      <c r="B334" s="14" t="s">
        <v>289</v>
      </c>
      <c r="C334" s="14" t="str">
        <f>input!$C$5</f>
        <v>INR</v>
      </c>
      <c r="D334" s="60">
        <f>D332-D333</f>
        <v>3818257.0000806716</v>
      </c>
    </row>
    <row r="335" spans="1:4" x14ac:dyDescent="0.35">
      <c r="A335" s="69">
        <f>A333+1</f>
        <v>3</v>
      </c>
      <c r="B335" s="14" t="s">
        <v>252</v>
      </c>
      <c r="C335" s="14" t="str">
        <f>input!$C$5</f>
        <v>INR</v>
      </c>
      <c r="D335" s="80">
        <f>D334*$D$328</f>
        <v>381825.70000806719</v>
      </c>
    </row>
    <row r="336" spans="1:4" x14ac:dyDescent="0.35">
      <c r="B336" s="14" t="s">
        <v>290</v>
      </c>
      <c r="C336" s="14" t="str">
        <f>input!$C$5</f>
        <v>INR</v>
      </c>
      <c r="D336" s="60">
        <f>D334-D335</f>
        <v>3436431.3000726043</v>
      </c>
    </row>
    <row r="337" spans="1:4" x14ac:dyDescent="0.35">
      <c r="A337" s="69">
        <f>A335+1</f>
        <v>4</v>
      </c>
      <c r="B337" s="14" t="s">
        <v>254</v>
      </c>
      <c r="C337" s="14" t="str">
        <f>input!$C$5</f>
        <v>INR</v>
      </c>
      <c r="D337" s="80">
        <f>D336*$D$328</f>
        <v>343643.13000726048</v>
      </c>
    </row>
    <row r="338" spans="1:4" x14ac:dyDescent="0.35">
      <c r="B338" s="14" t="s">
        <v>291</v>
      </c>
      <c r="C338" s="14" t="str">
        <f>input!$C$5</f>
        <v>INR</v>
      </c>
      <c r="D338" s="60">
        <f>D336-D337</f>
        <v>3092788.1700653438</v>
      </c>
    </row>
    <row r="339" spans="1:4" x14ac:dyDescent="0.35">
      <c r="A339" s="69">
        <f>A337+1</f>
        <v>5</v>
      </c>
      <c r="B339" s="14" t="s">
        <v>256</v>
      </c>
      <c r="C339" s="14" t="str">
        <f>input!$C$5</f>
        <v>INR</v>
      </c>
      <c r="D339" s="80">
        <f>D338*$D$328</f>
        <v>309278.81700653437</v>
      </c>
    </row>
    <row r="340" spans="1:4" x14ac:dyDescent="0.35">
      <c r="B340" s="14" t="s">
        <v>292</v>
      </c>
      <c r="C340" s="14" t="str">
        <f>input!$C$5</f>
        <v>INR</v>
      </c>
      <c r="D340" s="60">
        <f>D338-D339</f>
        <v>2783509.3530588094</v>
      </c>
    </row>
    <row r="341" spans="1:4" x14ac:dyDescent="0.35">
      <c r="A341" s="69">
        <f>A339+1</f>
        <v>6</v>
      </c>
      <c r="B341" s="14" t="s">
        <v>258</v>
      </c>
      <c r="C341" s="14" t="str">
        <f>input!$C$5</f>
        <v>INR</v>
      </c>
      <c r="D341" s="80">
        <f>D340*$D$328</f>
        <v>278350.93530588096</v>
      </c>
    </row>
    <row r="342" spans="1:4" x14ac:dyDescent="0.35">
      <c r="B342" s="14" t="s">
        <v>293</v>
      </c>
      <c r="C342" s="14" t="str">
        <f>input!$C$5</f>
        <v>INR</v>
      </c>
      <c r="D342" s="60">
        <f>D340-D341</f>
        <v>2505158.4177529286</v>
      </c>
    </row>
    <row r="343" spans="1:4" x14ac:dyDescent="0.35">
      <c r="A343" s="69">
        <f>A341+1</f>
        <v>7</v>
      </c>
      <c r="B343" s="14" t="s">
        <v>260</v>
      </c>
      <c r="C343" s="14" t="str">
        <f>input!$C$5</f>
        <v>INR</v>
      </c>
      <c r="D343" s="80">
        <f>D342*$D$328</f>
        <v>250515.84177529288</v>
      </c>
    </row>
    <row r="344" spans="1:4" x14ac:dyDescent="0.35">
      <c r="B344" s="14" t="s">
        <v>294</v>
      </c>
      <c r="C344" s="14" t="str">
        <f>input!$C$5</f>
        <v>INR</v>
      </c>
      <c r="D344" s="60">
        <f>D342-D343</f>
        <v>2254642.5759776356</v>
      </c>
    </row>
    <row r="345" spans="1:4" x14ac:dyDescent="0.35">
      <c r="A345" s="69">
        <f>A343+1</f>
        <v>8</v>
      </c>
      <c r="B345" s="14" t="s">
        <v>262</v>
      </c>
      <c r="C345" s="14" t="str">
        <f>input!$C$5</f>
        <v>INR</v>
      </c>
      <c r="D345" s="80">
        <f>D344*$D$328</f>
        <v>225464.25759776356</v>
      </c>
    </row>
    <row r="346" spans="1:4" x14ac:dyDescent="0.35">
      <c r="B346" s="14" t="s">
        <v>295</v>
      </c>
      <c r="C346" s="14" t="str">
        <f>input!$C$5</f>
        <v>INR</v>
      </c>
      <c r="D346" s="60">
        <f>D344-D345</f>
        <v>2029178.318379872</v>
      </c>
    </row>
    <row r="347" spans="1:4" x14ac:dyDescent="0.35">
      <c r="A347" s="69">
        <f>A345+1</f>
        <v>9</v>
      </c>
      <c r="B347" s="14" t="s">
        <v>264</v>
      </c>
      <c r="C347" s="14" t="str">
        <f>input!$C$5</f>
        <v>INR</v>
      </c>
      <c r="D347" s="80">
        <f>D346*$D$328</f>
        <v>202917.83183798721</v>
      </c>
    </row>
    <row r="348" spans="1:4" x14ac:dyDescent="0.35">
      <c r="B348" s="14" t="s">
        <v>296</v>
      </c>
      <c r="C348" s="14" t="str">
        <f>input!$C$5</f>
        <v>INR</v>
      </c>
      <c r="D348" s="60">
        <f>D346-D347</f>
        <v>1826260.4865418847</v>
      </c>
    </row>
    <row r="349" spans="1:4" x14ac:dyDescent="0.35">
      <c r="A349" s="69">
        <f>A347+1</f>
        <v>10</v>
      </c>
      <c r="B349" s="14" t="s">
        <v>266</v>
      </c>
      <c r="C349" s="14" t="str">
        <f>input!$C$5</f>
        <v>INR</v>
      </c>
      <c r="D349" s="80">
        <f>D348*$D$328</f>
        <v>182626.04865418849</v>
      </c>
    </row>
    <row r="350" spans="1:4" x14ac:dyDescent="0.35">
      <c r="B350" s="14" t="s">
        <v>297</v>
      </c>
      <c r="C350" s="14" t="str">
        <f>input!$C$5</f>
        <v>INR</v>
      </c>
      <c r="D350" s="60">
        <f>D348-D349</f>
        <v>1643634.4378876963</v>
      </c>
    </row>
    <row r="351" spans="1:4" x14ac:dyDescent="0.35">
      <c r="A351" s="69">
        <f>A349+1</f>
        <v>11</v>
      </c>
      <c r="B351" s="14" t="s">
        <v>268</v>
      </c>
      <c r="C351" s="14" t="str">
        <f>input!$C$5</f>
        <v>INR</v>
      </c>
      <c r="D351" s="80">
        <f>D350*$D$328</f>
        <v>164363.44378876965</v>
      </c>
    </row>
    <row r="352" spans="1:4" x14ac:dyDescent="0.35">
      <c r="B352" s="14" t="s">
        <v>298</v>
      </c>
      <c r="C352" s="14" t="str">
        <f>input!$C$5</f>
        <v>INR</v>
      </c>
      <c r="D352" s="60">
        <f>D350-D351</f>
        <v>1479270.9940989267</v>
      </c>
    </row>
    <row r="353" spans="1:4" x14ac:dyDescent="0.35">
      <c r="A353" s="69">
        <f>A351+1</f>
        <v>12</v>
      </c>
      <c r="B353" s="14" t="s">
        <v>270</v>
      </c>
      <c r="C353" s="14" t="str">
        <f>input!$C$5</f>
        <v>INR</v>
      </c>
      <c r="D353" s="80">
        <f>D352*$D$328</f>
        <v>147927.09940989266</v>
      </c>
    </row>
    <row r="354" spans="1:4" x14ac:dyDescent="0.35">
      <c r="B354" s="14" t="s">
        <v>299</v>
      </c>
      <c r="C354" s="14" t="str">
        <f>input!$C$5</f>
        <v>INR</v>
      </c>
      <c r="D354" s="60">
        <f>D352-D353</f>
        <v>1331343.894689034</v>
      </c>
    </row>
    <row r="355" spans="1:4" x14ac:dyDescent="0.35">
      <c r="A355" s="69">
        <f>A353+1</f>
        <v>13</v>
      </c>
      <c r="B355" s="14" t="s">
        <v>272</v>
      </c>
      <c r="C355" s="14" t="str">
        <f>input!$C$5</f>
        <v>INR</v>
      </c>
      <c r="D355" s="80">
        <f>D354*$D$328</f>
        <v>133134.38946890339</v>
      </c>
    </row>
    <row r="356" spans="1:4" x14ac:dyDescent="0.35">
      <c r="B356" s="14" t="s">
        <v>300</v>
      </c>
      <c r="C356" s="14" t="str">
        <f>input!$C$5</f>
        <v>INR</v>
      </c>
      <c r="D356" s="60">
        <f>D354-D355</f>
        <v>1198209.5052201306</v>
      </c>
    </row>
    <row r="357" spans="1:4" x14ac:dyDescent="0.35">
      <c r="A357" s="69">
        <f>A355+1</f>
        <v>14</v>
      </c>
      <c r="B357" s="14" t="s">
        <v>274</v>
      </c>
      <c r="C357" s="14" t="str">
        <f>input!$C$5</f>
        <v>INR</v>
      </c>
      <c r="D357" s="80">
        <f>D356*$D$328</f>
        <v>119820.95052201307</v>
      </c>
    </row>
    <row r="358" spans="1:4" x14ac:dyDescent="0.35">
      <c r="B358" s="14" t="s">
        <v>301</v>
      </c>
      <c r="C358" s="14" t="str">
        <f>input!$C$5</f>
        <v>INR</v>
      </c>
      <c r="D358" s="60">
        <f>D356-D357</f>
        <v>1078388.5546981175</v>
      </c>
    </row>
    <row r="359" spans="1:4" x14ac:dyDescent="0.35">
      <c r="A359" s="69">
        <f>A357+1</f>
        <v>15</v>
      </c>
      <c r="B359" s="14" t="s">
        <v>276</v>
      </c>
      <c r="C359" s="14" t="str">
        <f>input!$C$5</f>
        <v>INR</v>
      </c>
      <c r="D359" s="80">
        <f>D358*$D$328</f>
        <v>107838.85546981177</v>
      </c>
    </row>
    <row r="360" spans="1:4" ht="14.25" x14ac:dyDescent="0.45">
      <c r="B360" s="79"/>
      <c r="C360" s="79"/>
      <c r="D360" s="60"/>
    </row>
    <row r="361" spans="1:4" ht="14.25" x14ac:dyDescent="0.45">
      <c r="B361"/>
      <c r="C361"/>
      <c r="D361"/>
    </row>
    <row r="362" spans="1:4" ht="14.25" x14ac:dyDescent="0.45">
      <c r="B362" s="43"/>
      <c r="C362"/>
      <c r="D362"/>
    </row>
    <row r="363" spans="1:4" ht="14.25" x14ac:dyDescent="0.45">
      <c r="B363"/>
      <c r="C363"/>
      <c r="D363"/>
    </row>
    <row r="364" spans="1:4" x14ac:dyDescent="0.35">
      <c r="B364" s="49" t="s">
        <v>302</v>
      </c>
      <c r="C364" s="49" t="s">
        <v>1</v>
      </c>
      <c r="D364" s="49" t="s">
        <v>286</v>
      </c>
    </row>
    <row r="365" spans="1:4" x14ac:dyDescent="0.35">
      <c r="B365" s="49"/>
      <c r="C365" s="49"/>
      <c r="D365" s="49" t="s">
        <v>400</v>
      </c>
    </row>
    <row r="366" spans="1:4" x14ac:dyDescent="0.35">
      <c r="B366" s="14" t="s">
        <v>278</v>
      </c>
      <c r="C366" s="14" t="str">
        <f>input!$C$5</f>
        <v>INR</v>
      </c>
      <c r="D366" s="81">
        <f>D181+D180</f>
        <v>28778591.177261408</v>
      </c>
    </row>
    <row r="367" spans="1:4" x14ac:dyDescent="0.35">
      <c r="B367" s="14"/>
      <c r="C367" s="14"/>
      <c r="D367" s="82"/>
    </row>
    <row r="368" spans="1:4" x14ac:dyDescent="0.35">
      <c r="B368" s="14" t="s">
        <v>31</v>
      </c>
      <c r="C368" s="14" t="s">
        <v>26</v>
      </c>
      <c r="D368" s="68">
        <f>_xlfn.XLOOKUP($B368,input!$A:$A,input!$C:$C)</f>
        <v>0.125</v>
      </c>
    </row>
    <row r="369" spans="1:4" x14ac:dyDescent="0.35">
      <c r="B369" s="14" t="s">
        <v>279</v>
      </c>
      <c r="C369" s="14" t="s">
        <v>124</v>
      </c>
      <c r="D369" s="81">
        <v>10</v>
      </c>
    </row>
    <row r="370" spans="1:4" x14ac:dyDescent="0.35">
      <c r="B370" s="14" t="s">
        <v>280</v>
      </c>
      <c r="C370" s="14"/>
      <c r="D370" s="81">
        <v>1</v>
      </c>
    </row>
    <row r="371" spans="1:4" x14ac:dyDescent="0.35">
      <c r="B371" s="14" t="s">
        <v>281</v>
      </c>
      <c r="C371" s="14" t="str">
        <f>input!$C$5</f>
        <v>INR</v>
      </c>
      <c r="D371" s="65">
        <f>-PMT((D368/D370),(D369*D370),D366)</f>
        <v>5198040.4198039621</v>
      </c>
    </row>
    <row r="372" spans="1:4" x14ac:dyDescent="0.35">
      <c r="B372" s="14"/>
      <c r="C372" s="14"/>
      <c r="D372" s="82"/>
    </row>
    <row r="373" spans="1:4" x14ac:dyDescent="0.35">
      <c r="B373" s="14" t="s">
        <v>282</v>
      </c>
      <c r="C373" s="14" t="str">
        <f>input!$C$5</f>
        <v>INR</v>
      </c>
      <c r="D373" s="65">
        <f>D366</f>
        <v>28778591.177261408</v>
      </c>
    </row>
    <row r="374" spans="1:4" x14ac:dyDescent="0.35">
      <c r="A374" s="69">
        <v>1</v>
      </c>
      <c r="B374" s="14" t="s">
        <v>72</v>
      </c>
      <c r="C374" s="14" t="str">
        <f>input!$C$5</f>
        <v>INR</v>
      </c>
      <c r="D374" s="65">
        <f>D373*D$368</f>
        <v>3597323.8971576761</v>
      </c>
    </row>
    <row r="375" spans="1:4" x14ac:dyDescent="0.35">
      <c r="B375" s="14" t="s">
        <v>283</v>
      </c>
      <c r="C375" s="14" t="str">
        <f>input!$C$5</f>
        <v>INR</v>
      </c>
      <c r="D375" s="65">
        <f>$D$371-D374</f>
        <v>1600716.5226462861</v>
      </c>
    </row>
    <row r="376" spans="1:4" x14ac:dyDescent="0.35">
      <c r="B376" s="14" t="s">
        <v>284</v>
      </c>
      <c r="C376" s="14" t="str">
        <f>input!$C$5</f>
        <v>INR</v>
      </c>
      <c r="D376" s="65">
        <f>D373-D375</f>
        <v>27177874.654615123</v>
      </c>
    </row>
    <row r="377" spans="1:4" x14ac:dyDescent="0.35">
      <c r="B377" s="14"/>
      <c r="C377" s="14"/>
      <c r="D377" s="82"/>
    </row>
    <row r="378" spans="1:4" x14ac:dyDescent="0.35">
      <c r="B378" s="14" t="s">
        <v>282</v>
      </c>
      <c r="C378" s="14" t="str">
        <f>input!$C$5</f>
        <v>INR</v>
      </c>
      <c r="D378" s="81">
        <f>D376</f>
        <v>27177874.654615123</v>
      </c>
    </row>
    <row r="379" spans="1:4" x14ac:dyDescent="0.35">
      <c r="A379" s="69">
        <f>A374+1</f>
        <v>2</v>
      </c>
      <c r="B379" s="14" t="s">
        <v>72</v>
      </c>
      <c r="C379" s="14" t="str">
        <f>input!$C$5</f>
        <v>INR</v>
      </c>
      <c r="D379" s="65">
        <f>D378*D$368</f>
        <v>3397234.3318268904</v>
      </c>
    </row>
    <row r="380" spans="1:4" x14ac:dyDescent="0.35">
      <c r="B380" s="14" t="s">
        <v>283</v>
      </c>
      <c r="C380" s="14" t="str">
        <f>input!$C$5</f>
        <v>INR</v>
      </c>
      <c r="D380" s="65">
        <f>$D$371-D379</f>
        <v>1800806.0879770718</v>
      </c>
    </row>
    <row r="381" spans="1:4" x14ac:dyDescent="0.35">
      <c r="B381" s="14" t="s">
        <v>284</v>
      </c>
      <c r="C381" s="14" t="str">
        <f>input!$C$5</f>
        <v>INR</v>
      </c>
      <c r="D381" s="65">
        <f>D378-D380</f>
        <v>25377068.566638052</v>
      </c>
    </row>
    <row r="382" spans="1:4" x14ac:dyDescent="0.35">
      <c r="B382" s="14"/>
      <c r="C382" s="14"/>
      <c r="D382" s="82"/>
    </row>
    <row r="383" spans="1:4" x14ac:dyDescent="0.35">
      <c r="B383" s="14" t="s">
        <v>282</v>
      </c>
      <c r="C383" s="14" t="str">
        <f>input!$C$5</f>
        <v>INR</v>
      </c>
      <c r="D383" s="81">
        <f>D381</f>
        <v>25377068.566638052</v>
      </c>
    </row>
    <row r="384" spans="1:4" x14ac:dyDescent="0.35">
      <c r="A384" s="69">
        <f>A379+1</f>
        <v>3</v>
      </c>
      <c r="B384" s="14" t="s">
        <v>72</v>
      </c>
      <c r="C384" s="14" t="str">
        <f>input!$C$5</f>
        <v>INR</v>
      </c>
      <c r="D384" s="65">
        <f>D383*D$368</f>
        <v>3172133.5708297566</v>
      </c>
    </row>
    <row r="385" spans="1:4" x14ac:dyDescent="0.35">
      <c r="B385" s="14" t="s">
        <v>283</v>
      </c>
      <c r="C385" s="14" t="str">
        <f>input!$C$5</f>
        <v>INR</v>
      </c>
      <c r="D385" s="65">
        <f>$D$371-D384</f>
        <v>2025906.8489742056</v>
      </c>
    </row>
    <row r="386" spans="1:4" x14ac:dyDescent="0.35">
      <c r="B386" s="14" t="s">
        <v>284</v>
      </c>
      <c r="C386" s="14" t="str">
        <f>input!$C$5</f>
        <v>INR</v>
      </c>
      <c r="D386" s="65">
        <f>D383-D385</f>
        <v>23351161.717663847</v>
      </c>
    </row>
    <row r="387" spans="1:4" x14ac:dyDescent="0.35">
      <c r="B387" s="14"/>
      <c r="C387" s="14"/>
      <c r="D387" s="82"/>
    </row>
    <row r="388" spans="1:4" x14ac:dyDescent="0.35">
      <c r="B388" s="14" t="s">
        <v>282</v>
      </c>
      <c r="C388" s="14" t="str">
        <f>input!$C$5</f>
        <v>INR</v>
      </c>
      <c r="D388" s="81">
        <f>D386</f>
        <v>23351161.717663847</v>
      </c>
    </row>
    <row r="389" spans="1:4" x14ac:dyDescent="0.35">
      <c r="A389" s="69">
        <f>A384+1</f>
        <v>4</v>
      </c>
      <c r="B389" s="14" t="s">
        <v>72</v>
      </c>
      <c r="C389" s="14" t="str">
        <f>input!$C$5</f>
        <v>INR</v>
      </c>
      <c r="D389" s="65">
        <f>D388*D$368</f>
        <v>2918895.2147079809</v>
      </c>
    </row>
    <row r="390" spans="1:4" x14ac:dyDescent="0.35">
      <c r="B390" s="14" t="s">
        <v>283</v>
      </c>
      <c r="C390" s="14" t="str">
        <f>input!$C$5</f>
        <v>INR</v>
      </c>
      <c r="D390" s="65">
        <f>$D$371-D389</f>
        <v>2279145.2050959812</v>
      </c>
    </row>
    <row r="391" spans="1:4" x14ac:dyDescent="0.35">
      <c r="B391" s="14" t="s">
        <v>284</v>
      </c>
      <c r="C391" s="14" t="str">
        <f>input!$C$5</f>
        <v>INR</v>
      </c>
      <c r="D391" s="65">
        <f>D388-D390</f>
        <v>21072016.512567867</v>
      </c>
    </row>
    <row r="392" spans="1:4" x14ac:dyDescent="0.35">
      <c r="B392" s="14"/>
      <c r="C392" s="14"/>
      <c r="D392" s="82"/>
    </row>
    <row r="393" spans="1:4" x14ac:dyDescent="0.35">
      <c r="B393" s="14" t="s">
        <v>282</v>
      </c>
      <c r="C393" s="14" t="str">
        <f>input!$C$5</f>
        <v>INR</v>
      </c>
      <c r="D393" s="81">
        <f>D391</f>
        <v>21072016.512567867</v>
      </c>
    </row>
    <row r="394" spans="1:4" x14ac:dyDescent="0.35">
      <c r="A394" s="69">
        <f>A389+1</f>
        <v>5</v>
      </c>
      <c r="B394" s="14" t="s">
        <v>72</v>
      </c>
      <c r="C394" s="14" t="str">
        <f>input!$C$5</f>
        <v>INR</v>
      </c>
      <c r="D394" s="65">
        <f>D393*D$368</f>
        <v>2634002.0640709833</v>
      </c>
    </row>
    <row r="395" spans="1:4" x14ac:dyDescent="0.35">
      <c r="B395" s="14" t="s">
        <v>283</v>
      </c>
      <c r="C395" s="14" t="str">
        <f>input!$C$5</f>
        <v>INR</v>
      </c>
      <c r="D395" s="65">
        <f>$D$371-D394</f>
        <v>2564038.3557329788</v>
      </c>
    </row>
    <row r="396" spans="1:4" x14ac:dyDescent="0.35">
      <c r="B396" s="14" t="s">
        <v>284</v>
      </c>
      <c r="C396" s="14" t="str">
        <f>input!$C$5</f>
        <v>INR</v>
      </c>
      <c r="D396" s="65">
        <f>D393-D395</f>
        <v>18507978.156834889</v>
      </c>
    </row>
    <row r="397" spans="1:4" x14ac:dyDescent="0.35">
      <c r="B397" s="14"/>
      <c r="C397" s="14"/>
      <c r="D397" s="82"/>
    </row>
    <row r="398" spans="1:4" x14ac:dyDescent="0.35">
      <c r="B398" s="14" t="s">
        <v>282</v>
      </c>
      <c r="C398" s="14" t="str">
        <f>input!$C$5</f>
        <v>INR</v>
      </c>
      <c r="D398" s="81">
        <f>D396</f>
        <v>18507978.156834889</v>
      </c>
    </row>
    <row r="399" spans="1:4" x14ac:dyDescent="0.35">
      <c r="A399" s="69">
        <f>A394+1</f>
        <v>6</v>
      </c>
      <c r="B399" s="14" t="s">
        <v>72</v>
      </c>
      <c r="C399" s="14" t="str">
        <f>input!$C$5</f>
        <v>INR</v>
      </c>
      <c r="D399" s="65">
        <f>D398*D$368</f>
        <v>2313497.2696043612</v>
      </c>
    </row>
    <row r="400" spans="1:4" x14ac:dyDescent="0.35">
      <c r="B400" s="14" t="s">
        <v>283</v>
      </c>
      <c r="C400" s="14" t="str">
        <f>input!$C$5</f>
        <v>INR</v>
      </c>
      <c r="D400" s="65">
        <f>$D$371-D399</f>
        <v>2884543.150199601</v>
      </c>
    </row>
    <row r="401" spans="1:4" x14ac:dyDescent="0.35">
      <c r="B401" s="14" t="s">
        <v>284</v>
      </c>
      <c r="C401" s="14" t="str">
        <f>input!$C$5</f>
        <v>INR</v>
      </c>
      <c r="D401" s="65">
        <f>D398-D400</f>
        <v>15623435.006635288</v>
      </c>
    </row>
    <row r="402" spans="1:4" x14ac:dyDescent="0.35">
      <c r="B402" s="14"/>
      <c r="C402" s="14"/>
      <c r="D402" s="82"/>
    </row>
    <row r="403" spans="1:4" x14ac:dyDescent="0.35">
      <c r="B403" s="14" t="s">
        <v>282</v>
      </c>
      <c r="C403" s="14" t="str">
        <f>input!$C$5</f>
        <v>INR</v>
      </c>
      <c r="D403" s="81">
        <f>D401</f>
        <v>15623435.006635288</v>
      </c>
    </row>
    <row r="404" spans="1:4" x14ac:dyDescent="0.35">
      <c r="A404" s="69">
        <f>A399+1</f>
        <v>7</v>
      </c>
      <c r="B404" s="14" t="s">
        <v>72</v>
      </c>
      <c r="C404" s="14" t="str">
        <f>input!$C$5</f>
        <v>INR</v>
      </c>
      <c r="D404" s="65">
        <f>D403*D$368</f>
        <v>1952929.375829411</v>
      </c>
    </row>
    <row r="405" spans="1:4" x14ac:dyDescent="0.35">
      <c r="B405" s="14" t="s">
        <v>283</v>
      </c>
      <c r="C405" s="14" t="str">
        <f>input!$C$5</f>
        <v>INR</v>
      </c>
      <c r="D405" s="65">
        <f>$D$371-D404</f>
        <v>3245111.0439745514</v>
      </c>
    </row>
    <row r="406" spans="1:4" x14ac:dyDescent="0.35">
      <c r="B406" s="14" t="s">
        <v>284</v>
      </c>
      <c r="C406" s="14" t="str">
        <f>input!$C$5</f>
        <v>INR</v>
      </c>
      <c r="D406" s="65">
        <f>D403-D405</f>
        <v>12378323.962660737</v>
      </c>
    </row>
    <row r="407" spans="1:4" x14ac:dyDescent="0.35">
      <c r="B407" s="14"/>
      <c r="C407" s="14"/>
      <c r="D407" s="82"/>
    </row>
    <row r="408" spans="1:4" x14ac:dyDescent="0.35">
      <c r="B408" s="14" t="s">
        <v>282</v>
      </c>
      <c r="C408" s="14" t="str">
        <f>input!$C$5</f>
        <v>INR</v>
      </c>
      <c r="D408" s="81">
        <f>D406</f>
        <v>12378323.962660737</v>
      </c>
    </row>
    <row r="409" spans="1:4" x14ac:dyDescent="0.35">
      <c r="A409" s="69">
        <f>A404+1</f>
        <v>8</v>
      </c>
      <c r="B409" s="14" t="s">
        <v>72</v>
      </c>
      <c r="C409" s="14" t="str">
        <f>input!$C$5</f>
        <v>INR</v>
      </c>
      <c r="D409" s="65">
        <f>D408*D$368</f>
        <v>1547290.4953325922</v>
      </c>
    </row>
    <row r="410" spans="1:4" x14ac:dyDescent="0.35">
      <c r="B410" s="14" t="s">
        <v>283</v>
      </c>
      <c r="C410" s="14" t="str">
        <f>input!$C$5</f>
        <v>INR</v>
      </c>
      <c r="D410" s="65">
        <f>$D$371-D409</f>
        <v>3650749.9244713699</v>
      </c>
    </row>
    <row r="411" spans="1:4" x14ac:dyDescent="0.35">
      <c r="B411" s="14" t="s">
        <v>284</v>
      </c>
      <c r="C411" s="14" t="str">
        <f>input!$C$5</f>
        <v>INR</v>
      </c>
      <c r="D411" s="65">
        <f>D408-D410</f>
        <v>8727574.0381893665</v>
      </c>
    </row>
    <row r="412" spans="1:4" x14ac:dyDescent="0.35">
      <c r="B412" s="14"/>
      <c r="C412" s="14"/>
      <c r="D412" s="82"/>
    </row>
    <row r="413" spans="1:4" x14ac:dyDescent="0.35">
      <c r="B413" s="14" t="s">
        <v>282</v>
      </c>
      <c r="C413" s="14" t="str">
        <f>input!$C$5</f>
        <v>INR</v>
      </c>
      <c r="D413" s="81">
        <f>D411</f>
        <v>8727574.0381893665</v>
      </c>
    </row>
    <row r="414" spans="1:4" x14ac:dyDescent="0.35">
      <c r="A414" s="69">
        <f>A409+1</f>
        <v>9</v>
      </c>
      <c r="B414" s="14" t="s">
        <v>72</v>
      </c>
      <c r="C414" s="14" t="str">
        <f>input!$C$5</f>
        <v>INR</v>
      </c>
      <c r="D414" s="65">
        <f>D413*D$368</f>
        <v>1090946.7547736708</v>
      </c>
    </row>
    <row r="415" spans="1:4" x14ac:dyDescent="0.35">
      <c r="B415" s="14" t="s">
        <v>283</v>
      </c>
      <c r="C415" s="14" t="str">
        <f>input!$C$5</f>
        <v>INR</v>
      </c>
      <c r="D415" s="65">
        <f>$D$371-D414</f>
        <v>4107093.6650302913</v>
      </c>
    </row>
    <row r="416" spans="1:4" x14ac:dyDescent="0.35">
      <c r="B416" s="14" t="s">
        <v>284</v>
      </c>
      <c r="C416" s="14" t="str">
        <f>input!$C$5</f>
        <v>INR</v>
      </c>
      <c r="D416" s="65">
        <f>D413-D415</f>
        <v>4620480.3731590752</v>
      </c>
    </row>
    <row r="417" spans="1:4" x14ac:dyDescent="0.35">
      <c r="B417" s="14"/>
      <c r="C417" s="14"/>
      <c r="D417" s="82"/>
    </row>
    <row r="418" spans="1:4" x14ac:dyDescent="0.35">
      <c r="B418" s="14" t="s">
        <v>282</v>
      </c>
      <c r="C418" s="14" t="str">
        <f>input!$C$5</f>
        <v>INR</v>
      </c>
      <c r="D418" s="81">
        <f>D416</f>
        <v>4620480.3731590752</v>
      </c>
    </row>
    <row r="419" spans="1:4" x14ac:dyDescent="0.35">
      <c r="A419" s="69">
        <f>A414+1</f>
        <v>10</v>
      </c>
      <c r="B419" s="14" t="s">
        <v>72</v>
      </c>
      <c r="C419" s="14" t="str">
        <f>input!$C$5</f>
        <v>INR</v>
      </c>
      <c r="D419" s="65">
        <f>D418*D$368</f>
        <v>577560.04664488439</v>
      </c>
    </row>
    <row r="420" spans="1:4" x14ac:dyDescent="0.35">
      <c r="B420" s="14" t="s">
        <v>283</v>
      </c>
      <c r="C420" s="14" t="str">
        <f>input!$C$5</f>
        <v>INR</v>
      </c>
      <c r="D420" s="65">
        <f>$D$371-D419</f>
        <v>4620480.3731590779</v>
      </c>
    </row>
    <row r="421" spans="1:4" x14ac:dyDescent="0.35">
      <c r="B421" s="14" t="s">
        <v>284</v>
      </c>
      <c r="C421" s="14" t="str">
        <f>input!$C$5</f>
        <v>INR</v>
      </c>
      <c r="D421" s="71">
        <f>D418-D420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FC13-39E2-4214-B887-A483B21A903F}">
  <dimension ref="B2:K145"/>
  <sheetViews>
    <sheetView workbookViewId="0">
      <selection activeCell="E1" sqref="E1"/>
    </sheetView>
  </sheetViews>
  <sheetFormatPr defaultColWidth="9" defaultRowHeight="11.65" x14ac:dyDescent="0.35"/>
  <cols>
    <col min="1" max="1" width="9" style="114"/>
    <col min="2" max="2" width="21.796875" style="114" bestFit="1" customWidth="1"/>
    <col min="3" max="3" width="10.1328125" style="114" customWidth="1"/>
    <col min="4" max="4" width="21.796875" style="114" customWidth="1"/>
    <col min="5" max="5" width="13" style="114" customWidth="1"/>
    <col min="6" max="7" width="10.53125" style="114" customWidth="1"/>
    <col min="8" max="8" width="17.53125" style="114" customWidth="1"/>
    <col min="9" max="9" width="9" style="114" bestFit="1" customWidth="1"/>
    <col min="10" max="10" width="11.1328125" style="114" bestFit="1" customWidth="1"/>
    <col min="11" max="11" width="11.53125" style="114" customWidth="1"/>
    <col min="12" max="16384" width="9" style="114"/>
  </cols>
  <sheetData>
    <row r="2" spans="2:4" x14ac:dyDescent="0.35">
      <c r="B2" s="83" t="s">
        <v>462</v>
      </c>
      <c r="C2" s="84" t="s">
        <v>303</v>
      </c>
    </row>
    <row r="3" spans="2:4" x14ac:dyDescent="0.35">
      <c r="B3" s="85" t="s">
        <v>304</v>
      </c>
      <c r="C3" s="86" t="s">
        <v>305</v>
      </c>
      <c r="D3" s="85" t="s">
        <v>306</v>
      </c>
    </row>
    <row r="4" spans="2:4" x14ac:dyDescent="0.35">
      <c r="B4" s="85"/>
      <c r="C4" s="85" t="s">
        <v>85</v>
      </c>
      <c r="D4" s="85"/>
    </row>
    <row r="5" spans="2:4" x14ac:dyDescent="0.35">
      <c r="B5" s="115" t="s">
        <v>307</v>
      </c>
      <c r="C5" s="116">
        <f>conversion!D26*60</f>
        <v>360</v>
      </c>
      <c r="D5" s="115" t="s">
        <v>308</v>
      </c>
    </row>
    <row r="6" spans="2:4" x14ac:dyDescent="0.35">
      <c r="B6" s="115" t="s">
        <v>309</v>
      </c>
      <c r="C6" s="116">
        <f>conversion!D126</f>
        <v>170.02374514656182</v>
      </c>
      <c r="D6" s="115" t="s">
        <v>310</v>
      </c>
    </row>
    <row r="7" spans="2:4" x14ac:dyDescent="0.35">
      <c r="B7" s="115" t="s">
        <v>311</v>
      </c>
      <c r="C7" s="116">
        <f>conversion!D143</f>
        <v>109.03302642694062</v>
      </c>
      <c r="D7" s="115" t="s">
        <v>312</v>
      </c>
    </row>
    <row r="8" spans="2:4" x14ac:dyDescent="0.35">
      <c r="B8" s="115" t="s">
        <v>313</v>
      </c>
      <c r="C8" s="116">
        <f>C5*5%</f>
        <v>18</v>
      </c>
      <c r="D8" s="115" t="s">
        <v>314</v>
      </c>
    </row>
    <row r="9" spans="2:4" x14ac:dyDescent="0.35">
      <c r="B9" s="115" t="s">
        <v>315</v>
      </c>
      <c r="C9" s="116">
        <f>C5*1%</f>
        <v>3.6</v>
      </c>
      <c r="D9" s="115" t="s">
        <v>316</v>
      </c>
    </row>
    <row r="10" spans="2:4" x14ac:dyDescent="0.35">
      <c r="B10" s="115" t="s">
        <v>317</v>
      </c>
      <c r="C10" s="116">
        <f>C5*5%</f>
        <v>18</v>
      </c>
      <c r="D10" s="115" t="s">
        <v>318</v>
      </c>
    </row>
    <row r="11" spans="2:4" x14ac:dyDescent="0.35">
      <c r="B11" s="115" t="s">
        <v>319</v>
      </c>
      <c r="C11" s="116">
        <f>C5*5%</f>
        <v>18</v>
      </c>
      <c r="D11" s="115" t="s">
        <v>320</v>
      </c>
    </row>
    <row r="12" spans="2:4" x14ac:dyDescent="0.35">
      <c r="B12" s="115" t="s">
        <v>321</v>
      </c>
      <c r="C12" s="116">
        <f>C5*1%</f>
        <v>3.6</v>
      </c>
      <c r="D12" s="115" t="s">
        <v>322</v>
      </c>
    </row>
    <row r="13" spans="2:4" x14ac:dyDescent="0.35">
      <c r="B13" s="115" t="s">
        <v>323</v>
      </c>
      <c r="C13" s="116">
        <f>C5*1%</f>
        <v>3.6</v>
      </c>
      <c r="D13" s="115" t="s">
        <v>324</v>
      </c>
    </row>
    <row r="14" spans="2:4" x14ac:dyDescent="0.35">
      <c r="B14" s="115" t="s">
        <v>325</v>
      </c>
      <c r="C14" s="116">
        <v>5</v>
      </c>
      <c r="D14" s="115"/>
    </row>
    <row r="15" spans="2:4" x14ac:dyDescent="0.35">
      <c r="B15" s="117" t="s">
        <v>326</v>
      </c>
      <c r="C15" s="118">
        <f>SUM(C5:C14)</f>
        <v>708.85677157350256</v>
      </c>
      <c r="D15" s="117"/>
    </row>
    <row r="16" spans="2:4" x14ac:dyDescent="0.35">
      <c r="B16" s="117" t="s">
        <v>327</v>
      </c>
      <c r="C16" s="119">
        <v>0.7</v>
      </c>
      <c r="D16" s="117"/>
    </row>
    <row r="17" spans="2:7" x14ac:dyDescent="0.35">
      <c r="B17" s="117" t="s">
        <v>7</v>
      </c>
      <c r="C17" s="118">
        <f>C15/C16</f>
        <v>1012.6525308192894</v>
      </c>
      <c r="D17" s="117"/>
    </row>
    <row r="19" spans="2:7" x14ac:dyDescent="0.35">
      <c r="B19" s="83" t="s">
        <v>328</v>
      </c>
    </row>
    <row r="20" spans="2:7" x14ac:dyDescent="0.35">
      <c r="B20" s="87" t="s">
        <v>329</v>
      </c>
      <c r="C20" s="88" t="s">
        <v>498</v>
      </c>
      <c r="E20" s="87" t="str">
        <f>E41&amp;" to "&amp;input!C5</f>
        <v>Euro to INR</v>
      </c>
    </row>
    <row r="21" spans="2:7" x14ac:dyDescent="0.35">
      <c r="B21" s="87" t="s">
        <v>330</v>
      </c>
      <c r="C21" s="89">
        <f>conversion!D26</f>
        <v>6</v>
      </c>
    </row>
    <row r="22" spans="2:7" x14ac:dyDescent="0.35">
      <c r="B22" s="117" t="s">
        <v>331</v>
      </c>
      <c r="C22" s="118">
        <f>1200*C21</f>
        <v>7200</v>
      </c>
      <c r="E22" s="120">
        <f>_xlfn.XLOOKUP($C$20,input!$A:$A,input!C:C,0)*C22</f>
        <v>750744</v>
      </c>
    </row>
    <row r="23" spans="2:7" x14ac:dyDescent="0.35">
      <c r="B23" s="117" t="s">
        <v>332</v>
      </c>
      <c r="C23" s="118">
        <f>2000*C21</f>
        <v>12000</v>
      </c>
      <c r="E23" s="120">
        <f>_xlfn.XLOOKUP($C$20,input!$A:$A,input!C:C,0)*C23</f>
        <v>1251240</v>
      </c>
    </row>
    <row r="24" spans="2:7" x14ac:dyDescent="0.35">
      <c r="B24" s="117" t="s">
        <v>333</v>
      </c>
      <c r="C24" s="118">
        <f>10000/10</f>
        <v>1000</v>
      </c>
      <c r="D24" s="114" t="s">
        <v>334</v>
      </c>
      <c r="E24" s="120">
        <f>_xlfn.XLOOKUP($C$20,input!$A:$A,input!C:C,0)*C24</f>
        <v>104270</v>
      </c>
    </row>
    <row r="25" spans="2:7" x14ac:dyDescent="0.35">
      <c r="B25" s="117" t="s">
        <v>335</v>
      </c>
      <c r="C25" s="118">
        <f>1000/10</f>
        <v>100</v>
      </c>
      <c r="E25" s="120">
        <f>_xlfn.XLOOKUP($C$20,input!$A:$A,input!C:C,0)*C25</f>
        <v>10427</v>
      </c>
    </row>
    <row r="26" spans="2:7" x14ac:dyDescent="0.35">
      <c r="B26" s="117" t="s">
        <v>336</v>
      </c>
      <c r="C26" s="118">
        <f>5000/10</f>
        <v>500</v>
      </c>
      <c r="E26" s="120">
        <f>_xlfn.XLOOKUP($C$20,input!$A:$A,input!C:C,0)*C26</f>
        <v>52135</v>
      </c>
    </row>
    <row r="27" spans="2:7" x14ac:dyDescent="0.35">
      <c r="B27" s="117" t="s">
        <v>337</v>
      </c>
      <c r="C27" s="118">
        <f>7500/10</f>
        <v>750</v>
      </c>
      <c r="E27" s="120">
        <f>_xlfn.XLOOKUP($C$20,input!$A:$A,input!C:C,0)*C27</f>
        <v>78202.5</v>
      </c>
    </row>
    <row r="28" spans="2:7" x14ac:dyDescent="0.35">
      <c r="B28" s="117" t="s">
        <v>338</v>
      </c>
      <c r="C28" s="118">
        <f>(500*4)/10</f>
        <v>200</v>
      </c>
      <c r="D28" s="114" t="s">
        <v>339</v>
      </c>
      <c r="E28" s="120">
        <f>_xlfn.XLOOKUP($C$20,input!$A:$A,input!C:C,0)*C28</f>
        <v>20854</v>
      </c>
    </row>
    <row r="29" spans="2:7" x14ac:dyDescent="0.35">
      <c r="B29" s="117" t="s">
        <v>340</v>
      </c>
      <c r="C29" s="118">
        <f>15000/10</f>
        <v>1500</v>
      </c>
      <c r="D29" s="114" t="s">
        <v>341</v>
      </c>
      <c r="E29" s="120">
        <f>_xlfn.XLOOKUP($C$20,input!$A:$A,input!C:C,0)*C29</f>
        <v>156405</v>
      </c>
    </row>
    <row r="30" spans="2:7" x14ac:dyDescent="0.35">
      <c r="B30" s="117" t="s">
        <v>342</v>
      </c>
      <c r="C30" s="118">
        <f>10000/10</f>
        <v>1000</v>
      </c>
      <c r="D30" s="114" t="s">
        <v>341</v>
      </c>
      <c r="E30" s="120">
        <f>_xlfn.XLOOKUP($C$20,input!$A:$A,input!C:C,0)*C30</f>
        <v>104270</v>
      </c>
    </row>
    <row r="31" spans="2:7" x14ac:dyDescent="0.35">
      <c r="B31" s="117" t="s">
        <v>343</v>
      </c>
      <c r="C31" s="118">
        <f>25000/10</f>
        <v>2500</v>
      </c>
      <c r="D31" s="114" t="s">
        <v>341</v>
      </c>
      <c r="E31" s="120">
        <f>_xlfn.XLOOKUP($C$20,input!$A:$A,input!C:C,0)*C31</f>
        <v>260675</v>
      </c>
      <c r="F31" s="121"/>
      <c r="G31" s="122"/>
    </row>
    <row r="32" spans="2:7" x14ac:dyDescent="0.35">
      <c r="B32" s="117" t="s">
        <v>344</v>
      </c>
      <c r="C32" s="118">
        <f>25000/10</f>
        <v>2500</v>
      </c>
      <c r="D32" s="114" t="s">
        <v>341</v>
      </c>
      <c r="E32" s="120">
        <f>_xlfn.XLOOKUP($C$20,input!$A:$A,input!C:C,0)*C32</f>
        <v>260675</v>
      </c>
    </row>
    <row r="33" spans="2:11" x14ac:dyDescent="0.35">
      <c r="B33" s="117" t="s">
        <v>345</v>
      </c>
      <c r="C33" s="118">
        <f>60000/10</f>
        <v>6000</v>
      </c>
      <c r="E33" s="120">
        <f>_xlfn.XLOOKUP($C$20,input!$A:$A,input!C:C,0)*C33</f>
        <v>625620</v>
      </c>
    </row>
    <row r="34" spans="2:11" x14ac:dyDescent="0.35">
      <c r="B34" s="117" t="s">
        <v>346</v>
      </c>
      <c r="C34" s="118"/>
      <c r="E34" s="120">
        <f>_xlfn.XLOOKUP($C$20,input!$A:$A,input!C:C,0)*C34</f>
        <v>0</v>
      </c>
    </row>
    <row r="35" spans="2:11" x14ac:dyDescent="0.35">
      <c r="B35" s="117" t="s">
        <v>347</v>
      </c>
      <c r="C35" s="118"/>
      <c r="E35" s="120">
        <f>_xlfn.XLOOKUP($C$20,input!$A:$A,input!C:C,0)*C35</f>
        <v>0</v>
      </c>
    </row>
    <row r="36" spans="2:11" x14ac:dyDescent="0.35">
      <c r="B36" s="117" t="s">
        <v>348</v>
      </c>
      <c r="C36" s="118">
        <v>0</v>
      </c>
      <c r="E36" s="120">
        <f>_xlfn.XLOOKUP($C$20,input!$A:$A,input!C:C,0)*C36</f>
        <v>0</v>
      </c>
    </row>
    <row r="37" spans="2:11" x14ac:dyDescent="0.35">
      <c r="B37" s="117" t="s">
        <v>349</v>
      </c>
      <c r="C37" s="118">
        <f>(C5)*2350/(1500*0.0929)</f>
        <v>6071.0441334768575</v>
      </c>
      <c r="D37" s="114" t="s">
        <v>350</v>
      </c>
      <c r="E37" s="120">
        <f>_xlfn.XLOOKUP($C$20,input!$A:$A,input!C:C,0)*C37</f>
        <v>633027.77179763187</v>
      </c>
    </row>
    <row r="38" spans="2:11" x14ac:dyDescent="0.35">
      <c r="B38" s="117" t="s">
        <v>351</v>
      </c>
      <c r="C38" s="118">
        <f>SUM(C22:C37)*10%</f>
        <v>4132.1044133476853</v>
      </c>
      <c r="D38" s="114" t="s">
        <v>352</v>
      </c>
      <c r="E38" s="120">
        <f>_xlfn.XLOOKUP($C$20,input!$A:$A,input!C:C,0)*C38</f>
        <v>430854.52717976313</v>
      </c>
    </row>
    <row r="39" spans="2:11" x14ac:dyDescent="0.35">
      <c r="B39" s="117" t="s">
        <v>353</v>
      </c>
      <c r="C39" s="118">
        <f>SUM(C22:C38)</f>
        <v>45453.148546824537</v>
      </c>
      <c r="E39" s="120">
        <f>SUM(E22:E38)</f>
        <v>4739399.7989773946</v>
      </c>
      <c r="G39" s="122">
        <f>C39*103/10^7</f>
        <v>0.46816743003229278</v>
      </c>
    </row>
    <row r="41" spans="2:11" x14ac:dyDescent="0.35">
      <c r="B41" s="83" t="s">
        <v>354</v>
      </c>
      <c r="E41" s="87" t="s">
        <v>498</v>
      </c>
      <c r="K41" s="90"/>
    </row>
    <row r="42" spans="2:11" x14ac:dyDescent="0.35">
      <c r="B42" s="87" t="s">
        <v>356</v>
      </c>
      <c r="C42" s="87" t="s">
        <v>357</v>
      </c>
      <c r="D42" s="87" t="s">
        <v>358</v>
      </c>
      <c r="E42" s="87" t="s">
        <v>164</v>
      </c>
      <c r="F42" s="87" t="s">
        <v>359</v>
      </c>
      <c r="G42" s="87" t="s">
        <v>360</v>
      </c>
      <c r="H42" s="87" t="s">
        <v>361</v>
      </c>
      <c r="K42" s="87" t="str">
        <f>input!C5&amp;" Machine Cost"</f>
        <v>INR Machine Cost</v>
      </c>
    </row>
    <row r="43" spans="2:11" x14ac:dyDescent="0.35">
      <c r="B43" s="117" t="s">
        <v>400</v>
      </c>
      <c r="C43" s="117" t="s">
        <v>401</v>
      </c>
      <c r="D43" s="117" t="s">
        <v>402</v>
      </c>
      <c r="E43" s="133">
        <f>(495000+25000)*(100%+$C$66)</f>
        <v>542620</v>
      </c>
      <c r="F43" s="133">
        <v>65</v>
      </c>
      <c r="G43" s="133"/>
      <c r="H43" s="133">
        <v>40</v>
      </c>
      <c r="K43" s="123">
        <f>_xlfn.XLOOKUP($E$41,input!$A:$A,input!C:C)*E43</f>
        <v>56578987.399999999</v>
      </c>
    </row>
    <row r="44" spans="2:11" x14ac:dyDescent="0.35">
      <c r="B44" s="117" t="s">
        <v>400</v>
      </c>
      <c r="C44" s="117" t="s">
        <v>401</v>
      </c>
      <c r="D44" s="117" t="s">
        <v>403</v>
      </c>
      <c r="E44" s="133">
        <f>(575000+25000)*(100%+$C$66)</f>
        <v>626100</v>
      </c>
      <c r="F44" s="133">
        <v>125</v>
      </c>
      <c r="G44" s="133"/>
      <c r="H44" s="133">
        <v>40</v>
      </c>
      <c r="K44" s="123">
        <f>_xlfn.XLOOKUP($E$41,input!$A:$A,input!C:C)*E44</f>
        <v>65283447</v>
      </c>
    </row>
    <row r="45" spans="2:11" x14ac:dyDescent="0.35">
      <c r="B45" s="117" t="s">
        <v>165</v>
      </c>
      <c r="C45" s="117"/>
      <c r="D45" s="117" t="s">
        <v>165</v>
      </c>
      <c r="E45" s="133">
        <f>25000</f>
        <v>25000</v>
      </c>
      <c r="F45" s="133"/>
      <c r="G45" s="133"/>
      <c r="H45" s="133"/>
      <c r="K45" s="123">
        <f>_xlfn.XLOOKUP($E$41,input!$A:$A,input!C:C)*E45</f>
        <v>2606750</v>
      </c>
    </row>
    <row r="46" spans="2:11" x14ac:dyDescent="0.35">
      <c r="B46" s="117"/>
      <c r="C46" s="117"/>
      <c r="D46" s="117"/>
      <c r="E46" s="133"/>
      <c r="F46" s="133"/>
      <c r="G46" s="133"/>
      <c r="H46" s="133"/>
      <c r="K46" s="123"/>
    </row>
    <row r="47" spans="2:11" x14ac:dyDescent="0.35">
      <c r="B47" s="117"/>
      <c r="C47" s="117"/>
      <c r="D47" s="117"/>
      <c r="E47" s="117"/>
      <c r="F47" s="117"/>
      <c r="G47" s="117"/>
      <c r="H47" s="117"/>
    </row>
    <row r="49" spans="2:7" x14ac:dyDescent="0.35">
      <c r="B49" s="83" t="s">
        <v>362</v>
      </c>
    </row>
    <row r="50" spans="2:7" x14ac:dyDescent="0.35">
      <c r="B50" s="117" t="s">
        <v>363</v>
      </c>
      <c r="C50" s="117" t="s">
        <v>364</v>
      </c>
      <c r="D50" s="117">
        <v>1200</v>
      </c>
      <c r="E50" s="117" t="s">
        <v>365</v>
      </c>
      <c r="F50" s="134">
        <f>D50*D51/10^6</f>
        <v>1.2</v>
      </c>
    </row>
    <row r="51" spans="2:7" x14ac:dyDescent="0.35">
      <c r="B51" s="117"/>
      <c r="C51" s="117" t="s">
        <v>366</v>
      </c>
      <c r="D51" s="117">
        <v>1000</v>
      </c>
      <c r="E51" s="117" t="s">
        <v>367</v>
      </c>
      <c r="F51" s="134">
        <f>D51*D52/10^6</f>
        <v>1.1000000000000001</v>
      </c>
    </row>
    <row r="52" spans="2:7" x14ac:dyDescent="0.35">
      <c r="B52" s="117"/>
      <c r="C52" s="117" t="s">
        <v>368</v>
      </c>
      <c r="D52" s="117">
        <v>1100</v>
      </c>
      <c r="E52" s="117" t="s">
        <v>369</v>
      </c>
      <c r="F52" s="134">
        <f>D50*D52/10^6</f>
        <v>1.32</v>
      </c>
    </row>
    <row r="53" spans="2:7" x14ac:dyDescent="0.35">
      <c r="B53" s="117"/>
      <c r="C53" s="117"/>
      <c r="D53" s="117"/>
      <c r="E53" s="117"/>
      <c r="F53" s="134">
        <f>2*(SUM(F50:F52))</f>
        <v>7.24</v>
      </c>
      <c r="G53" s="114" t="s">
        <v>370</v>
      </c>
    </row>
    <row r="55" spans="2:7" x14ac:dyDescent="0.35">
      <c r="B55" s="83" t="s">
        <v>371</v>
      </c>
      <c r="D55" s="114" t="s">
        <v>372</v>
      </c>
    </row>
    <row r="57" spans="2:7" x14ac:dyDescent="0.35">
      <c r="B57" s="117" t="s">
        <v>373</v>
      </c>
      <c r="C57" s="124">
        <v>0</v>
      </c>
    </row>
    <row r="58" spans="2:7" x14ac:dyDescent="0.35">
      <c r="B58" s="117" t="s">
        <v>374</v>
      </c>
      <c r="C58" s="124">
        <v>5.0000000000000001E-3</v>
      </c>
    </row>
    <row r="59" spans="2:7" x14ac:dyDescent="0.35">
      <c r="B59" s="117" t="s">
        <v>375</v>
      </c>
      <c r="C59" s="124">
        <v>6.9999999999999999E-4</v>
      </c>
    </row>
    <row r="60" spans="2:7" x14ac:dyDescent="0.35">
      <c r="B60" s="117" t="s">
        <v>376</v>
      </c>
      <c r="C60" s="124">
        <v>2.0000000000000001E-4</v>
      </c>
    </row>
    <row r="61" spans="2:7" x14ac:dyDescent="0.35">
      <c r="B61" s="117" t="s">
        <v>377</v>
      </c>
      <c r="C61" s="124">
        <v>8.0000000000000004E-4</v>
      </c>
    </row>
    <row r="62" spans="2:7" x14ac:dyDescent="0.35">
      <c r="B62" s="117" t="s">
        <v>378</v>
      </c>
      <c r="C62" s="124">
        <v>1.1000000000000001E-3</v>
      </c>
    </row>
    <row r="63" spans="2:7" x14ac:dyDescent="0.35">
      <c r="B63" s="117" t="s">
        <v>379</v>
      </c>
      <c r="C63" s="124">
        <v>6.9999999999999999E-4</v>
      </c>
    </row>
    <row r="64" spans="2:7" x14ac:dyDescent="0.35">
      <c r="B64" s="117" t="s">
        <v>380</v>
      </c>
      <c r="C64" s="124">
        <v>0.01</v>
      </c>
    </row>
    <row r="65" spans="2:4" x14ac:dyDescent="0.35">
      <c r="B65" s="117" t="s">
        <v>381</v>
      </c>
      <c r="C65" s="124">
        <v>2.5000000000000001E-2</v>
      </c>
    </row>
    <row r="66" spans="2:4" x14ac:dyDescent="0.35">
      <c r="B66" s="90" t="s">
        <v>62</v>
      </c>
      <c r="C66" s="91">
        <f>SUM(C57:C65)</f>
        <v>4.3500000000000004E-2</v>
      </c>
    </row>
    <row r="68" spans="2:4" x14ac:dyDescent="0.35">
      <c r="B68" s="43" t="s">
        <v>439</v>
      </c>
      <c r="C68" s="125"/>
      <c r="D68" s="125"/>
    </row>
    <row r="69" spans="2:4" x14ac:dyDescent="0.35">
      <c r="B69" s="28" t="s">
        <v>440</v>
      </c>
      <c r="C69" s="125"/>
      <c r="D69" s="125"/>
    </row>
    <row r="70" spans="2:4" x14ac:dyDescent="0.35">
      <c r="B70" s="127" t="s">
        <v>441</v>
      </c>
      <c r="C70" s="127" t="s">
        <v>442</v>
      </c>
      <c r="D70" s="125"/>
    </row>
    <row r="71" spans="2:4" x14ac:dyDescent="0.35">
      <c r="B71" s="127">
        <v>3</v>
      </c>
      <c r="C71" s="127">
        <f>B71*12000*input!$C$88</f>
        <v>3753720</v>
      </c>
      <c r="D71" s="125" t="s">
        <v>443</v>
      </c>
    </row>
    <row r="72" spans="2:4" x14ac:dyDescent="0.35">
      <c r="B72" s="127">
        <v>4</v>
      </c>
      <c r="C72" s="127">
        <f>B72*12000*input!$C$88</f>
        <v>5004960</v>
      </c>
      <c r="D72" s="125" t="s">
        <v>443</v>
      </c>
    </row>
    <row r="73" spans="2:4" x14ac:dyDescent="0.35">
      <c r="B73" s="127">
        <v>5</v>
      </c>
      <c r="C73" s="127">
        <f>B73*12000*input!$C$88</f>
        <v>6256200</v>
      </c>
      <c r="D73" s="125" t="s">
        <v>443</v>
      </c>
    </row>
    <row r="74" spans="2:4" x14ac:dyDescent="0.35">
      <c r="B74" s="127">
        <v>8</v>
      </c>
      <c r="C74" s="127">
        <f>B74*12000*input!$C$88</f>
        <v>10009920</v>
      </c>
      <c r="D74" s="125" t="s">
        <v>443</v>
      </c>
    </row>
    <row r="75" spans="2:4" x14ac:dyDescent="0.35">
      <c r="B75" s="127">
        <v>12</v>
      </c>
      <c r="C75" s="127">
        <f>B75*12000*input!$C$88</f>
        <v>15014880</v>
      </c>
      <c r="D75" s="125"/>
    </row>
    <row r="76" spans="2:4" x14ac:dyDescent="0.35">
      <c r="B76" s="127">
        <v>24</v>
      </c>
      <c r="C76" s="127">
        <f>B76*12000*input!$C$88</f>
        <v>30029760</v>
      </c>
      <c r="D76" s="125"/>
    </row>
    <row r="77" spans="2:4" x14ac:dyDescent="0.35">
      <c r="B77" s="127">
        <v>32</v>
      </c>
      <c r="C77" s="127">
        <f>B77*12000*input!$C$88</f>
        <v>40039680</v>
      </c>
      <c r="D77" s="125"/>
    </row>
    <row r="78" spans="2:4" x14ac:dyDescent="0.35">
      <c r="B78" s="127">
        <v>48</v>
      </c>
      <c r="C78" s="127">
        <f>B78*12000*input!$C$88</f>
        <v>60059520</v>
      </c>
      <c r="D78" s="125"/>
    </row>
    <row r="79" spans="2:4" x14ac:dyDescent="0.35">
      <c r="B79" s="125" t="s">
        <v>444</v>
      </c>
      <c r="C79" s="125"/>
      <c r="D79" s="125"/>
    </row>
    <row r="80" spans="2:4" x14ac:dyDescent="0.35">
      <c r="B80" s="127" t="s">
        <v>441</v>
      </c>
      <c r="C80" s="127" t="s">
        <v>442</v>
      </c>
      <c r="D80" s="125"/>
    </row>
    <row r="81" spans="2:4" x14ac:dyDescent="0.35">
      <c r="B81" s="127">
        <v>1</v>
      </c>
      <c r="C81" s="135">
        <f>1500*input!$C$88</f>
        <v>156405</v>
      </c>
      <c r="D81" s="125"/>
    </row>
    <row r="82" spans="2:4" x14ac:dyDescent="0.35">
      <c r="B82" s="127">
        <v>2</v>
      </c>
      <c r="C82" s="135">
        <f>1800*input!$C$88</f>
        <v>187686</v>
      </c>
      <c r="D82" s="125"/>
    </row>
    <row r="83" spans="2:4" x14ac:dyDescent="0.35">
      <c r="B83" s="127">
        <v>3</v>
      </c>
      <c r="C83" s="135">
        <f>2000*input!$C$88</f>
        <v>208540</v>
      </c>
      <c r="D83" s="125"/>
    </row>
    <row r="84" spans="2:4" x14ac:dyDescent="0.35">
      <c r="B84" s="127">
        <v>4</v>
      </c>
      <c r="C84" s="135">
        <f>2500*input!$C$88</f>
        <v>260675</v>
      </c>
      <c r="D84" s="125"/>
    </row>
    <row r="85" spans="2:4" x14ac:dyDescent="0.35">
      <c r="B85" s="125" t="s">
        <v>445</v>
      </c>
      <c r="C85" s="125"/>
      <c r="D85" s="125"/>
    </row>
    <row r="86" spans="2:4" x14ac:dyDescent="0.35">
      <c r="B86" s="127" t="s">
        <v>441</v>
      </c>
      <c r="C86" s="127" t="s">
        <v>442</v>
      </c>
      <c r="D86" s="125"/>
    </row>
    <row r="87" spans="2:4" x14ac:dyDescent="0.35">
      <c r="B87" s="127">
        <v>5</v>
      </c>
      <c r="C87" s="127">
        <f>31000*input!$C$88</f>
        <v>3232370</v>
      </c>
      <c r="D87" s="125"/>
    </row>
    <row r="88" spans="2:4" x14ac:dyDescent="0.35">
      <c r="B88" s="127">
        <v>6</v>
      </c>
      <c r="C88" s="127">
        <f>40000*input!$C$88</f>
        <v>4170800</v>
      </c>
      <c r="D88" s="125"/>
    </row>
    <row r="89" spans="2:4" x14ac:dyDescent="0.35">
      <c r="B89" s="127">
        <v>8</v>
      </c>
      <c r="C89" s="127">
        <f>49000*input!$C$88</f>
        <v>5109230</v>
      </c>
      <c r="D89" s="125"/>
    </row>
    <row r="90" spans="2:4" x14ac:dyDescent="0.35">
      <c r="B90" s="127">
        <v>9</v>
      </c>
      <c r="C90" s="127">
        <f>55000*input!$C$88</f>
        <v>5734850</v>
      </c>
      <c r="D90" s="125"/>
    </row>
    <row r="91" spans="2:4" x14ac:dyDescent="0.35">
      <c r="B91" s="127">
        <v>10</v>
      </c>
      <c r="C91" s="127">
        <f>70000*input!$C$88</f>
        <v>7298900</v>
      </c>
      <c r="D91" s="125"/>
    </row>
    <row r="92" spans="2:4" x14ac:dyDescent="0.35">
      <c r="B92" s="127">
        <v>12</v>
      </c>
      <c r="C92" s="127">
        <f>90000*input!$C$88</f>
        <v>9384300</v>
      </c>
      <c r="D92" s="125"/>
    </row>
    <row r="93" spans="2:4" x14ac:dyDescent="0.35">
      <c r="B93" s="127">
        <v>13</v>
      </c>
      <c r="C93" s="127">
        <f>97500*input!$C$88</f>
        <v>10166325</v>
      </c>
      <c r="D93" s="125"/>
    </row>
    <row r="94" spans="2:4" x14ac:dyDescent="0.35">
      <c r="B94" s="127">
        <v>15</v>
      </c>
      <c r="C94" s="127">
        <f>112500*input!$C$88</f>
        <v>11730375</v>
      </c>
      <c r="D94" s="125"/>
    </row>
    <row r="95" spans="2:4" x14ac:dyDescent="0.35">
      <c r="B95" s="127">
        <v>16</v>
      </c>
      <c r="C95" s="127">
        <f>250000*input!$C$88</f>
        <v>26067500</v>
      </c>
      <c r="D95" s="125"/>
    </row>
    <row r="96" spans="2:4" x14ac:dyDescent="0.35">
      <c r="B96" s="127">
        <v>18</v>
      </c>
      <c r="C96" s="127">
        <f>135000*input!$C$88</f>
        <v>14076450</v>
      </c>
      <c r="D96" s="125"/>
    </row>
    <row r="97" spans="2:4" x14ac:dyDescent="0.35">
      <c r="B97" s="127"/>
      <c r="C97" s="127"/>
      <c r="D97" s="125"/>
    </row>
    <row r="103" spans="2:4" x14ac:dyDescent="0.35">
      <c r="B103" s="48" t="s">
        <v>382</v>
      </c>
      <c r="C103" s="125"/>
      <c r="D103" s="126"/>
    </row>
    <row r="104" spans="2:4" x14ac:dyDescent="0.35">
      <c r="B104" s="127" t="s">
        <v>383</v>
      </c>
      <c r="C104" s="125"/>
      <c r="D104" s="126"/>
    </row>
    <row r="105" spans="2:4" x14ac:dyDescent="0.35">
      <c r="B105" s="127" t="s">
        <v>384</v>
      </c>
      <c r="C105" s="125"/>
      <c r="D105" s="126"/>
    </row>
    <row r="106" spans="2:4" x14ac:dyDescent="0.35">
      <c r="B106" s="127" t="s">
        <v>405</v>
      </c>
      <c r="C106" s="125"/>
      <c r="D106" s="126"/>
    </row>
    <row r="107" spans="2:4" x14ac:dyDescent="0.35">
      <c r="B107" s="127" t="s">
        <v>407</v>
      </c>
      <c r="C107" s="125"/>
      <c r="D107" s="126"/>
    </row>
    <row r="108" spans="2:4" x14ac:dyDescent="0.35">
      <c r="B108" s="127" t="s">
        <v>100</v>
      </c>
      <c r="C108" s="125"/>
      <c r="D108" s="126"/>
    </row>
    <row r="109" spans="2:4" x14ac:dyDescent="0.35">
      <c r="B109" s="127" t="s">
        <v>385</v>
      </c>
      <c r="C109" s="125"/>
      <c r="D109" s="126"/>
    </row>
    <row r="110" spans="2:4" x14ac:dyDescent="0.35">
      <c r="B110" s="127" t="s">
        <v>386</v>
      </c>
      <c r="C110" s="125"/>
      <c r="D110" s="126"/>
    </row>
    <row r="111" spans="2:4" x14ac:dyDescent="0.35">
      <c r="B111" s="127" t="s">
        <v>387</v>
      </c>
      <c r="C111" s="125"/>
      <c r="D111" s="126"/>
    </row>
    <row r="112" spans="2:4" x14ac:dyDescent="0.35">
      <c r="B112" s="125"/>
      <c r="C112" s="125"/>
      <c r="D112" s="126"/>
    </row>
    <row r="113" spans="2:4" x14ac:dyDescent="0.35">
      <c r="B113" s="49" t="s">
        <v>59</v>
      </c>
      <c r="C113" s="125"/>
      <c r="D113" s="126"/>
    </row>
    <row r="114" spans="2:4" x14ac:dyDescent="0.35">
      <c r="B114" s="127" t="s">
        <v>388</v>
      </c>
      <c r="C114" s="125"/>
      <c r="D114" s="126"/>
    </row>
    <row r="115" spans="2:4" x14ac:dyDescent="0.35">
      <c r="B115" s="127" t="s">
        <v>130</v>
      </c>
      <c r="C115" s="125"/>
      <c r="D115" s="126"/>
    </row>
    <row r="116" spans="2:4" x14ac:dyDescent="0.35">
      <c r="B116" s="125"/>
      <c r="C116" s="125"/>
      <c r="D116" s="126"/>
    </row>
    <row r="117" spans="2:4" x14ac:dyDescent="0.35">
      <c r="B117" s="125"/>
      <c r="C117" s="125"/>
      <c r="D117" s="126"/>
    </row>
    <row r="118" spans="2:4" x14ac:dyDescent="0.35">
      <c r="B118" s="48" t="s">
        <v>135</v>
      </c>
      <c r="C118" s="48" t="s">
        <v>389</v>
      </c>
      <c r="D118" s="92" t="s">
        <v>134</v>
      </c>
    </row>
    <row r="119" spans="2:4" x14ac:dyDescent="0.35">
      <c r="B119" s="127" t="s">
        <v>390</v>
      </c>
      <c r="C119" s="127">
        <v>8</v>
      </c>
      <c r="D119" s="128">
        <v>8</v>
      </c>
    </row>
    <row r="120" spans="2:4" x14ac:dyDescent="0.35">
      <c r="B120" s="127" t="s">
        <v>136</v>
      </c>
      <c r="C120" s="127">
        <v>11</v>
      </c>
      <c r="D120" s="128">
        <v>10</v>
      </c>
    </row>
    <row r="121" spans="2:4" x14ac:dyDescent="0.35">
      <c r="B121" s="127" t="s">
        <v>391</v>
      </c>
      <c r="C121" s="127">
        <v>11</v>
      </c>
      <c r="D121" s="128">
        <v>10</v>
      </c>
    </row>
    <row r="122" spans="2:4" x14ac:dyDescent="0.35">
      <c r="B122" s="127" t="s">
        <v>392</v>
      </c>
      <c r="C122" s="127">
        <v>14</v>
      </c>
      <c r="D122" s="128">
        <v>12</v>
      </c>
    </row>
    <row r="123" spans="2:4" x14ac:dyDescent="0.35">
      <c r="B123" s="127" t="s">
        <v>393</v>
      </c>
      <c r="C123" s="127">
        <v>11</v>
      </c>
      <c r="D123" s="128">
        <v>10</v>
      </c>
    </row>
    <row r="124" spans="2:4" x14ac:dyDescent="0.35">
      <c r="B124" s="127" t="s">
        <v>394</v>
      </c>
      <c r="C124" s="127">
        <v>24</v>
      </c>
      <c r="D124" s="128">
        <v>21</v>
      </c>
    </row>
    <row r="125" spans="2:4" x14ac:dyDescent="0.35">
      <c r="B125" s="125"/>
      <c r="C125" s="125"/>
      <c r="D125" s="126"/>
    </row>
    <row r="126" spans="2:4" x14ac:dyDescent="0.35">
      <c r="B126" s="49" t="s">
        <v>395</v>
      </c>
      <c r="C126" s="125"/>
      <c r="D126" s="126"/>
    </row>
    <row r="127" spans="2:4" x14ac:dyDescent="0.35">
      <c r="B127" s="127" t="s">
        <v>389</v>
      </c>
      <c r="C127" s="125"/>
      <c r="D127" s="126"/>
    </row>
    <row r="128" spans="2:4" x14ac:dyDescent="0.35">
      <c r="B128" s="127" t="s">
        <v>134</v>
      </c>
      <c r="C128" s="125"/>
      <c r="D128" s="126"/>
    </row>
    <row r="129" spans="2:5" x14ac:dyDescent="0.35">
      <c r="B129" s="125"/>
      <c r="C129" s="125"/>
      <c r="D129" s="126"/>
    </row>
    <row r="130" spans="2:5" x14ac:dyDescent="0.35">
      <c r="B130" s="125"/>
      <c r="C130" s="125"/>
      <c r="D130" s="126"/>
    </row>
    <row r="131" spans="2:5" x14ac:dyDescent="0.35">
      <c r="B131" s="49" t="s">
        <v>86</v>
      </c>
      <c r="C131" s="125"/>
      <c r="D131" s="126"/>
    </row>
    <row r="132" spans="2:5" x14ac:dyDescent="0.35">
      <c r="B132" s="129" t="s">
        <v>396</v>
      </c>
      <c r="C132" s="125"/>
      <c r="D132" s="126"/>
    </row>
    <row r="133" spans="2:5" x14ac:dyDescent="0.35">
      <c r="B133" s="130" t="s">
        <v>397</v>
      </c>
      <c r="C133" s="125"/>
      <c r="D133" s="126"/>
    </row>
    <row r="134" spans="2:5" x14ac:dyDescent="0.35">
      <c r="B134" s="129" t="s">
        <v>477</v>
      </c>
      <c r="C134" s="125"/>
      <c r="D134" s="126"/>
    </row>
    <row r="136" spans="2:5" x14ac:dyDescent="0.35">
      <c r="B136" s="49" t="s">
        <v>23</v>
      </c>
    </row>
    <row r="137" spans="2:5" x14ac:dyDescent="0.35">
      <c r="B137" s="129" t="s">
        <v>128</v>
      </c>
    </row>
    <row r="138" spans="2:5" x14ac:dyDescent="0.35">
      <c r="B138" s="130" t="s">
        <v>398</v>
      </c>
    </row>
    <row r="140" spans="2:5" x14ac:dyDescent="0.35">
      <c r="B140" s="93" t="s">
        <v>399</v>
      </c>
      <c r="C140" s="131">
        <v>5000</v>
      </c>
      <c r="E140" s="132">
        <f>C17/C140</f>
        <v>0.20253050616385787</v>
      </c>
    </row>
    <row r="142" spans="2:5" x14ac:dyDescent="0.35">
      <c r="B142" s="49" t="s">
        <v>404</v>
      </c>
    </row>
    <row r="143" spans="2:5" x14ac:dyDescent="0.35">
      <c r="B143" s="129" t="s">
        <v>400</v>
      </c>
    </row>
    <row r="144" spans="2:5" x14ac:dyDescent="0.35">
      <c r="B144" s="129" t="s">
        <v>408</v>
      </c>
    </row>
    <row r="145" spans="2:2" x14ac:dyDescent="0.35">
      <c r="B145" s="1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9FCD-5E53-4A9D-84FB-26C486AF05DA}">
  <dimension ref="B2:H26"/>
  <sheetViews>
    <sheetView topLeftCell="B1" workbookViewId="0">
      <selection activeCell="D2" sqref="D2"/>
    </sheetView>
  </sheetViews>
  <sheetFormatPr defaultColWidth="29.1328125" defaultRowHeight="11.65" x14ac:dyDescent="0.35"/>
  <cols>
    <col min="1" max="1" width="4.1328125" style="3" customWidth="1"/>
    <col min="2" max="2" width="14.796875" style="3" customWidth="1"/>
    <col min="3" max="3" width="9.796875" style="3" customWidth="1"/>
    <col min="4" max="4" width="15.796875" style="3" customWidth="1"/>
    <col min="5" max="5" width="37.46484375" style="3" customWidth="1"/>
    <col min="6" max="6" width="40.1328125" style="3" customWidth="1"/>
    <col min="7" max="7" width="47.53125" style="3" customWidth="1"/>
    <col min="8" max="8" width="31.796875" style="3" customWidth="1"/>
    <col min="9" max="16384" width="29.1328125" style="3"/>
  </cols>
  <sheetData>
    <row r="2" spans="2:8" x14ac:dyDescent="0.35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1" t="s">
        <v>5</v>
      </c>
    </row>
    <row r="3" spans="2:8" x14ac:dyDescent="0.35">
      <c r="B3" s="4" t="s">
        <v>6</v>
      </c>
      <c r="C3" s="5"/>
      <c r="D3" s="6"/>
      <c r="E3" s="6"/>
      <c r="F3" s="7"/>
      <c r="G3" s="7"/>
    </row>
    <row r="4" spans="2:8" x14ac:dyDescent="0.35">
      <c r="B4" s="6" t="s">
        <v>7</v>
      </c>
      <c r="C4" s="6" t="s">
        <v>8</v>
      </c>
      <c r="D4" s="8"/>
      <c r="E4" s="6"/>
      <c r="F4" s="7"/>
      <c r="G4" s="7"/>
    </row>
    <row r="5" spans="2:8" x14ac:dyDescent="0.35">
      <c r="B5" s="6" t="s">
        <v>9</v>
      </c>
      <c r="C5" s="6" t="s">
        <v>8</v>
      </c>
      <c r="D5" s="8"/>
      <c r="E5" s="6"/>
      <c r="F5" s="7"/>
      <c r="G5" s="7"/>
    </row>
    <row r="6" spans="2:8" ht="107.25" customHeight="1" x14ac:dyDescent="0.4">
      <c r="B6" s="6" t="s">
        <v>10</v>
      </c>
      <c r="C6" s="6" t="s">
        <v>11</v>
      </c>
      <c r="D6" s="9">
        <v>14833.58</v>
      </c>
      <c r="E6" s="6" t="s">
        <v>12</v>
      </c>
      <c r="F6" s="10" t="s">
        <v>13</v>
      </c>
      <c r="G6" s="11" t="e" vm="1">
        <v>#VALUE!</v>
      </c>
      <c r="H6" s="12" t="s">
        <v>14</v>
      </c>
    </row>
    <row r="7" spans="2:8" ht="79.5" customHeight="1" x14ac:dyDescent="0.4">
      <c r="B7" s="6" t="s">
        <v>15</v>
      </c>
      <c r="C7" s="6" t="s">
        <v>11</v>
      </c>
      <c r="D7" s="13">
        <v>36681.160000000003</v>
      </c>
      <c r="E7" s="6" t="s">
        <v>16</v>
      </c>
      <c r="F7" s="10" t="s">
        <v>17</v>
      </c>
      <c r="G7" s="14" t="e" vm="2">
        <v>#VALUE!</v>
      </c>
      <c r="H7" s="12" t="s">
        <v>18</v>
      </c>
    </row>
    <row r="8" spans="2:8" ht="90" customHeight="1" x14ac:dyDescent="0.4">
      <c r="B8" s="6" t="s">
        <v>19</v>
      </c>
      <c r="C8" s="6" t="s">
        <v>11</v>
      </c>
      <c r="D8" s="9">
        <v>1560.6</v>
      </c>
      <c r="E8" s="6" t="s">
        <v>20</v>
      </c>
      <c r="F8" s="10" t="s">
        <v>21</v>
      </c>
      <c r="G8" s="7" t="e" vm="3">
        <v>#VALUE!</v>
      </c>
      <c r="H8" s="12" t="s">
        <v>22</v>
      </c>
    </row>
    <row r="9" spans="2:8" x14ac:dyDescent="0.35">
      <c r="B9" s="6" t="s">
        <v>23</v>
      </c>
      <c r="C9" s="6"/>
      <c r="D9" s="6"/>
      <c r="E9" s="6" t="s">
        <v>24</v>
      </c>
      <c r="F9" s="15"/>
      <c r="G9" s="7"/>
    </row>
    <row r="10" spans="2:8" ht="83.25" customHeight="1" x14ac:dyDescent="0.35">
      <c r="B10" s="6" t="s">
        <v>25</v>
      </c>
      <c r="C10" s="6" t="s">
        <v>26</v>
      </c>
      <c r="D10" s="16">
        <v>0.1</v>
      </c>
      <c r="E10" s="6" t="s">
        <v>27</v>
      </c>
      <c r="F10" s="17" t="s">
        <v>28</v>
      </c>
      <c r="G10" s="7"/>
    </row>
    <row r="11" spans="2:8" ht="102.75" customHeight="1" x14ac:dyDescent="0.35">
      <c r="B11" s="6" t="s">
        <v>29</v>
      </c>
      <c r="C11" s="6" t="s">
        <v>26</v>
      </c>
      <c r="D11" s="16">
        <v>0.15</v>
      </c>
      <c r="E11" s="6" t="s">
        <v>30</v>
      </c>
      <c r="F11" s="17" t="s">
        <v>28</v>
      </c>
      <c r="G11" s="6" t="e" vm="4">
        <v>#VALUE!</v>
      </c>
    </row>
    <row r="12" spans="2:8" ht="58.15" x14ac:dyDescent="0.35">
      <c r="B12" s="6" t="s">
        <v>31</v>
      </c>
      <c r="C12" s="6" t="s">
        <v>26</v>
      </c>
      <c r="D12" s="18">
        <v>0.1075</v>
      </c>
      <c r="E12" s="6" t="s">
        <v>32</v>
      </c>
      <c r="F12" s="10" t="s">
        <v>33</v>
      </c>
      <c r="G12" s="7" t="e" vm="5">
        <v>#VALUE!</v>
      </c>
    </row>
    <row r="13" spans="2:8" ht="70.5" customHeight="1" x14ac:dyDescent="0.35">
      <c r="B13" s="6" t="s">
        <v>34</v>
      </c>
      <c r="C13" s="6" t="s">
        <v>26</v>
      </c>
      <c r="D13" s="18">
        <v>9.2499999999999999E-2</v>
      </c>
      <c r="E13" s="6" t="s">
        <v>35</v>
      </c>
      <c r="F13" s="10" t="s">
        <v>36</v>
      </c>
      <c r="G13" s="7" t="e" vm="6">
        <v>#VALUE!</v>
      </c>
    </row>
    <row r="14" spans="2:8" ht="23.25" x14ac:dyDescent="0.35">
      <c r="B14" s="6" t="s">
        <v>37</v>
      </c>
      <c r="C14" s="6" t="s">
        <v>38</v>
      </c>
      <c r="D14" s="9">
        <v>7.5</v>
      </c>
      <c r="E14" s="6" t="s">
        <v>39</v>
      </c>
      <c r="F14" s="17"/>
      <c r="G14" s="7"/>
    </row>
    <row r="15" spans="2:8" x14ac:dyDescent="0.35">
      <c r="B15" s="6" t="s">
        <v>40</v>
      </c>
      <c r="C15" s="6" t="s">
        <v>26</v>
      </c>
      <c r="D15" s="19">
        <v>2.5000000000000001E-2</v>
      </c>
      <c r="E15" s="6" t="s">
        <v>41</v>
      </c>
      <c r="F15" s="17"/>
      <c r="G15" s="7"/>
    </row>
    <row r="16" spans="2:8" ht="34.9" x14ac:dyDescent="0.35">
      <c r="B16" s="6" t="s">
        <v>42</v>
      </c>
      <c r="C16" s="6" t="s">
        <v>26</v>
      </c>
      <c r="D16" s="19">
        <v>2.5000000000000001E-2</v>
      </c>
      <c r="E16" s="6" t="s">
        <v>43</v>
      </c>
      <c r="F16" s="17"/>
      <c r="G16" s="7"/>
    </row>
    <row r="17" spans="2:7" x14ac:dyDescent="0.35">
      <c r="B17" s="6"/>
      <c r="C17" s="6"/>
      <c r="D17" s="6"/>
      <c r="E17" s="6"/>
      <c r="F17" s="15"/>
      <c r="G17" s="7"/>
    </row>
    <row r="18" spans="2:7" x14ac:dyDescent="0.35">
      <c r="B18" s="20" t="s">
        <v>44</v>
      </c>
      <c r="C18" s="6"/>
      <c r="D18" s="6"/>
      <c r="E18" s="6"/>
      <c r="F18" s="15"/>
      <c r="G18" s="7"/>
    </row>
    <row r="19" spans="2:7" ht="91.5" customHeight="1" x14ac:dyDescent="0.35">
      <c r="B19" s="6" t="s">
        <v>45</v>
      </c>
      <c r="C19" s="6" t="s">
        <v>46</v>
      </c>
      <c r="D19" s="8">
        <f>360000*128%</f>
        <v>460800</v>
      </c>
      <c r="E19" s="6" t="s">
        <v>47</v>
      </c>
      <c r="F19" s="10" t="s">
        <v>48</v>
      </c>
      <c r="G19" s="7" t="e" vm="7">
        <v>#VALUE!</v>
      </c>
    </row>
    <row r="20" spans="2:7" ht="59.25" customHeight="1" x14ac:dyDescent="0.35">
      <c r="B20" s="6" t="s">
        <v>49</v>
      </c>
      <c r="C20" s="6" t="s">
        <v>46</v>
      </c>
      <c r="D20" s="8">
        <f>550000*128%</f>
        <v>704000</v>
      </c>
      <c r="E20" s="6" t="s">
        <v>47</v>
      </c>
      <c r="F20" s="21" t="s">
        <v>50</v>
      </c>
      <c r="G20" s="7" t="e" vm="8">
        <v>#VALUE!</v>
      </c>
    </row>
    <row r="21" spans="2:7" ht="79.25" customHeight="1" x14ac:dyDescent="0.35">
      <c r="B21" s="6" t="s">
        <v>51</v>
      </c>
      <c r="C21" s="6" t="s">
        <v>46</v>
      </c>
      <c r="D21" s="9">
        <f>1800000*128%</f>
        <v>2304000</v>
      </c>
      <c r="E21" s="6" t="s">
        <v>47</v>
      </c>
      <c r="F21" s="10" t="s">
        <v>52</v>
      </c>
      <c r="G21" s="7" t="e" vm="9">
        <v>#VALUE!</v>
      </c>
    </row>
    <row r="22" spans="2:7" ht="38" customHeight="1" x14ac:dyDescent="0.35">
      <c r="B22" s="6" t="s">
        <v>53</v>
      </c>
      <c r="C22" s="6"/>
      <c r="D22" s="6"/>
      <c r="E22" s="6"/>
      <c r="F22" s="7"/>
      <c r="G22" s="7"/>
    </row>
    <row r="25" spans="2:7" x14ac:dyDescent="0.35">
      <c r="D25" s="22"/>
      <c r="E25" s="22"/>
      <c r="F25" s="22"/>
    </row>
    <row r="26" spans="2:7" x14ac:dyDescent="0.35">
      <c r="D26" s="22"/>
      <c r="E26" s="22"/>
      <c r="F26" s="22"/>
    </row>
  </sheetData>
  <hyperlinks>
    <hyperlink ref="F10" r:id="rId1" xr:uid="{9A29D73E-B3B7-4A1E-8EC3-A03B1A740C49}"/>
    <hyperlink ref="F12" r:id="rId2" display="https://www.hdfcbank.com/personal/borrow/popular-loans/business-loan/fees-and-charges" xr:uid="{6476FD7C-2EAA-4166-A93C-43CF48C433F1}"/>
    <hyperlink ref="F11" r:id="rId3" xr:uid="{F5412692-E21D-4742-A9B7-BEC1892B5D02}"/>
    <hyperlink ref="F19" r:id="rId4" display="https://in.indeed.com/career/machine-operator/salaries/Silvassa--Dadra-and-Nagar-Haveli" xr:uid="{F602434E-D843-4F98-94E8-3176F856F67E}"/>
    <hyperlink ref="F20" r:id="rId5" display="https://in.indeed.com/career/engineer/salaries/Silvassa--Dadra-and-Nagar-Haveli" xr:uid="{22DCD055-1A66-4648-8AA4-A73CF9B21D15}"/>
    <hyperlink ref="F21" r:id="rId6" display="https://in.indeed.com/career/production-manager/salaries/Silvassa--Dadra-and-Nagar-Haveli" xr:uid="{4250CEB5-F995-42D4-9DFA-93F8A738B712}"/>
    <hyperlink ref="F7" r:id="rId7" display="https://www.realestateindia.com/silvassa-property/factory-for-sale.htm" xr:uid="{6A951747-3F59-475E-9D78-0EE79D54ED89}"/>
    <hyperlink ref="F8" r:id="rId8" display="https://www.realestateindia.com/silvassa-property/factory-for-rent.htm" xr:uid="{6B559086-72EB-4487-86B7-2E5E6FA4EAF3}"/>
    <hyperlink ref="F6" r:id="rId9" display="https://www.realestateindia.com/silvassa-property/industrial-lands-for-sale.htm" xr:uid="{1ED8FF3F-ED6C-470C-BF7E-195EA73AB1E7}"/>
    <hyperlink ref="F13" r:id="rId10" display="https://www.nsic.co.in/Schemes/BillDiscountingAgainstBG" xr:uid="{E3901D37-25C7-422B-98F5-86D896C11172}"/>
  </hyperlinks>
  <pageMargins left="0.7" right="0.7" top="0.75" bottom="0.75" header="0.3" footer="0.3"/>
  <pageSetup orientation="portrait" r:id="rId11"/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DE2B-822D-4F4D-B5AD-FC9D97964A1E}">
  <dimension ref="A1:AD38"/>
  <sheetViews>
    <sheetView zoomScale="96" workbookViewId="0"/>
  </sheetViews>
  <sheetFormatPr defaultRowHeight="14.25" x14ac:dyDescent="0.45"/>
  <cols>
    <col min="1" max="1" width="12.796875" customWidth="1"/>
    <col min="2" max="2" width="14.6640625" customWidth="1"/>
    <col min="3" max="3" width="9.86328125" customWidth="1"/>
    <col min="4" max="4" width="12.86328125" customWidth="1"/>
    <col min="5" max="5" width="14.33203125" customWidth="1"/>
    <col min="6" max="6" width="14.86328125" customWidth="1"/>
    <col min="7" max="7" width="17.19921875" customWidth="1"/>
    <col min="8" max="9" width="14.796875" customWidth="1"/>
    <col min="10" max="11" width="12.33203125" bestFit="1" customWidth="1"/>
    <col min="12" max="12" width="12.19921875" customWidth="1"/>
    <col min="13" max="13" width="10.46484375" customWidth="1"/>
    <col min="14" max="14" width="14.46484375" customWidth="1"/>
    <col min="15" max="15" width="14.1328125" customWidth="1"/>
    <col min="16" max="16" width="13.86328125" customWidth="1"/>
    <col min="17" max="17" width="11.46484375" customWidth="1"/>
    <col min="18" max="18" width="12.19921875" customWidth="1"/>
    <col min="19" max="19" width="11.19921875" customWidth="1"/>
    <col min="20" max="20" width="11.1328125" customWidth="1"/>
    <col min="21" max="21" width="11.86328125" customWidth="1"/>
  </cols>
  <sheetData>
    <row r="1" spans="1:30" x14ac:dyDescent="0.45">
      <c r="A1" s="223">
        <f>SUM(D4:P20)-[1]Database!$A$1</f>
        <v>0</v>
      </c>
      <c r="F1" s="193"/>
    </row>
    <row r="2" spans="1:30" ht="28.5" x14ac:dyDescent="0.45">
      <c r="D2" s="194" t="s">
        <v>495</v>
      </c>
      <c r="E2" s="224" t="s">
        <v>119</v>
      </c>
      <c r="F2" s="224"/>
      <c r="G2" s="224"/>
      <c r="J2" s="194" t="s">
        <v>496</v>
      </c>
      <c r="K2" s="194" t="s">
        <v>496</v>
      </c>
      <c r="L2" s="194" t="s">
        <v>496</v>
      </c>
      <c r="O2" s="195" t="s">
        <v>484</v>
      </c>
      <c r="P2" s="195" t="s">
        <v>485</v>
      </c>
      <c r="AC2" t="s">
        <v>497</v>
      </c>
      <c r="AD2">
        <v>300</v>
      </c>
    </row>
    <row r="3" spans="1:30" ht="41.25" customHeight="1" x14ac:dyDescent="0.45">
      <c r="A3" s="196" t="s">
        <v>84</v>
      </c>
      <c r="B3" s="196" t="s">
        <v>86</v>
      </c>
      <c r="C3" s="196" t="s">
        <v>483</v>
      </c>
      <c r="D3" s="197" t="s">
        <v>118</v>
      </c>
      <c r="E3" s="197" t="s">
        <v>45</v>
      </c>
      <c r="F3" s="197" t="s">
        <v>49</v>
      </c>
      <c r="G3" s="197" t="s">
        <v>51</v>
      </c>
      <c r="H3" s="196" t="s">
        <v>542</v>
      </c>
      <c r="I3" s="196" t="s">
        <v>25</v>
      </c>
      <c r="J3" s="197" t="s">
        <v>10</v>
      </c>
      <c r="K3" s="197" t="s">
        <v>15</v>
      </c>
      <c r="L3" s="197" t="s">
        <v>19</v>
      </c>
      <c r="M3" s="195" t="s">
        <v>31</v>
      </c>
      <c r="N3" s="195" t="s">
        <v>34</v>
      </c>
      <c r="O3" s="195" t="s">
        <v>498</v>
      </c>
      <c r="P3" s="195" t="s">
        <v>499</v>
      </c>
      <c r="Q3" s="195" t="s">
        <v>105</v>
      </c>
      <c r="R3" s="195" t="s">
        <v>112</v>
      </c>
      <c r="S3" s="195" t="s">
        <v>411</v>
      </c>
      <c r="T3" s="195" t="s">
        <v>416</v>
      </c>
      <c r="U3" s="195" t="s">
        <v>413</v>
      </c>
      <c r="AC3" t="e">
        <f>#REF!/AD2</f>
        <v>#REF!</v>
      </c>
    </row>
    <row r="4" spans="1:30" x14ac:dyDescent="0.45">
      <c r="A4" s="198" t="s">
        <v>500</v>
      </c>
      <c r="B4" s="198" t="s">
        <v>501</v>
      </c>
      <c r="C4" s="198" t="s">
        <v>502</v>
      </c>
      <c r="D4" s="199" cm="1">
        <f t="array" ref="D4">_xlfn.XLOOKUP(
   $A4,
   [1]Database!$A$5:$A$20,
   _xlfn.XLOOKUP(
      D$3,
      [1]Database!$D$4:$T$4,
      [1]Database!$D$5:$T$20
   )
)</f>
        <v>129.15</v>
      </c>
      <c r="E4" s="199" cm="1">
        <f t="array" ref="E4">_xlfn.XLOOKUP(
   $A4,
   [1]Database!$A$5:$A$20,
   _xlfn.XLOOKUP(
      E$3,
      [1]Database!$D$4:$T$4,
      [1]Database!$D$5:$T$20
   )
)</f>
        <v>9792000</v>
      </c>
      <c r="F4" s="199" cm="1">
        <f t="array" ref="F4">_xlfn.XLOOKUP(
   $A4,
   [1]Database!$A$5:$A$20,
   _xlfn.XLOOKUP(
      F$3,
      [1]Database!$D$4:$T$4,
      [1]Database!$D$5:$T$20
   )
)</f>
        <v>1632000.0000000002</v>
      </c>
      <c r="G4" s="199" cm="1">
        <f t="array" ref="G4">_xlfn.XLOOKUP(
   $A4,
   [1]Database!$A$5:$A$20,
   _xlfn.XLOOKUP(
      G$3,
      [1]Database!$D$4:$T$4,
      [1]Database!$D$5:$T$20
   )
)</f>
        <v>13056000.000000002</v>
      </c>
      <c r="H4" s="201" cm="1">
        <f t="array" ref="H4">_xlfn.XLOOKUP(
   $A4,
   [1]Database!$A$5:$A$20,
   _xlfn.XLOOKUP(
      H$3,
      [1]Database!$D$4:$T$4,
      [1]Database!$D$5:$T$20
   )
)</f>
        <v>0.1</v>
      </c>
      <c r="I4" s="201" cm="1">
        <f t="array" ref="I4">_xlfn.XLOOKUP(
   $A4,
   [1]Database!$A$5:$A$20,
   _xlfn.XLOOKUP(
      I$3,
      [1]Database!$D$4:$T$4,
      [1]Database!$D$5:$T$20
   )
)</f>
        <v>0.02</v>
      </c>
      <c r="J4" s="199" cm="1">
        <f t="array" ref="J4">_xlfn.XLOOKUP(
   $A4,
   [1]Database!$A$5:$A$20,
   _xlfn.XLOOKUP(
      J$3,
      [1]Database!$D$4:$T$4,
      [1]Database!$D$5:$T$20
   )
)</f>
        <v>194373</v>
      </c>
      <c r="K4" s="199" cm="1">
        <f t="array" ref="K4">_xlfn.XLOOKUP(
   $A4,
   [1]Database!$A$5:$A$20,
   _xlfn.XLOOKUP(
      K$3,
      [1]Database!$D$4:$T$4,
      [1]Database!$D$5:$T$20
   )
)</f>
        <v>0</v>
      </c>
      <c r="L4" s="199" cm="1">
        <f t="array" ref="L4">_xlfn.XLOOKUP(
   $A4,
   [1]Database!$A$5:$A$20,
   _xlfn.XLOOKUP(
      L$3,
      [1]Database!$D$4:$T$4,
      [1]Database!$D$5:$T$20
   )
)</f>
        <v>100148.96</v>
      </c>
      <c r="M4" s="201" cm="1">
        <f t="array" ref="M4">_xlfn.XLOOKUP(
   $A4,
   [1]Database!$A$5:$A$20,
   _xlfn.XLOOKUP(
      M$3,
      [1]Database!$D$4:$T$4,
      [1]Database!$D$5:$T$20
   )
)</f>
        <v>0.36959999999999998</v>
      </c>
      <c r="N4" s="201" cm="1">
        <f t="array" ref="N4">_xlfn.XLOOKUP(
   $A4,
   [1]Database!$A$5:$A$20,
   _xlfn.XLOOKUP(
      N$3,
      [1]Database!$D$4:$T$4,
      [1]Database!$D$5:$T$20
   )
)</f>
        <v>0.36959999999999998</v>
      </c>
      <c r="O4" s="199" cm="1">
        <f t="array" ref="O4">_xlfn.XLOOKUP(
   $A4,
   [1]Database!$A$5:$A$20,
   _xlfn.XLOOKUP(
      O$3,
      [1]Database!$D$4:$T$4,
      [1]Database!$D$5:$T$20
   )
)</f>
        <v>1684.16</v>
      </c>
      <c r="P4" s="199" cm="1">
        <f t="array" ref="P4">_xlfn.XLOOKUP(
   $A4,
   [1]Database!$A$5:$A$20,
   _xlfn.XLOOKUP(
      P$3,
      [1]Database!$D$4:$T$4,
      [1]Database!$D$5:$T$20
   )
)</f>
        <v>1451.24</v>
      </c>
      <c r="Q4" s="215">
        <f>Q$7*$O4</f>
        <v>7275.5712000000012</v>
      </c>
      <c r="R4" s="215">
        <f t="shared" ref="R4:U6" si="0">R$7*$O4</f>
        <v>7275.5712000000012</v>
      </c>
      <c r="S4" s="215">
        <f t="shared" si="0"/>
        <v>4041.9839999999999</v>
      </c>
      <c r="T4" s="215">
        <f t="shared" si="0"/>
        <v>4041.9839999999999</v>
      </c>
      <c r="U4" s="215">
        <f t="shared" si="0"/>
        <v>0</v>
      </c>
    </row>
    <row r="5" spans="1:30" x14ac:dyDescent="0.45">
      <c r="A5" s="198" t="s">
        <v>503</v>
      </c>
      <c r="B5" s="198" t="s">
        <v>504</v>
      </c>
      <c r="C5" s="198" t="s">
        <v>505</v>
      </c>
      <c r="D5" s="199" cm="1">
        <f t="array" ref="D5">_xlfn.XLOOKUP(
   $A5,
   [1]Database!$A$5:$A$20,
   _xlfn.XLOOKUP(
      D$3,
      [1]Database!$D$4:$T$4,
      [1]Database!$D$5:$T$20
   )
)</f>
        <v>0.65700000000000003</v>
      </c>
      <c r="E5" s="199" cm="1">
        <f t="array" ref="E5">_xlfn.XLOOKUP(
   $A5,
   [1]Database!$A$5:$A$20,
   _xlfn.XLOOKUP(
      E$3,
      [1]Database!$D$4:$T$4,
      [1]Database!$D$5:$T$20
   )
)</f>
        <v>73000</v>
      </c>
      <c r="F5" s="199" cm="1">
        <f t="array" ref="F5">_xlfn.XLOOKUP(
   $A5,
   [1]Database!$A$5:$A$20,
   _xlfn.XLOOKUP(
      F$3,
      [1]Database!$D$4:$T$4,
      [1]Database!$D$5:$T$20
   )
)</f>
        <v>210240</v>
      </c>
      <c r="G5" s="199" cm="1">
        <f t="array" ref="G5">_xlfn.XLOOKUP(
   $A5,
   [1]Database!$A$5:$A$20,
   _xlfn.XLOOKUP(
      G$3,
      [1]Database!$D$4:$T$4,
      [1]Database!$D$5:$T$20
   )
)</f>
        <v>315360</v>
      </c>
      <c r="H5" s="201" cm="1">
        <f t="array" ref="H5">_xlfn.XLOOKUP(
   $A5,
   [1]Database!$A$5:$A$20,
   _xlfn.XLOOKUP(
      H$3,
      [1]Database!$D$4:$T$4,
      [1]Database!$D$5:$T$20
   )
)</f>
        <v>0.1</v>
      </c>
      <c r="I5" s="201" cm="1">
        <f t="array" ref="I5">_xlfn.XLOOKUP(
   $A5,
   [1]Database!$A$5:$A$20,
   _xlfn.XLOOKUP(
      I$3,
      [1]Database!$D$4:$T$4,
      [1]Database!$D$5:$T$20
   )
)</f>
        <v>0.04</v>
      </c>
      <c r="J5" s="199" cm="1">
        <f t="array" ref="J5">_xlfn.XLOOKUP(
   $A5,
   [1]Database!$A$5:$A$20,
   _xlfn.XLOOKUP(
      J$3,
      [1]Database!$D$4:$T$4,
      [1]Database!$D$5:$T$20
   )
)</f>
        <v>2533.6</v>
      </c>
      <c r="K5" s="199" cm="1">
        <f t="array" ref="K5">_xlfn.XLOOKUP(
   $A5,
   [1]Database!$A$5:$A$20,
   _xlfn.XLOOKUP(
      K$3,
      [1]Database!$D$4:$T$4,
      [1]Database!$D$5:$T$20
   )
)</f>
        <v>14843.75</v>
      </c>
      <c r="L5" s="199" cm="1">
        <f t="array" ref="L5">_xlfn.XLOOKUP(
   $A5,
   [1]Database!$A$5:$A$20,
   _xlfn.XLOOKUP(
      L$3,
      [1]Database!$D$4:$T$4,
      [1]Database!$D$5:$T$20
   )
)</f>
        <v>161.679</v>
      </c>
      <c r="M5" s="201" cm="1">
        <f t="array" ref="M5">_xlfn.XLOOKUP(
   $A5,
   [1]Database!$A$5:$A$20,
   _xlfn.XLOOKUP(
      M$3,
      [1]Database!$D$4:$T$4,
      [1]Database!$D$5:$T$20
   )
)</f>
        <v>0.15</v>
      </c>
      <c r="N5" s="201" cm="1">
        <f t="array" ref="N5">_xlfn.XLOOKUP(
   $A5,
   [1]Database!$A$5:$A$20,
   _xlfn.XLOOKUP(
      N$3,
      [1]Database!$D$4:$T$4,
      [1]Database!$D$5:$T$20
   )
)</f>
        <v>0.15</v>
      </c>
      <c r="O5" s="199" cm="1">
        <f t="array" ref="O5">_xlfn.XLOOKUP(
   $A5,
   [1]Database!$A$5:$A$20,
   _xlfn.XLOOKUP(
      O$3,
      [1]Database!$D$4:$T$4,
      [1]Database!$D$5:$T$20
   )
)</f>
        <v>6.23</v>
      </c>
      <c r="P5" s="199" cm="1">
        <f t="array" ref="P5">_xlfn.XLOOKUP(
   $A5,
   [1]Database!$A$5:$A$20,
   _xlfn.XLOOKUP(
      P$3,
      [1]Database!$D$4:$T$4,
      [1]Database!$D$5:$T$20
   )
)</f>
        <v>5.37</v>
      </c>
      <c r="Q5" s="215">
        <f t="shared" ref="Q5:Q6" si="1">Q$7*$O5</f>
        <v>26.913600000000002</v>
      </c>
      <c r="R5" s="215">
        <f t="shared" si="0"/>
        <v>26.913600000000002</v>
      </c>
      <c r="S5" s="215">
        <f t="shared" si="0"/>
        <v>14.952</v>
      </c>
      <c r="T5" s="215">
        <f t="shared" si="0"/>
        <v>14.952</v>
      </c>
      <c r="U5" s="215">
        <f t="shared" si="0"/>
        <v>0</v>
      </c>
    </row>
    <row r="6" spans="1:30" x14ac:dyDescent="0.45">
      <c r="A6" s="198" t="s">
        <v>492</v>
      </c>
      <c r="B6" s="198" t="s">
        <v>493</v>
      </c>
      <c r="C6" s="198" t="s">
        <v>494</v>
      </c>
      <c r="D6" s="199" cm="1">
        <f t="array" ref="D6">_xlfn.XLOOKUP(
   $A6,
   [1]Database!$A$5:$A$20,
   _xlfn.XLOOKUP(
      D$3,
      [1]Database!$D$4:$T$4,
      [1]Database!$D$5:$T$20
   )
)</f>
        <v>0.79400000000000004</v>
      </c>
      <c r="E6" s="199" cm="1">
        <f t="array" ref="E6">_xlfn.XLOOKUP(
   $A6,
   [1]Database!$A$5:$A$20,
   _xlfn.XLOOKUP(
      E$3,
      [1]Database!$D$4:$T$4,
      [1]Database!$D$5:$T$20
   )
)</f>
        <v>420000</v>
      </c>
      <c r="F6" s="199" cm="1">
        <f t="array" ref="F6">_xlfn.XLOOKUP(
   $A6,
   [1]Database!$A$5:$A$20,
   _xlfn.XLOOKUP(
      F$3,
      [1]Database!$D$4:$T$4,
      [1]Database!$D$5:$T$20
   )
)</f>
        <v>420000</v>
      </c>
      <c r="G6" s="199" cm="1">
        <f t="array" ref="G6">_xlfn.XLOOKUP(
   $A6,
   [1]Database!$A$5:$A$20,
   _xlfn.XLOOKUP(
      G$3,
      [1]Database!$D$4:$T$4,
      [1]Database!$D$5:$T$20
   )
)</f>
        <v>487199.99999999994</v>
      </c>
      <c r="H6" s="201" cm="1">
        <f t="array" ref="H6">_xlfn.XLOOKUP(
   $A6,
   [1]Database!$A$5:$A$20,
   _xlfn.XLOOKUP(
      H$3,
      [1]Database!$D$4:$T$4,
      [1]Database!$D$5:$T$20
   )
)</f>
        <v>0.1</v>
      </c>
      <c r="I6" s="201" cm="1">
        <f t="array" ref="I6">_xlfn.XLOOKUP(
   $A6,
   [1]Database!$A$5:$A$20,
   _xlfn.XLOOKUP(
      I$3,
      [1]Database!$D$4:$T$4,
      [1]Database!$D$5:$T$20
   )
)</f>
        <v>0.1</v>
      </c>
      <c r="J6" s="199" cm="1">
        <f t="array" ref="J6">_xlfn.XLOOKUP(
   $A6,
   [1]Database!$A$5:$A$20,
   _xlfn.XLOOKUP(
      J$3,
      [1]Database!$D$4:$T$4,
      [1]Database!$D$5:$T$20
   )
)</f>
        <v>1228.5</v>
      </c>
      <c r="K6" s="199" cm="1">
        <f t="array" ref="K6">_xlfn.XLOOKUP(
   $A6,
   [1]Database!$A$5:$A$20,
   _xlfn.XLOOKUP(
      K$3,
      [1]Database!$D$4:$T$4,
      [1]Database!$D$5:$T$20
   )
)</f>
        <v>1056.51</v>
      </c>
      <c r="L6" s="199" cm="1">
        <f t="array" ref="L6">_xlfn.XLOOKUP(
   $A6,
   [1]Database!$A$5:$A$20,
   _xlfn.XLOOKUP(
      L$3,
      [1]Database!$D$4:$T$4,
      [1]Database!$D$5:$T$20
   )
)</f>
        <v>3046.68</v>
      </c>
      <c r="M6" s="201" cm="1">
        <f t="array" ref="M6">_xlfn.XLOOKUP(
   $A6,
   [1]Database!$A$5:$A$20,
   _xlfn.XLOOKUP(
      M$3,
      [1]Database!$D$4:$T$4,
      [1]Database!$D$5:$T$20
   )
)</f>
        <v>4.9000000000000002E-2</v>
      </c>
      <c r="N6" s="201" cm="1">
        <f t="array" ref="N6">_xlfn.XLOOKUP(
   $A6,
   [1]Database!$A$5:$A$20,
   _xlfn.XLOOKUP(
      N$3,
      [1]Database!$D$4:$T$4,
      [1]Database!$D$5:$T$20
   )
)</f>
        <v>0.03</v>
      </c>
      <c r="O6" s="199" cm="1">
        <f t="array" ref="O6">_xlfn.XLOOKUP(
   $A6,
   [1]Database!$A$5:$A$20,
   _xlfn.XLOOKUP(
      O$3,
      [1]Database!$D$4:$T$4,
      [1]Database!$D$5:$T$20
   )
)</f>
        <v>8.19</v>
      </c>
      <c r="P6" s="199" cm="1">
        <f t="array" ref="P6">_xlfn.XLOOKUP(
   $A6,
   [1]Database!$A$5:$A$20,
   _xlfn.XLOOKUP(
      P$3,
      [1]Database!$D$4:$T$4,
      [1]Database!$D$5:$T$20
   )
)</f>
        <v>7.11</v>
      </c>
      <c r="Q6" s="215">
        <f t="shared" si="1"/>
        <v>35.380800000000001</v>
      </c>
      <c r="R6" s="215">
        <f t="shared" si="0"/>
        <v>35.380800000000001</v>
      </c>
      <c r="S6" s="215">
        <f t="shared" si="0"/>
        <v>19.655999999999999</v>
      </c>
      <c r="T6" s="215">
        <f t="shared" si="0"/>
        <v>19.655999999999999</v>
      </c>
      <c r="U6" s="215">
        <f t="shared" si="0"/>
        <v>0</v>
      </c>
    </row>
    <row r="7" spans="1:30" x14ac:dyDescent="0.45">
      <c r="A7" s="198" t="s">
        <v>506</v>
      </c>
      <c r="B7" s="198" t="s">
        <v>507</v>
      </c>
      <c r="C7" s="198" t="s">
        <v>355</v>
      </c>
      <c r="D7" s="199" cm="1">
        <f t="array" ref="D7">_xlfn.XLOOKUP(
   $A7,
   [1]Database!$A$5:$A$20,
   _xlfn.XLOOKUP(
      D$3,
      [1]Database!$D$4:$T$4,
      [1]Database!$D$5:$T$20
   )
)</f>
        <v>0.153</v>
      </c>
      <c r="E7" s="199" cm="1">
        <f t="array" ref="E7">_xlfn.XLOOKUP(
   $A7,
   [1]Database!$A$5:$A$20,
   _xlfn.XLOOKUP(
      E$3,
      [1]Database!$D$4:$T$4,
      [1]Database!$D$5:$T$20
   )
)</f>
        <v>34800</v>
      </c>
      <c r="F7" s="199" cm="1">
        <f t="array" ref="F7">_xlfn.XLOOKUP(
   $A7,
   [1]Database!$A$5:$A$20,
   _xlfn.XLOOKUP(
      F$3,
      [1]Database!$D$4:$T$4,
      [1]Database!$D$5:$T$20
   )
)</f>
        <v>71050</v>
      </c>
      <c r="G7" s="199" cm="1">
        <f t="array" ref="G7">_xlfn.XLOOKUP(
   $A7,
   [1]Database!$A$5:$A$20,
   _xlfn.XLOOKUP(
      G$3,
      [1]Database!$D$4:$T$4,
      [1]Database!$D$5:$T$20
   )
)</f>
        <v>94250</v>
      </c>
      <c r="H7" s="201" cm="1">
        <f t="array" ref="H7">_xlfn.XLOOKUP(
   $A7,
   [1]Database!$A$5:$A$20,
   _xlfn.XLOOKUP(
      H$3,
      [1]Database!$D$4:$T$4,
      [1]Database!$D$5:$T$20
   )
)</f>
        <v>0.1</v>
      </c>
      <c r="I7" s="201" cm="1">
        <f t="array" ref="I7">_xlfn.XLOOKUP(
   $A7,
   [1]Database!$A$5:$A$20,
   _xlfn.XLOOKUP(
      I$3,
      [1]Database!$D$4:$T$4,
      [1]Database!$D$5:$T$20
   )
)</f>
        <v>0.1</v>
      </c>
      <c r="J7" s="199" cm="1">
        <f t="array" ref="J7">_xlfn.XLOOKUP(
   $A7,
   [1]Database!$A$5:$A$20,
   _xlfn.XLOOKUP(
      J$3,
      [1]Database!$D$4:$T$4,
      [1]Database!$D$5:$T$20
   )
)</f>
        <v>0</v>
      </c>
      <c r="K7" s="199" cm="1">
        <f t="array" ref="K7">_xlfn.XLOOKUP(
   $A7,
   [1]Database!$A$5:$A$20,
   _xlfn.XLOOKUP(
      K$3,
      [1]Database!$D$4:$T$4,
      [1]Database!$D$5:$T$20
   )
)</f>
        <v>0</v>
      </c>
      <c r="L7" s="199" cm="1">
        <f t="array" ref="L7">_xlfn.XLOOKUP(
   $A7,
   [1]Database!$A$5:$A$20,
   _xlfn.XLOOKUP(
      L$3,
      [1]Database!$D$4:$T$4,
      [1]Database!$D$5:$T$20
   )
)</f>
        <v>0</v>
      </c>
      <c r="M7" s="201" cm="1">
        <f t="array" ref="M7">_xlfn.XLOOKUP(
   $A7,
   [1]Database!$A$5:$A$20,
   _xlfn.XLOOKUP(
      M$3,
      [1]Database!$D$4:$T$4,
      [1]Database!$D$5:$T$20
   )
)</f>
        <v>3.4500000000000003E-2</v>
      </c>
      <c r="N7" s="201" cm="1">
        <f t="array" ref="N7">_xlfn.XLOOKUP(
   $A7,
   [1]Database!$A$5:$A$20,
   _xlfn.XLOOKUP(
      N$3,
      [1]Database!$D$4:$T$4,
      [1]Database!$D$5:$T$20
   )
)</f>
        <v>3.4500000000000003E-2</v>
      </c>
      <c r="O7" s="199" cm="1">
        <f t="array" ref="O7">_xlfn.XLOOKUP(
   $A7,
   [1]Database!$A$5:$A$20,
   _xlfn.XLOOKUP(
      O$3,
      [1]Database!$D$4:$T$4,
      [1]Database!$D$5:$T$20
   )
)</f>
        <v>1</v>
      </c>
      <c r="P7" s="199" cm="1">
        <f t="array" ref="P7">_xlfn.XLOOKUP(
   $A7,
   [1]Database!$A$5:$A$20,
   _xlfn.XLOOKUP(
      P$3,
      [1]Database!$D$4:$T$4,
      [1]Database!$D$5:$T$20
   )
)</f>
        <v>0.86</v>
      </c>
      <c r="Q7" s="198">
        <v>4.32</v>
      </c>
      <c r="R7" s="198">
        <v>4.32</v>
      </c>
      <c r="S7" s="214">
        <v>2.4</v>
      </c>
      <c r="T7" s="214">
        <v>2.4</v>
      </c>
      <c r="U7" s="214"/>
    </row>
    <row r="8" spans="1:30" x14ac:dyDescent="0.45">
      <c r="A8" s="198" t="s">
        <v>508</v>
      </c>
      <c r="B8" s="198" t="s">
        <v>507</v>
      </c>
      <c r="C8" s="198" t="s">
        <v>355</v>
      </c>
      <c r="D8" s="199" cm="1">
        <f t="array" ref="D8">_xlfn.XLOOKUP(
   $A8,
   [1]Database!$A$5:$A$20,
   _xlfn.XLOOKUP(
      D$3,
      [1]Database!$D$4:$T$4,
      [1]Database!$D$5:$T$20
   )
)</f>
        <v>0.251</v>
      </c>
      <c r="E8" s="199" cm="1">
        <f t="array" ref="E8">_xlfn.XLOOKUP(
   $A8,
   [1]Database!$A$5:$A$20,
   _xlfn.XLOOKUP(
      E$3,
      [1]Database!$D$4:$T$4,
      [1]Database!$D$5:$T$20
   )
)</f>
        <v>36000</v>
      </c>
      <c r="F8" s="199" cm="1">
        <f t="array" ref="F8">_xlfn.XLOOKUP(
   $A8,
   [1]Database!$A$5:$A$20,
   _xlfn.XLOOKUP(
      F$3,
      [1]Database!$D$4:$T$4,
      [1]Database!$D$5:$T$20
   )
)</f>
        <v>75000</v>
      </c>
      <c r="G8" s="199" cm="1">
        <f t="array" ref="G8">_xlfn.XLOOKUP(
   $A8,
   [1]Database!$A$5:$A$20,
   _xlfn.XLOOKUP(
      G$3,
      [1]Database!$D$4:$T$4,
      [1]Database!$D$5:$T$20
   )
)</f>
        <v>85000</v>
      </c>
      <c r="H8" s="201" cm="1">
        <f t="array" ref="H8">_xlfn.XLOOKUP(
   $A8,
   [1]Database!$A$5:$A$20,
   _xlfn.XLOOKUP(
      H$3,
      [1]Database!$D$4:$T$4,
      [1]Database!$D$5:$T$20
   )
)</f>
        <v>0.1</v>
      </c>
      <c r="I8" s="201" cm="1">
        <f t="array" ref="I8">_xlfn.XLOOKUP(
   $A8,
   [1]Database!$A$5:$A$20,
   _xlfn.XLOOKUP(
      I$3,
      [1]Database!$D$4:$T$4,
      [1]Database!$D$5:$T$20
   )
)</f>
        <v>0.1</v>
      </c>
      <c r="J8" s="199" cm="1">
        <f t="array" ref="J8">_xlfn.XLOOKUP(
   $A8,
   [1]Database!$A$5:$A$20,
   _xlfn.XLOOKUP(
      J$3,
      [1]Database!$D$4:$T$4,
      [1]Database!$D$5:$T$20
   )
)</f>
        <v>0</v>
      </c>
      <c r="K8" s="199" cm="1">
        <f t="array" ref="K8">_xlfn.XLOOKUP(
   $A8,
   [1]Database!$A$5:$A$20,
   _xlfn.XLOOKUP(
      K$3,
      [1]Database!$D$4:$T$4,
      [1]Database!$D$5:$T$20
   )
)</f>
        <v>0</v>
      </c>
      <c r="L8" s="199" cm="1">
        <f t="array" ref="L8">_xlfn.XLOOKUP(
   $A8,
   [1]Database!$A$5:$A$20,
   _xlfn.XLOOKUP(
      L$3,
      [1]Database!$D$4:$T$4,
      [1]Database!$D$5:$T$20
   )
)</f>
        <v>0</v>
      </c>
      <c r="M8" s="201" cm="1">
        <f t="array" ref="M8">_xlfn.XLOOKUP(
   $A8,
   [1]Database!$A$5:$A$20,
   _xlfn.XLOOKUP(
      M$3,
      [1]Database!$D$4:$T$4,
      [1]Database!$D$5:$T$20
   )
)</f>
        <v>3.95E-2</v>
      </c>
      <c r="N8" s="201" cm="1">
        <f t="array" ref="N8">_xlfn.XLOOKUP(
   $A8,
   [1]Database!$A$5:$A$20,
   _xlfn.XLOOKUP(
      N$3,
      [1]Database!$D$4:$T$4,
      [1]Database!$D$5:$T$20
   )
)</f>
        <v>3.95E-2</v>
      </c>
      <c r="O8" s="199" cm="1">
        <f t="array" ref="O8">_xlfn.XLOOKUP(
   $A8,
   [1]Database!$A$5:$A$20,
   _xlfn.XLOOKUP(
      O$3,
      [1]Database!$D$4:$T$4,
      [1]Database!$D$5:$T$20
   )
)</f>
        <v>1</v>
      </c>
      <c r="P8" s="199" cm="1">
        <f t="array" ref="P8">_xlfn.XLOOKUP(
   $A8,
   [1]Database!$A$5:$A$20,
   _xlfn.XLOOKUP(
      P$3,
      [1]Database!$D$4:$T$4,
      [1]Database!$D$5:$T$20
   )
)</f>
        <v>0.86</v>
      </c>
      <c r="Q8" s="215">
        <f t="shared" ref="Q8:U19" si="2">Q$7*$O8</f>
        <v>4.32</v>
      </c>
      <c r="R8" s="215">
        <f t="shared" si="2"/>
        <v>4.32</v>
      </c>
      <c r="S8" s="215">
        <f t="shared" si="2"/>
        <v>2.4</v>
      </c>
      <c r="T8" s="215">
        <f t="shared" si="2"/>
        <v>2.4</v>
      </c>
      <c r="U8" s="215">
        <f t="shared" si="2"/>
        <v>0</v>
      </c>
    </row>
    <row r="9" spans="1:30" x14ac:dyDescent="0.45">
      <c r="A9" s="198" t="s">
        <v>509</v>
      </c>
      <c r="B9" s="198" t="s">
        <v>510</v>
      </c>
      <c r="C9" s="198" t="s">
        <v>511</v>
      </c>
      <c r="D9" s="199" cm="1">
        <f t="array" ref="D9">_xlfn.XLOOKUP(
   $A9,
   [1]Database!$A$5:$A$20,
   _xlfn.XLOOKUP(
      D$3,
      [1]Database!$D$4:$T$4,
      [1]Database!$D$5:$T$20
   )
)</f>
        <v>92.17</v>
      </c>
      <c r="E9" s="199" cm="1">
        <f t="array" ref="E9">_xlfn.XLOOKUP(
   $A9,
   [1]Database!$A$5:$A$20,
   _xlfn.XLOOKUP(
      E$3,
      [1]Database!$D$4:$T$4,
      [1]Database!$D$5:$T$20
   )
)</f>
        <v>4476000</v>
      </c>
      <c r="F9" s="199" cm="1">
        <f t="array" ref="F9">_xlfn.XLOOKUP(
   $A9,
   [1]Database!$A$5:$A$20,
   _xlfn.XLOOKUP(
      F$3,
      [1]Database!$D$4:$T$4,
      [1]Database!$D$5:$T$20
   )
)</f>
        <v>10800000</v>
      </c>
      <c r="G9" s="199" cm="1">
        <f t="array" ref="G9">_xlfn.XLOOKUP(
   $A9,
   [1]Database!$A$5:$A$20,
   _xlfn.XLOOKUP(
      G$3,
      [1]Database!$D$4:$T$4,
      [1]Database!$D$5:$T$20
   )
)</f>
        <v>16560000.000000002</v>
      </c>
      <c r="H9" s="201" cm="1">
        <f t="array" ref="H9">_xlfn.XLOOKUP(
   $A9,
   [1]Database!$A$5:$A$20,
   _xlfn.XLOOKUP(
      H$3,
      [1]Database!$D$4:$T$4,
      [1]Database!$D$5:$T$20
   )
)</f>
        <v>0.02</v>
      </c>
      <c r="I9" s="201" cm="1">
        <f t="array" ref="I9">_xlfn.XLOOKUP(
   $A9,
   [1]Database!$A$5:$A$20,
   _xlfn.XLOOKUP(
      I$3,
      [1]Database!$D$4:$T$4,
      [1]Database!$D$5:$T$20
   )
)</f>
        <v>0.14499999999999999</v>
      </c>
      <c r="J9" s="199" cm="1">
        <f t="array" ref="J9">_xlfn.XLOOKUP(
   $A9,
   [1]Database!$A$5:$A$20,
   _xlfn.XLOOKUP(
      J$3,
      [1]Database!$D$4:$T$4,
      [1]Database!$D$5:$T$20
   )
)</f>
        <v>0</v>
      </c>
      <c r="K9" s="199" cm="1">
        <f t="array" ref="K9">_xlfn.XLOOKUP(
   $A9,
   [1]Database!$A$5:$A$20,
   _xlfn.XLOOKUP(
      K$3,
      [1]Database!$D$4:$T$4,
      [1]Database!$D$5:$T$20
   )
)</f>
        <v>0</v>
      </c>
      <c r="L9" s="199" cm="1">
        <f t="array" ref="L9">_xlfn.XLOOKUP(
   $A9,
   [1]Database!$A$5:$A$20,
   _xlfn.XLOOKUP(
      L$3,
      [1]Database!$D$4:$T$4,
      [1]Database!$D$5:$T$20
   )
)</f>
        <v>0</v>
      </c>
      <c r="M9" s="201" cm="1">
        <f t="array" ref="M9">_xlfn.XLOOKUP(
   $A9,
   [1]Database!$A$5:$A$20,
   _xlfn.XLOOKUP(
      M$3,
      [1]Database!$D$4:$T$4,
      [1]Database!$D$5:$T$20
   )
)</f>
        <v>7.4999999999999997E-2</v>
      </c>
      <c r="N9" s="201" cm="1">
        <f t="array" ref="N9">_xlfn.XLOOKUP(
   $A9,
   [1]Database!$A$5:$A$20,
   _xlfn.XLOOKUP(
      N$3,
      [1]Database!$D$4:$T$4,
      [1]Database!$D$5:$T$20
   )
)</f>
        <v>0.03</v>
      </c>
      <c r="O9" s="199" cm="1">
        <f t="array" ref="O9">_xlfn.XLOOKUP(
   $A9,
   [1]Database!$A$5:$A$20,
   _xlfn.XLOOKUP(
      O$3,
      [1]Database!$D$4:$T$4,
      [1]Database!$D$5:$T$20
   )
)</f>
        <v>381.2</v>
      </c>
      <c r="P9" s="199" cm="1">
        <f t="array" ref="P9">_xlfn.XLOOKUP(
   $A9,
   [1]Database!$A$5:$A$20,
   _xlfn.XLOOKUP(
      P$3,
      [1]Database!$D$4:$T$4,
      [1]Database!$D$5:$T$20
   )
)</f>
        <v>328.47</v>
      </c>
      <c r="Q9" s="215">
        <f t="shared" si="2"/>
        <v>1646.7840000000001</v>
      </c>
      <c r="R9" s="215">
        <f t="shared" si="2"/>
        <v>1646.7840000000001</v>
      </c>
      <c r="S9" s="215">
        <f t="shared" si="2"/>
        <v>914.88</v>
      </c>
      <c r="T9" s="215">
        <f t="shared" si="2"/>
        <v>914.88</v>
      </c>
      <c r="U9" s="215">
        <f t="shared" si="2"/>
        <v>0</v>
      </c>
    </row>
    <row r="10" spans="1:30" x14ac:dyDescent="0.45">
      <c r="A10" s="198" t="s">
        <v>85</v>
      </c>
      <c r="B10" s="198" t="s">
        <v>512</v>
      </c>
      <c r="C10" s="198" t="s">
        <v>87</v>
      </c>
      <c r="D10" s="199" cm="1">
        <f t="array" ref="D10">_xlfn.XLOOKUP(
   $A10,
   [1]Database!$A$5:$A$20,
   _xlfn.XLOOKUP(
      D$3,
      [1]Database!$D$4:$T$4,
      [1]Database!$D$5:$T$20
   )
)</f>
        <v>10.72</v>
      </c>
      <c r="E10" s="199" cm="1">
        <f t="array" ref="E10">_xlfn.XLOOKUP(
   $A10,
   [1]Database!$A$5:$A$20,
   _xlfn.XLOOKUP(
      E$3,
      [1]Database!$D$4:$T$4,
      [1]Database!$D$5:$T$20
   )
)</f>
        <v>541800</v>
      </c>
      <c r="F10" s="199" cm="1">
        <f t="array" ref="F10">_xlfn.XLOOKUP(
   $A10,
   [1]Database!$A$5:$A$20,
   _xlfn.XLOOKUP(
      F$3,
      [1]Database!$D$4:$T$4,
      [1]Database!$D$5:$T$20
   )
)</f>
        <v>1260000</v>
      </c>
      <c r="G10" s="199" cm="1">
        <f t="array" ref="G10">_xlfn.XLOOKUP(
   $A10,
   [1]Database!$A$5:$A$20,
   _xlfn.XLOOKUP(
      G$3,
      [1]Database!$D$4:$T$4,
      [1]Database!$D$5:$T$20
   )
)</f>
        <v>1890000</v>
      </c>
      <c r="H10" s="201" cm="1">
        <f t="array" ref="H10">_xlfn.XLOOKUP(
   $A10,
   [1]Database!$A$5:$A$20,
   _xlfn.XLOOKUP(
      H$3,
      [1]Database!$D$4:$T$4,
      [1]Database!$D$5:$T$20
   )
)</f>
        <v>0.15</v>
      </c>
      <c r="I10" s="201" cm="1">
        <f t="array" ref="I10">_xlfn.XLOOKUP(
   $A10,
   [1]Database!$A$5:$A$20,
   _xlfn.XLOOKUP(
      I$3,
      [1]Database!$D$4:$T$4,
      [1]Database!$D$5:$T$20
   )
)</f>
        <v>0.1</v>
      </c>
      <c r="J10" s="199" cm="1">
        <f t="array" ref="J10">_xlfn.XLOOKUP(
   $A10,
   [1]Database!$A$5:$A$20,
   _xlfn.XLOOKUP(
      J$3,
      [1]Database!$D$4:$T$4,
      [1]Database!$D$5:$T$20
   )
)</f>
        <v>23519.018667714194</v>
      </c>
      <c r="K10" s="199" cm="1">
        <f t="array" ref="K10">_xlfn.XLOOKUP(
   $A10,
   [1]Database!$A$5:$A$20,
   _xlfn.XLOOKUP(
      K$3,
      [1]Database!$D$4:$T$4,
      [1]Database!$D$5:$T$20
   )
)</f>
        <v>7000</v>
      </c>
      <c r="L10" s="199" cm="1">
        <f t="array" ref="L10">_xlfn.XLOOKUP(
   $A10,
   [1]Database!$A$5:$A$20,
   _xlfn.XLOOKUP(
      L$3,
      [1]Database!$D$4:$T$4,
      [1]Database!$D$5:$T$20
   )
)</f>
        <v>2136.331306739994</v>
      </c>
      <c r="M10" s="201" cm="1">
        <f t="array" ref="M10">_xlfn.XLOOKUP(
   $A10,
   [1]Database!$A$5:$A$20,
   _xlfn.XLOOKUP(
      M$3,
      [1]Database!$D$4:$T$4,
      [1]Database!$D$5:$T$20
   )
)</f>
        <v>0.125</v>
      </c>
      <c r="N10" s="201" cm="1">
        <f t="array" ref="N10">_xlfn.XLOOKUP(
   $A10,
   [1]Database!$A$5:$A$20,
   _xlfn.XLOOKUP(
      N$3,
      [1]Database!$D$4:$T$4,
      [1]Database!$D$5:$T$20
   )
)</f>
        <v>0.14000000000000001</v>
      </c>
      <c r="O10" s="199" cm="1">
        <f t="array" ref="O10">_xlfn.XLOOKUP(
   $A10,
   [1]Database!$A$5:$A$20,
   _xlfn.XLOOKUP(
      O$3,
      [1]Database!$D$4:$T$4,
      [1]Database!$D$5:$T$20
   )
)</f>
        <v>104.27</v>
      </c>
      <c r="P10" s="199" cm="1">
        <f t="array" ref="P10">_xlfn.XLOOKUP(
   $A10,
   [1]Database!$A$5:$A$20,
   _xlfn.XLOOKUP(
      P$3,
      [1]Database!$D$4:$T$4,
      [1]Database!$D$5:$T$20
   )
)</f>
        <v>87</v>
      </c>
      <c r="Q10" s="215">
        <f t="shared" si="2"/>
        <v>450.44640000000004</v>
      </c>
      <c r="R10" s="215">
        <f t="shared" si="2"/>
        <v>450.44640000000004</v>
      </c>
      <c r="S10" s="215">
        <f t="shared" si="2"/>
        <v>250.24799999999999</v>
      </c>
      <c r="T10" s="215">
        <f t="shared" si="2"/>
        <v>250.24799999999999</v>
      </c>
      <c r="U10" s="215">
        <f t="shared" si="2"/>
        <v>0</v>
      </c>
    </row>
    <row r="11" spans="1:30" x14ac:dyDescent="0.45">
      <c r="A11" s="198" t="s">
        <v>513</v>
      </c>
      <c r="B11" s="198" t="s">
        <v>514</v>
      </c>
      <c r="C11" s="198" t="s">
        <v>515</v>
      </c>
      <c r="D11" s="199" cm="1">
        <f t="array" ref="D11">_xlfn.XLOOKUP(
   $A11,
   [1]Database!$A$5:$A$20,
   _xlfn.XLOOKUP(
      D$3,
      [1]Database!$D$4:$T$4,
      [1]Database!$D$5:$T$20
   )
)</f>
        <v>1114.74</v>
      </c>
      <c r="E11" s="199" cm="1">
        <f t="array" ref="E11">_xlfn.XLOOKUP(
   $A11,
   [1]Database!$A$5:$A$20,
   _xlfn.XLOOKUP(
      E$3,
      [1]Database!$D$4:$T$4,
      [1]Database!$D$5:$T$20
   )
)</f>
        <v>7332000</v>
      </c>
      <c r="F11" s="199" cm="1">
        <f t="array" ref="F11">_xlfn.XLOOKUP(
   $A11,
   [1]Database!$A$5:$A$20,
   _xlfn.XLOOKUP(
      F$3,
      [1]Database!$D$4:$T$4,
      [1]Database!$D$5:$T$20
   )
)</f>
        <v>19552000</v>
      </c>
      <c r="G11" s="199" cm="1">
        <f t="array" ref="G11">_xlfn.XLOOKUP(
   $A11,
   [1]Database!$A$5:$A$20,
   _xlfn.XLOOKUP(
      G$3,
      [1]Database!$D$4:$T$4,
      [1]Database!$D$5:$T$20
   )
)</f>
        <v>24440000</v>
      </c>
      <c r="H11" s="201" cm="1">
        <f t="array" ref="H11">_xlfn.XLOOKUP(
   $A11,
   [1]Database!$A$5:$A$20,
   _xlfn.XLOOKUP(
      H$3,
      [1]Database!$D$4:$T$4,
      [1]Database!$D$5:$T$20
   )
)</f>
        <v>0.25</v>
      </c>
      <c r="I11" s="201" cm="1">
        <f t="array" ref="I11">_xlfn.XLOOKUP(
   $A11,
   [1]Database!$A$5:$A$20,
   _xlfn.XLOOKUP(
      I$3,
      [1]Database!$D$4:$T$4,
      [1]Database!$D$5:$T$20
   )
)</f>
        <v>0.1</v>
      </c>
      <c r="J11" s="199" cm="1">
        <f t="array" ref="J11">_xlfn.XLOOKUP(
   $A11,
   [1]Database!$A$5:$A$20,
   _xlfn.XLOOKUP(
      J$3,
      [1]Database!$D$4:$T$4,
      [1]Database!$D$5:$T$20
   )
)</f>
        <v>1700000</v>
      </c>
      <c r="K11" s="199" cm="1">
        <f t="array" ref="K11">_xlfn.XLOOKUP(
   $A11,
   [1]Database!$A$5:$A$20,
   _xlfn.XLOOKUP(
      K$3,
      [1]Database!$D$4:$T$4,
      [1]Database!$D$5:$T$20
   )
)</f>
        <v>5500000</v>
      </c>
      <c r="L11" s="199" cm="1">
        <f t="array" ref="L11">_xlfn.XLOOKUP(
   $A11,
   [1]Database!$A$5:$A$20,
   _xlfn.XLOOKUP(
      L$3,
      [1]Database!$D$4:$T$4,
      [1]Database!$D$5:$T$20
   )
)</f>
        <v>420000</v>
      </c>
      <c r="M11" s="201" cm="1">
        <f t="array" ref="M11">_xlfn.XLOOKUP(
   $A11,
   [1]Database!$A$5:$A$20,
   _xlfn.XLOOKUP(
      M$3,
      [1]Database!$D$4:$T$4,
      [1]Database!$D$5:$T$20
   )
)</f>
        <v>0.1</v>
      </c>
      <c r="N11" s="201" cm="1">
        <f t="array" ref="N11">_xlfn.XLOOKUP(
   $A11,
   [1]Database!$A$5:$A$20,
   _xlfn.XLOOKUP(
      N$3,
      [1]Database!$D$4:$T$4,
      [1]Database!$D$5:$T$20
   )
)</f>
        <v>0.12</v>
      </c>
      <c r="O11" s="199" cm="1">
        <f t="array" ref="O11">_xlfn.XLOOKUP(
   $A11,
   [1]Database!$A$5:$A$20,
   _xlfn.XLOOKUP(
      O$3,
      [1]Database!$D$4:$T$4,
      [1]Database!$D$5:$T$20
   )
)</f>
        <v>19314.2</v>
      </c>
      <c r="P11" s="199" cm="1">
        <f t="array" ref="P11">_xlfn.XLOOKUP(
   $A11,
   [1]Database!$A$5:$A$20,
   _xlfn.XLOOKUP(
      P$3,
      [1]Database!$D$4:$T$4,
      [1]Database!$D$5:$T$20
   )
)</f>
        <v>16665.3</v>
      </c>
      <c r="Q11" s="215">
        <f t="shared" si="2"/>
        <v>83437.344000000012</v>
      </c>
      <c r="R11" s="215">
        <f t="shared" si="2"/>
        <v>83437.344000000012</v>
      </c>
      <c r="S11" s="215">
        <f t="shared" si="2"/>
        <v>46354.080000000002</v>
      </c>
      <c r="T11" s="215">
        <f t="shared" si="2"/>
        <v>46354.080000000002</v>
      </c>
      <c r="U11" s="215">
        <f t="shared" si="2"/>
        <v>0</v>
      </c>
    </row>
    <row r="12" spans="1:30" x14ac:dyDescent="0.45">
      <c r="A12" s="198" t="s">
        <v>516</v>
      </c>
      <c r="B12" s="198" t="s">
        <v>517</v>
      </c>
      <c r="C12" s="198" t="s">
        <v>518</v>
      </c>
      <c r="D12" s="199" cm="1">
        <f t="array" ref="D12">_xlfn.XLOOKUP(
   $A12,
   [1]Database!$A$5:$A$20,
   _xlfn.XLOOKUP(
      D$3,
      [1]Database!$D$4:$T$4,
      [1]Database!$D$5:$T$20
   )
)</f>
        <v>3.972</v>
      </c>
      <c r="E12" s="199" cm="1">
        <f t="array" ref="E12">_xlfn.XLOOKUP(
   $A12,
   [1]Database!$A$5:$A$20,
   _xlfn.XLOOKUP(
      E$3,
      [1]Database!$D$4:$T$4,
      [1]Database!$D$5:$T$20
   )
)</f>
        <v>180000</v>
      </c>
      <c r="F12" s="199" cm="1">
        <f t="array" ref="F12">_xlfn.XLOOKUP(
   $A12,
   [1]Database!$A$5:$A$20,
   _xlfn.XLOOKUP(
      F$3,
      [1]Database!$D$4:$T$4,
      [1]Database!$D$5:$T$20
   )
)</f>
        <v>492000</v>
      </c>
      <c r="G12" s="199" cm="1">
        <f t="array" ref="G12">_xlfn.XLOOKUP(
   $A12,
   [1]Database!$A$5:$A$20,
   _xlfn.XLOOKUP(
      G$3,
      [1]Database!$D$4:$T$4,
      [1]Database!$D$5:$T$20
   )
)</f>
        <v>852000</v>
      </c>
      <c r="H12" s="201" cm="1">
        <f t="array" ref="H12">_xlfn.XLOOKUP(
   $A12,
   [1]Database!$A$5:$A$20,
   _xlfn.XLOOKUP(
      H$3,
      [1]Database!$D$4:$T$4,
      [1]Database!$D$5:$T$20
   )
)</f>
        <v>0.1</v>
      </c>
      <c r="I12" s="201" cm="1">
        <f t="array" ref="I12">_xlfn.XLOOKUP(
   $A12,
   [1]Database!$A$5:$A$20,
   _xlfn.XLOOKUP(
      I$3,
      [1]Database!$D$4:$T$4,
      [1]Database!$D$5:$T$20
   )
)</f>
        <v>0.05</v>
      </c>
      <c r="J12" s="199" cm="1">
        <f t="array" ref="J12">_xlfn.XLOOKUP(
   $A12,
   [1]Database!$A$5:$A$20,
   _xlfn.XLOOKUP(
      J$3,
      [1]Database!$D$4:$T$4,
      [1]Database!$D$5:$T$20
   )
)</f>
        <v>0</v>
      </c>
      <c r="K12" s="199" cm="1">
        <f t="array" ref="K12">_xlfn.XLOOKUP(
   $A12,
   [1]Database!$A$5:$A$20,
   _xlfn.XLOOKUP(
      K$3,
      [1]Database!$D$4:$T$4,
      [1]Database!$D$5:$T$20
   )
)</f>
        <v>0</v>
      </c>
      <c r="L12" s="199" cm="1">
        <f t="array" ref="L12">_xlfn.XLOOKUP(
   $A12,
   [1]Database!$A$5:$A$20,
   _xlfn.XLOOKUP(
      L$3,
      [1]Database!$D$4:$T$4,
      [1]Database!$D$5:$T$20
   )
)</f>
        <v>0</v>
      </c>
      <c r="M12" s="201" cm="1">
        <f t="array" ref="M12">_xlfn.XLOOKUP(
   $A12,
   [1]Database!$A$5:$A$20,
   _xlfn.XLOOKUP(
      M$3,
      [1]Database!$D$4:$T$4,
      [1]Database!$D$5:$T$20
   )
)</f>
        <v>7.2800000000000004E-2</v>
      </c>
      <c r="N12" s="201" cm="1">
        <f t="array" ref="N12">_xlfn.XLOOKUP(
   $A12,
   [1]Database!$A$5:$A$20,
   _xlfn.XLOOKUP(
      N$3,
      [1]Database!$D$4:$T$4,
      [1]Database!$D$5:$T$20
   )
)</f>
        <v>7.2800000000000004E-2</v>
      </c>
      <c r="O12" s="199" cm="1">
        <f t="array" ref="O12">_xlfn.XLOOKUP(
   $A12,
   [1]Database!$A$5:$A$20,
   _xlfn.XLOOKUP(
      O$3,
      [1]Database!$D$4:$T$4,
      [1]Database!$D$5:$T$20
   )
)</f>
        <v>21.26</v>
      </c>
      <c r="P12" s="199" cm="1">
        <f t="array" ref="P12">_xlfn.XLOOKUP(
   $A12,
   [1]Database!$A$5:$A$20,
   _xlfn.XLOOKUP(
      P$3,
      [1]Database!$D$4:$T$4,
      [1]Database!$D$5:$T$20
   )
)</f>
        <v>18.32</v>
      </c>
      <c r="Q12" s="215">
        <f t="shared" si="2"/>
        <v>91.84320000000001</v>
      </c>
      <c r="R12" s="215">
        <f t="shared" si="2"/>
        <v>91.84320000000001</v>
      </c>
      <c r="S12" s="215">
        <f t="shared" si="2"/>
        <v>51.024000000000001</v>
      </c>
      <c r="T12" s="215">
        <f t="shared" si="2"/>
        <v>51.024000000000001</v>
      </c>
      <c r="U12" s="215">
        <f t="shared" si="2"/>
        <v>0</v>
      </c>
    </row>
    <row r="13" spans="1:30" x14ac:dyDescent="0.45">
      <c r="A13" s="198" t="s">
        <v>519</v>
      </c>
      <c r="B13" s="198" t="s">
        <v>520</v>
      </c>
      <c r="C13" s="198" t="s">
        <v>521</v>
      </c>
      <c r="D13" s="199" cm="1">
        <f t="array" ref="D13">_xlfn.XLOOKUP(
   $A13,
   [1]Database!$A$5:$A$20,
   _xlfn.XLOOKUP(
      D$3,
      [1]Database!$D$4:$T$4,
      [1]Database!$D$5:$T$20
   )
)</f>
        <v>41.99</v>
      </c>
      <c r="E13" s="199" cm="1">
        <f t="array" ref="E13">_xlfn.XLOOKUP(
   $A13,
   [1]Database!$A$5:$A$20,
   _xlfn.XLOOKUP(
      E$3,
      [1]Database!$D$4:$T$4,
      [1]Database!$D$5:$T$20
   )
)</f>
        <v>504000</v>
      </c>
      <c r="F13" s="199" cm="1">
        <f t="array" ref="F13">_xlfn.XLOOKUP(
   $A13,
   [1]Database!$A$5:$A$20,
   _xlfn.XLOOKUP(
      F$3,
      [1]Database!$D$4:$T$4,
      [1]Database!$D$5:$T$20
   )
)</f>
        <v>384000</v>
      </c>
      <c r="G13" s="199" cm="1">
        <f t="array" ref="G13">_xlfn.XLOOKUP(
   $A13,
   [1]Database!$A$5:$A$20,
   _xlfn.XLOOKUP(
      G$3,
      [1]Database!$D$4:$T$4,
      [1]Database!$D$5:$T$20
   )
)</f>
        <v>2400000</v>
      </c>
      <c r="H13" s="201" cm="1">
        <f t="array" ref="H13">_xlfn.XLOOKUP(
   $A13,
   [1]Database!$A$5:$A$20,
   _xlfn.XLOOKUP(
      H$3,
      [1]Database!$D$4:$T$4,
      [1]Database!$D$5:$T$20
   )
)</f>
        <v>0.15</v>
      </c>
      <c r="I13" s="201" cm="1">
        <f t="array" ref="I13">_xlfn.XLOOKUP(
   $A13,
   [1]Database!$A$5:$A$20,
   _xlfn.XLOOKUP(
      I$3,
      [1]Database!$D$4:$T$4,
      [1]Database!$D$5:$T$20
   )
)</f>
        <v>0.1</v>
      </c>
      <c r="J13" s="199" cm="1">
        <f t="array" ref="J13">_xlfn.XLOOKUP(
   $A13,
   [1]Database!$A$5:$A$20,
   _xlfn.XLOOKUP(
      J$3,
      [1]Database!$D$4:$T$4,
      [1]Database!$D$5:$T$20
   )
)</f>
        <v>0</v>
      </c>
      <c r="K13" s="199" cm="1">
        <f t="array" ref="K13">_xlfn.XLOOKUP(
   $A13,
   [1]Database!$A$5:$A$20,
   _xlfn.XLOOKUP(
      K$3,
      [1]Database!$D$4:$T$4,
      [1]Database!$D$5:$T$20
   )
)</f>
        <v>0</v>
      </c>
      <c r="L13" s="199" cm="1">
        <f t="array" ref="L13">_xlfn.XLOOKUP(
   $A13,
   [1]Database!$A$5:$A$20,
   _xlfn.XLOOKUP(
      L$3,
      [1]Database!$D$4:$T$4,
      [1]Database!$D$5:$T$20
   )
)</f>
        <v>0</v>
      </c>
      <c r="M13" s="201" cm="1">
        <f t="array" ref="M13">_xlfn.XLOOKUP(
   $A13,
   [1]Database!$A$5:$A$20,
   _xlfn.XLOOKUP(
      M$3,
      [1]Database!$D$4:$T$4,
      [1]Database!$D$5:$T$20
   )
)</f>
        <v>0.18</v>
      </c>
      <c r="N13" s="201" cm="1">
        <f t="array" ref="N13">_xlfn.XLOOKUP(
   $A13,
   [1]Database!$A$5:$A$20,
   _xlfn.XLOOKUP(
      N$3,
      [1]Database!$D$4:$T$4,
      [1]Database!$D$5:$T$20
   )
)</f>
        <v>0.09</v>
      </c>
      <c r="O13" s="199" cm="1">
        <f t="array" ref="O13">_xlfn.XLOOKUP(
   $A13,
   [1]Database!$A$5:$A$20,
   _xlfn.XLOOKUP(
      O$3,
      [1]Database!$D$4:$T$4,
      [1]Database!$D$5:$T$20
   )
)</f>
        <v>328.52</v>
      </c>
      <c r="P13" s="199" cm="1">
        <f t="array" ref="P13">_xlfn.XLOOKUP(
   $A13,
   [1]Database!$A$5:$A$20,
   _xlfn.XLOOKUP(
      P$3,
      [1]Database!$D$4:$T$4,
      [1]Database!$D$5:$T$20
   )
)</f>
        <v>282.99</v>
      </c>
      <c r="Q13" s="215">
        <f t="shared" si="2"/>
        <v>1419.2064</v>
      </c>
      <c r="R13" s="215">
        <f t="shared" si="2"/>
        <v>1419.2064</v>
      </c>
      <c r="S13" s="215">
        <f t="shared" si="2"/>
        <v>788.44799999999998</v>
      </c>
      <c r="T13" s="215">
        <f t="shared" si="2"/>
        <v>788.44799999999998</v>
      </c>
      <c r="U13" s="215">
        <f t="shared" si="2"/>
        <v>0</v>
      </c>
    </row>
    <row r="14" spans="1:30" x14ac:dyDescent="0.45">
      <c r="A14" s="198" t="s">
        <v>489</v>
      </c>
      <c r="B14" s="198" t="s">
        <v>490</v>
      </c>
      <c r="C14" s="198" t="s">
        <v>491</v>
      </c>
      <c r="D14" s="199" cm="1">
        <f t="array" ref="D14">_xlfn.XLOOKUP(
   $A14,
   [1]Database!$A$5:$A$20,
   _xlfn.XLOOKUP(
      D$3,
      [1]Database!$D$4:$T$4,
      [1]Database!$D$5:$T$20
   )
)</f>
        <v>8.8469999999999995</v>
      </c>
      <c r="E14" s="199" cm="1">
        <f t="array" ref="E14">_xlfn.XLOOKUP(
   $A14,
   [1]Database!$A$5:$A$20,
   _xlfn.XLOOKUP(
      E$3,
      [1]Database!$D$4:$T$4,
      [1]Database!$D$5:$T$20
   )
)</f>
        <v>242879.99999999997</v>
      </c>
      <c r="F14" s="199" cm="1">
        <f t="array" ref="F14">_xlfn.XLOOKUP(
   $A14,
   [1]Database!$A$5:$A$20,
   _xlfn.XLOOKUP(
      F$3,
      [1]Database!$D$4:$T$4,
      [1]Database!$D$5:$T$20
   )
)</f>
        <v>473470.52499999997</v>
      </c>
      <c r="G14" s="199" cm="1">
        <f t="array" ref="G14">_xlfn.XLOOKUP(
   $A14,
   [1]Database!$A$5:$A$20,
   _xlfn.XLOOKUP(
      G$3,
      [1]Database!$D$4:$T$4,
      [1]Database!$D$5:$T$20
   )
)</f>
        <v>538167.68499999994</v>
      </c>
      <c r="H14" s="201" cm="1">
        <f t="array" ref="H14">_xlfn.XLOOKUP(
   $A14,
   [1]Database!$A$5:$A$20,
   _xlfn.XLOOKUP(
      H$3,
      [1]Database!$D$4:$T$4,
      [1]Database!$D$5:$T$20
   )
)</f>
        <v>0.1</v>
      </c>
      <c r="I14" s="201" cm="1">
        <f t="array" ref="I14">_xlfn.XLOOKUP(
   $A14,
   [1]Database!$A$5:$A$20,
   _xlfn.XLOOKUP(
      I$3,
      [1]Database!$D$4:$T$4,
      [1]Database!$D$5:$T$20
   )
)</f>
        <v>0.1</v>
      </c>
      <c r="J14" s="199" cm="1">
        <f t="array" ref="J14">_xlfn.XLOOKUP(
   $A14,
   [1]Database!$A$5:$A$20,
   _xlfn.XLOOKUP(
      J$3,
      [1]Database!$D$4:$T$4,
      [1]Database!$D$5:$T$20
   )
)</f>
        <v>16240</v>
      </c>
      <c r="K14" s="199" cm="1">
        <f t="array" ref="K14">_xlfn.XLOOKUP(
   $A14,
   [1]Database!$A$5:$A$20,
   _xlfn.XLOOKUP(
      K$3,
      [1]Database!$D$4:$T$4,
      [1]Database!$D$5:$T$20
   )
)</f>
        <v>20000</v>
      </c>
      <c r="L14" s="199" cm="1">
        <f t="array" ref="L14">_xlfn.XLOOKUP(
   $A14,
   [1]Database!$A$5:$A$20,
   _xlfn.XLOOKUP(
      L$3,
      [1]Database!$D$4:$T$4,
      [1]Database!$D$5:$T$20
   )
)</f>
        <v>3240</v>
      </c>
      <c r="M14" s="201" cm="1">
        <f t="array" ref="M14">_xlfn.XLOOKUP(
   $A14,
   [1]Database!$A$5:$A$20,
   _xlfn.XLOOKUP(
      M$3,
      [1]Database!$D$4:$T$4,
      [1]Database!$D$5:$T$20
   )
)</f>
        <v>0.1</v>
      </c>
      <c r="N14" s="201" cm="1">
        <f t="array" ref="N14">_xlfn.XLOOKUP(
   $A14,
   [1]Database!$A$5:$A$20,
   _xlfn.XLOOKUP(
      N$3,
      [1]Database!$D$4:$T$4,
      [1]Database!$D$5:$T$20
   )
)</f>
        <v>8.6300000000000002E-2</v>
      </c>
      <c r="O14" s="199" cm="1">
        <f t="array" ref="O14">_xlfn.XLOOKUP(
   $A14,
   [1]Database!$A$5:$A$20,
   _xlfn.XLOOKUP(
      O$3,
      [1]Database!$D$4:$T$4,
      [1]Database!$D$5:$T$20
   )
)</f>
        <v>67.87</v>
      </c>
      <c r="P14" s="199" cm="1">
        <f t="array" ref="P14">_xlfn.XLOOKUP(
   $A14,
   [1]Database!$A$5:$A$20,
   _xlfn.XLOOKUP(
      P$3,
      [1]Database!$D$4:$T$4,
      [1]Database!$D$5:$T$20
   )
)</f>
        <v>58.89</v>
      </c>
      <c r="Q14" s="215">
        <f t="shared" si="2"/>
        <v>293.19840000000005</v>
      </c>
      <c r="R14" s="215">
        <f t="shared" si="2"/>
        <v>293.19840000000005</v>
      </c>
      <c r="S14" s="215">
        <f t="shared" si="2"/>
        <v>162.88800000000001</v>
      </c>
      <c r="T14" s="215">
        <f t="shared" si="2"/>
        <v>162.88800000000001</v>
      </c>
      <c r="U14" s="215">
        <f t="shared" si="2"/>
        <v>0</v>
      </c>
    </row>
    <row r="15" spans="1:30" x14ac:dyDescent="0.45">
      <c r="A15" s="198" t="s">
        <v>522</v>
      </c>
      <c r="B15" s="198" t="s">
        <v>523</v>
      </c>
      <c r="C15" s="198" t="s">
        <v>524</v>
      </c>
      <c r="D15" s="199" cm="1">
        <f t="array" ref="D15">_xlfn.XLOOKUP(
   $A15,
   [1]Database!$A$5:$A$20,
   _xlfn.XLOOKUP(
      D$3,
      [1]Database!$D$4:$T$4,
      [1]Database!$D$5:$T$20
   )
)</f>
        <v>1.7949999999999999</v>
      </c>
      <c r="E15" s="199" cm="1">
        <f t="array" ref="E15">_xlfn.XLOOKUP(
   $A15,
   [1]Database!$A$5:$A$20,
   _xlfn.XLOOKUP(
      E$3,
      [1]Database!$D$4:$T$4,
      [1]Database!$D$5:$T$20
   )
)</f>
        <v>231858</v>
      </c>
      <c r="F15" s="199" cm="1">
        <f t="array" ref="F15">_xlfn.XLOOKUP(
   $A15,
   [1]Database!$A$5:$A$20,
   _xlfn.XLOOKUP(
      F$3,
      [1]Database!$D$4:$T$4,
      [1]Database!$D$5:$T$20
   )
)</f>
        <v>494630.40000000002</v>
      </c>
      <c r="G15" s="199" cm="1">
        <f t="array" ref="G15">_xlfn.XLOOKUP(
   $A15,
   [1]Database!$A$5:$A$20,
   _xlfn.XLOOKUP(
      G$3,
      [1]Database!$D$4:$T$4,
      [1]Database!$D$5:$T$20
   )
)</f>
        <v>772860</v>
      </c>
      <c r="H15" s="201" cm="1">
        <f t="array" ref="H15">_xlfn.XLOOKUP(
   $A15,
   [1]Database!$A$5:$A$20,
   _xlfn.XLOOKUP(
      H$3,
      [1]Database!$D$4:$T$4,
      [1]Database!$D$5:$T$20
   )
)</f>
        <v>0.2</v>
      </c>
      <c r="I15" s="201" cm="1">
        <f t="array" ref="I15">_xlfn.XLOOKUP(
   $A15,
   [1]Database!$A$5:$A$20,
   _xlfn.XLOOKUP(
      I$3,
      [1]Database!$D$4:$T$4,
      [1]Database!$D$5:$T$20
   )
)</f>
        <v>0.05</v>
      </c>
      <c r="J15" s="199" cm="1">
        <f t="array" ref="J15">_xlfn.XLOOKUP(
   $A15,
   [1]Database!$A$5:$A$20,
   _xlfn.XLOOKUP(
      J$3,
      [1]Database!$D$4:$T$4,
      [1]Database!$D$5:$T$20
   )
)</f>
        <v>0</v>
      </c>
      <c r="K15" s="199" cm="1">
        <f t="array" ref="K15">_xlfn.XLOOKUP(
   $A15,
   [1]Database!$A$5:$A$20,
   _xlfn.XLOOKUP(
      K$3,
      [1]Database!$D$4:$T$4,
      [1]Database!$D$5:$T$20
   )
)</f>
        <v>0</v>
      </c>
      <c r="L15" s="199" cm="1">
        <f t="array" ref="L15">_xlfn.XLOOKUP(
   $A15,
   [1]Database!$A$5:$A$20,
   _xlfn.XLOOKUP(
      L$3,
      [1]Database!$D$4:$T$4,
      [1]Database!$D$5:$T$20
   )
)</f>
        <v>0</v>
      </c>
      <c r="M15" s="201" cm="1">
        <f t="array" ref="M15">_xlfn.XLOOKUP(
   $A15,
   [1]Database!$A$5:$A$20,
   _xlfn.XLOOKUP(
      M$3,
      [1]Database!$D$4:$T$4,
      [1]Database!$D$5:$T$20
   )
)</f>
        <v>0.10249999999999999</v>
      </c>
      <c r="N15" s="201" cm="1">
        <f t="array" ref="N15">_xlfn.XLOOKUP(
   $A15,
   [1]Database!$A$5:$A$20,
   _xlfn.XLOOKUP(
      N$3,
      [1]Database!$D$4:$T$4,
      [1]Database!$D$5:$T$20
   )
)</f>
        <v>0.27500000000000002</v>
      </c>
      <c r="O15" s="199" cm="1">
        <f t="array" ref="O15">_xlfn.XLOOKUP(
   $A15,
   [1]Database!$A$5:$A$20,
   _xlfn.XLOOKUP(
      O$3,
      [1]Database!$D$4:$T$4,
      [1]Database!$D$5:$T$20
   )
)</f>
        <v>19.88</v>
      </c>
      <c r="P15" s="199" cm="1">
        <f t="array" ref="P15">_xlfn.XLOOKUP(
   $A15,
   [1]Database!$A$5:$A$20,
   _xlfn.XLOOKUP(
      P$3,
      [1]Database!$D$4:$T$4,
      [1]Database!$D$5:$T$20
   )
)</f>
        <v>17.13</v>
      </c>
      <c r="Q15" s="215">
        <f t="shared" si="2"/>
        <v>85.881600000000006</v>
      </c>
      <c r="R15" s="215">
        <f t="shared" si="2"/>
        <v>85.881600000000006</v>
      </c>
      <c r="S15" s="215">
        <f t="shared" si="2"/>
        <v>47.711999999999996</v>
      </c>
      <c r="T15" s="215">
        <f t="shared" si="2"/>
        <v>47.711999999999996</v>
      </c>
      <c r="U15" s="215">
        <f t="shared" si="2"/>
        <v>0</v>
      </c>
    </row>
    <row r="16" spans="1:30" x14ac:dyDescent="0.45">
      <c r="A16" s="198" t="s">
        <v>525</v>
      </c>
      <c r="B16" s="198" t="s">
        <v>526</v>
      </c>
      <c r="C16" s="198" t="s">
        <v>527</v>
      </c>
      <c r="D16" s="199" cm="1">
        <f t="array" ref="D16">_xlfn.XLOOKUP(
   $A16,
   [1]Database!$A$5:$A$20,
   _xlfn.XLOOKUP(
      D$3,
      [1]Database!$D$4:$T$4,
      [1]Database!$D$5:$T$20
   )
)</f>
        <v>4.3499999999999996</v>
      </c>
      <c r="E16" s="199" cm="1">
        <f t="array" ref="E16">_xlfn.XLOOKUP(
   $A16,
   [1]Database!$A$5:$A$20,
   _xlfn.XLOOKUP(
      E$3,
      [1]Database!$D$4:$T$4,
      [1]Database!$D$5:$T$20
   )
)</f>
        <v>281880</v>
      </c>
      <c r="F16" s="199" cm="1">
        <f t="array" ref="F16">_xlfn.XLOOKUP(
   $A16,
   [1]Database!$A$5:$A$20,
   _xlfn.XLOOKUP(
      F$3,
      [1]Database!$D$4:$T$4,
      [1]Database!$D$5:$T$20
   )
)</f>
        <v>548100</v>
      </c>
      <c r="G16" s="199" cm="1">
        <f t="array" ref="G16">_xlfn.XLOOKUP(
   $A16,
   [1]Database!$A$5:$A$20,
   _xlfn.XLOOKUP(
      G$3,
      [1]Database!$D$4:$T$4,
      [1]Database!$D$5:$T$20
   )
)</f>
        <v>532440</v>
      </c>
      <c r="H16" s="201" cm="1">
        <f t="array" ref="H16">_xlfn.XLOOKUP(
   $A16,
   [1]Database!$A$5:$A$20,
   _xlfn.XLOOKUP(
      H$3,
      [1]Database!$D$4:$T$4,
      [1]Database!$D$5:$T$20
   )
)</f>
        <v>0.1</v>
      </c>
      <c r="I16" s="201" cm="1">
        <f t="array" ref="I16">_xlfn.XLOOKUP(
   $A16,
   [1]Database!$A$5:$A$20,
   _xlfn.XLOOKUP(
      I$3,
      [1]Database!$D$4:$T$4,
      [1]Database!$D$5:$T$20
   )
)</f>
        <v>0.1</v>
      </c>
      <c r="J16" s="199" cm="1">
        <f t="array" ref="J16">_xlfn.XLOOKUP(
   $A16,
   [1]Database!$A$5:$A$20,
   _xlfn.XLOOKUP(
      J$3,
      [1]Database!$D$4:$T$4,
      [1]Database!$D$5:$T$20
   )
)</f>
        <v>0</v>
      </c>
      <c r="K16" s="199" cm="1">
        <f t="array" ref="K16">_xlfn.XLOOKUP(
   $A16,
   [1]Database!$A$5:$A$20,
   _xlfn.XLOOKUP(
      K$3,
      [1]Database!$D$4:$T$4,
      [1]Database!$D$5:$T$20
   )
)</f>
        <v>0</v>
      </c>
      <c r="L16" s="199" cm="1">
        <f t="array" ref="L16">_xlfn.XLOOKUP(
   $A16,
   [1]Database!$A$5:$A$20,
   _xlfn.XLOOKUP(
      L$3,
      [1]Database!$D$4:$T$4,
      [1]Database!$D$5:$T$20
   )
)</f>
        <v>0</v>
      </c>
      <c r="M16" s="201" cm="1">
        <f t="array" ref="M16">_xlfn.XLOOKUP(
   $A16,
   [1]Database!$A$5:$A$20,
   _xlfn.XLOOKUP(
      M$3,
      [1]Database!$D$4:$T$4,
      [1]Database!$D$5:$T$20
   )
)</f>
        <v>0.42499999999999999</v>
      </c>
      <c r="N16" s="201" cm="1">
        <f t="array" ref="N16">_xlfn.XLOOKUP(
   $A16,
   [1]Database!$A$5:$A$20,
   _xlfn.XLOOKUP(
      N$3,
      [1]Database!$D$4:$T$4,
      [1]Database!$D$5:$T$20
   )
)</f>
        <v>0.39500000000000002</v>
      </c>
      <c r="O16" s="199" cm="1">
        <f t="array" ref="O16">_xlfn.XLOOKUP(
   $A16,
   [1]Database!$A$5:$A$20,
   _xlfn.XLOOKUP(
      O$3,
      [1]Database!$D$4:$T$4,
      [1]Database!$D$5:$T$20
   )
)</f>
        <v>49.29</v>
      </c>
      <c r="P16" s="199" cm="1">
        <f t="array" ref="P16">_xlfn.XLOOKUP(
   $A16,
   [1]Database!$A$5:$A$20,
   _xlfn.XLOOKUP(
      P$3,
      [1]Database!$D$4:$T$4,
      [1]Database!$D$5:$T$20
   )
)</f>
        <v>42.43</v>
      </c>
      <c r="Q16" s="215">
        <f t="shared" si="2"/>
        <v>212.93280000000001</v>
      </c>
      <c r="R16" s="215">
        <f t="shared" si="2"/>
        <v>212.93280000000001</v>
      </c>
      <c r="S16" s="215">
        <f t="shared" si="2"/>
        <v>118.29599999999999</v>
      </c>
      <c r="T16" s="215">
        <f t="shared" si="2"/>
        <v>118.29599999999999</v>
      </c>
      <c r="U16" s="215">
        <f t="shared" si="2"/>
        <v>0</v>
      </c>
    </row>
    <row r="17" spans="1:21" x14ac:dyDescent="0.45">
      <c r="A17" s="198" t="s">
        <v>528</v>
      </c>
      <c r="B17" s="198" t="s">
        <v>529</v>
      </c>
      <c r="C17" s="198" t="s">
        <v>530</v>
      </c>
      <c r="D17" s="199" cm="1">
        <f t="array" ref="D17">_xlfn.XLOOKUP(
   $A17,
   [1]Database!$A$5:$A$20,
   _xlfn.XLOOKUP(
      D$3,
      [1]Database!$D$4:$T$4,
      [1]Database!$D$5:$T$20
   )
)</f>
        <v>0.34599999999999997</v>
      </c>
      <c r="E17" s="199" cm="1">
        <f t="array" ref="E17">_xlfn.XLOOKUP(
   $A17,
   [1]Database!$A$5:$A$20,
   _xlfn.XLOOKUP(
      E$3,
      [1]Database!$D$4:$T$4,
      [1]Database!$D$5:$T$20
   )
)</f>
        <v>39900</v>
      </c>
      <c r="F17" s="199" cm="1">
        <f t="array" ref="F17">_xlfn.XLOOKUP(
   $A17,
   [1]Database!$A$5:$A$20,
   _xlfn.XLOOKUP(
      F$3,
      [1]Database!$D$4:$T$4,
      [1]Database!$D$5:$T$20
   )
)</f>
        <v>57190</v>
      </c>
      <c r="G17" s="199" cm="1">
        <f t="array" ref="G17">_xlfn.XLOOKUP(
   $A17,
   [1]Database!$A$5:$A$20,
   _xlfn.XLOOKUP(
      G$3,
      [1]Database!$D$4:$T$4,
      [1]Database!$D$5:$T$20
   )
)</f>
        <v>66500</v>
      </c>
      <c r="H17" s="201" cm="1">
        <f t="array" ref="H17">_xlfn.XLOOKUP(
   $A17,
   [1]Database!$A$5:$A$20,
   _xlfn.XLOOKUP(
      H$3,
      [1]Database!$D$4:$T$4,
      [1]Database!$D$5:$T$20
   )
)</f>
        <v>0.18</v>
      </c>
      <c r="I17" s="201" cm="1">
        <f t="array" ref="I17">_xlfn.XLOOKUP(
   $A17,
   [1]Database!$A$5:$A$20,
   _xlfn.XLOOKUP(
      I$3,
      [1]Database!$D$4:$T$4,
      [1]Database!$D$5:$T$20
   )
)</f>
        <v>0.03</v>
      </c>
      <c r="J17" s="199" cm="1">
        <f t="array" ref="J17">_xlfn.XLOOKUP(
   $A17,
   [1]Database!$A$5:$A$20,
   _xlfn.XLOOKUP(
      J$3,
      [1]Database!$D$4:$T$4,
      [1]Database!$D$5:$T$20
   )
)</f>
        <v>0</v>
      </c>
      <c r="K17" s="199" cm="1">
        <f t="array" ref="K17">_xlfn.XLOOKUP(
   $A17,
   [1]Database!$A$5:$A$20,
   _xlfn.XLOOKUP(
      K$3,
      [1]Database!$D$4:$T$4,
      [1]Database!$D$5:$T$20
   )
)</f>
        <v>0</v>
      </c>
      <c r="L17" s="199" cm="1">
        <f t="array" ref="L17">_xlfn.XLOOKUP(
   $A17,
   [1]Database!$A$5:$A$20,
   _xlfn.XLOOKUP(
      L$3,
      [1]Database!$D$4:$T$4,
      [1]Database!$D$5:$T$20
   )
)</f>
        <v>0</v>
      </c>
      <c r="M17" s="201" cm="1">
        <f t="array" ref="M17">_xlfn.XLOOKUP(
   $A17,
   [1]Database!$A$5:$A$20,
   _xlfn.XLOOKUP(
      M$3,
      [1]Database!$D$4:$T$4,
      [1]Database!$D$5:$T$20
   )
)</f>
        <v>0.112</v>
      </c>
      <c r="N17" s="201" cm="1">
        <f t="array" ref="N17">_xlfn.XLOOKUP(
   $A17,
   [1]Database!$A$5:$A$20,
   _xlfn.XLOOKUP(
      N$3,
      [1]Database!$D$4:$T$4,
      [1]Database!$D$5:$T$20
   )
)</f>
        <v>0.113</v>
      </c>
      <c r="O17" s="199" cm="1">
        <f t="array" ref="O17">_xlfn.XLOOKUP(
   $A17,
   [1]Database!$A$5:$A$20,
   _xlfn.XLOOKUP(
      O$3,
      [1]Database!$D$4:$T$4,
      [1]Database!$D$5:$T$20
   )
)</f>
        <v>0.88</v>
      </c>
      <c r="P17" s="199" cm="1">
        <f t="array" ref="P17">_xlfn.XLOOKUP(
   $A17,
   [1]Database!$A$5:$A$20,
   _xlfn.XLOOKUP(
      P$3,
      [1]Database!$D$4:$T$4,
      [1]Database!$D$5:$T$20
   )
)</f>
        <v>0.76</v>
      </c>
      <c r="Q17" s="215">
        <f t="shared" si="2"/>
        <v>3.8016000000000001</v>
      </c>
      <c r="R17" s="215">
        <f t="shared" si="2"/>
        <v>3.8016000000000001</v>
      </c>
      <c r="S17" s="215">
        <f t="shared" si="2"/>
        <v>2.1120000000000001</v>
      </c>
      <c r="T17" s="215">
        <f t="shared" si="2"/>
        <v>2.1120000000000001</v>
      </c>
      <c r="U17" s="215">
        <f t="shared" si="2"/>
        <v>0</v>
      </c>
    </row>
    <row r="18" spans="1:21" x14ac:dyDescent="0.45">
      <c r="A18" s="198" t="s">
        <v>531</v>
      </c>
      <c r="B18" s="198" t="s">
        <v>532</v>
      </c>
      <c r="C18" s="198" t="s">
        <v>499</v>
      </c>
      <c r="D18" s="199" cm="1">
        <f t="array" ref="D18">_xlfn.XLOOKUP(
   $A18,
   [1]Database!$A$5:$A$20,
   _xlfn.XLOOKUP(
      D$3,
      [1]Database!$D$4:$T$4,
      [1]Database!$D$5:$T$20
   )
)</f>
        <v>0.14899999999999999</v>
      </c>
      <c r="E18" s="199" cm="1">
        <f t="array" ref="E18">_xlfn.XLOOKUP(
   $A18,
   [1]Database!$A$5:$A$20,
   _xlfn.XLOOKUP(
      E$3,
      [1]Database!$D$4:$T$4,
      [1]Database!$D$5:$T$20
   )
)</f>
        <v>98250.599999999991</v>
      </c>
      <c r="F18" s="199" cm="1">
        <f t="array" ref="F18">_xlfn.XLOOKUP(
   $A18,
   [1]Database!$A$5:$A$20,
   _xlfn.XLOOKUP(
      F$3,
      [1]Database!$D$4:$T$4,
      [1]Database!$D$5:$T$20
   )
)</f>
        <v>130993.79999999999</v>
      </c>
      <c r="G18" s="199" cm="1">
        <f t="array" ref="G18">_xlfn.XLOOKUP(
   $A18,
   [1]Database!$A$5:$A$20,
   _xlfn.XLOOKUP(
      G$3,
      [1]Database!$D$4:$T$4,
      [1]Database!$D$5:$T$20
   )
)</f>
        <v>117125.4</v>
      </c>
      <c r="H18" s="201" cm="1">
        <f t="array" ref="H18">_xlfn.XLOOKUP(
   $A18,
   [1]Database!$A$5:$A$20,
   _xlfn.XLOOKUP(
      H$3,
      [1]Database!$D$4:$T$4,
      [1]Database!$D$5:$T$20
   )
)</f>
        <v>0.1</v>
      </c>
      <c r="I18" s="201" cm="1">
        <f t="array" ref="I18">_xlfn.XLOOKUP(
   $A18,
   [1]Database!$A$5:$A$20,
   _xlfn.XLOOKUP(
      I$3,
      [1]Database!$D$4:$T$4,
      [1]Database!$D$5:$T$20
   )
)</f>
        <v>0.1</v>
      </c>
      <c r="J18" s="199" cm="1">
        <f t="array" ref="J18">_xlfn.XLOOKUP(
   $A18,
   [1]Database!$A$5:$A$20,
   _xlfn.XLOOKUP(
      J$3,
      [1]Database!$D$4:$T$4,
      [1]Database!$D$5:$T$20
   )
)</f>
        <v>2.4700000000000002</v>
      </c>
      <c r="K18" s="199" cm="1">
        <f t="array" ref="K18">_xlfn.XLOOKUP(
   $A18,
   [1]Database!$A$5:$A$20,
   _xlfn.XLOOKUP(
      K$3,
      [1]Database!$D$4:$T$4,
      [1]Database!$D$5:$T$20
   )
)</f>
        <v>0</v>
      </c>
      <c r="L18" s="199" cm="1">
        <f t="array" ref="L18">_xlfn.XLOOKUP(
   $A18,
   [1]Database!$A$5:$A$20,
   _xlfn.XLOOKUP(
      L$3,
      [1]Database!$D$4:$T$4,
      [1]Database!$D$5:$T$20
   )
)</f>
        <v>0</v>
      </c>
      <c r="M18" s="201" cm="1">
        <f t="array" ref="M18">_xlfn.XLOOKUP(
   $A18,
   [1]Database!$A$5:$A$20,
   _xlfn.XLOOKUP(
      M$3,
      [1]Database!$D$4:$T$4,
      [1]Database!$D$5:$T$20
   )
)</f>
        <v>3.8899999999999997E-2</v>
      </c>
      <c r="N18" s="201" cm="1">
        <f t="array" ref="N18">_xlfn.XLOOKUP(
   $A18,
   [1]Database!$A$5:$A$20,
   _xlfn.XLOOKUP(
      N$3,
      [1]Database!$D$4:$T$4,
      [1]Database!$D$5:$T$20
   )
)</f>
        <v>3.6400000000000002E-2</v>
      </c>
      <c r="O18" s="199" cm="1">
        <f t="array" ref="O18">_xlfn.XLOOKUP(
   $A18,
   [1]Database!$A$5:$A$20,
   _xlfn.XLOOKUP(
      O$3,
      [1]Database!$D$4:$T$4,
      [1]Database!$D$5:$T$20
   )
)</f>
        <v>1.1599999999999999</v>
      </c>
      <c r="P18" s="199" cm="1">
        <f t="array" ref="P18">_xlfn.XLOOKUP(
   $A18,
   [1]Database!$A$5:$A$20,
   _xlfn.XLOOKUP(
      P$3,
      [1]Database!$D$4:$T$4,
      [1]Database!$D$5:$T$20
   )
)</f>
        <v>1</v>
      </c>
      <c r="Q18" s="215">
        <f t="shared" si="2"/>
        <v>5.0111999999999997</v>
      </c>
      <c r="R18" s="215">
        <f t="shared" si="2"/>
        <v>5.0111999999999997</v>
      </c>
      <c r="S18" s="215">
        <f t="shared" si="2"/>
        <v>2.7839999999999998</v>
      </c>
      <c r="T18" s="215">
        <f t="shared" si="2"/>
        <v>2.7839999999999998</v>
      </c>
      <c r="U18" s="215">
        <f t="shared" si="2"/>
        <v>0</v>
      </c>
    </row>
    <row r="19" spans="1:21" x14ac:dyDescent="0.45">
      <c r="A19" s="198" t="s">
        <v>486</v>
      </c>
      <c r="B19" s="198" t="s">
        <v>487</v>
      </c>
      <c r="C19" s="198" t="s">
        <v>488</v>
      </c>
      <c r="D19" s="199" cm="1">
        <f t="array" ref="D19">_xlfn.XLOOKUP(
   $A19,
   [1]Database!$A$5:$A$20,
   _xlfn.XLOOKUP(
      D$3,
      [1]Database!$D$4:$T$4,
      [1]Database!$D$5:$T$20
   )
)</f>
        <v>1744</v>
      </c>
      <c r="E19" s="199" cm="1">
        <f t="array" ref="E19">_xlfn.XLOOKUP(
   $A19,
   [1]Database!$A$5:$A$20,
   _xlfn.XLOOKUP(
      E$3,
      [1]Database!$D$4:$T$4,
      [1]Database!$D$5:$T$20
   )
)</f>
        <v>139920000</v>
      </c>
      <c r="F19" s="199" cm="1">
        <f t="array" ref="F19">_xlfn.XLOOKUP(
   $A19,
   [1]Database!$A$5:$A$20,
   _xlfn.XLOOKUP(
      F$3,
      [1]Database!$D$4:$T$4,
      [1]Database!$D$5:$T$20
   )
)</f>
        <v>827162156.94999993</v>
      </c>
      <c r="G19" s="199" cm="1">
        <f t="array" ref="G19">_xlfn.XLOOKUP(
   $A19,
   [1]Database!$A$5:$A$20,
   _xlfn.XLOOKUP(
      G$3,
      [1]Database!$D$4:$T$4,
      [1]Database!$D$5:$T$20
   )
)</f>
        <v>921734762.02499998</v>
      </c>
      <c r="H19" s="201" cm="1">
        <f t="array" ref="H19">_xlfn.XLOOKUP(
   $A19,
   [1]Database!$A$5:$A$20,
   _xlfn.XLOOKUP(
      H$3,
      [1]Database!$D$4:$T$4,
      [1]Database!$D$5:$T$20
   )
)</f>
        <v>0.1</v>
      </c>
      <c r="I19" s="201" cm="1">
        <f t="array" ref="I19">_xlfn.XLOOKUP(
   $A19,
   [1]Database!$A$5:$A$20,
   _xlfn.XLOOKUP(
      I$3,
      [1]Database!$D$4:$T$4,
      [1]Database!$D$5:$T$20
   )
)</f>
        <v>0.1</v>
      </c>
      <c r="J19" s="199" cm="1">
        <f t="array" ref="J19">_xlfn.XLOOKUP(
   $A19,
   [1]Database!$A$5:$A$20,
   _xlfn.XLOOKUP(
      J$3,
      [1]Database!$D$4:$T$4,
      [1]Database!$D$5:$T$20
   )
)</f>
        <v>3586051.86</v>
      </c>
      <c r="K19" s="199" cm="1">
        <f t="array" ref="K19">_xlfn.XLOOKUP(
   $A19,
   [1]Database!$A$5:$A$20,
   _xlfn.XLOOKUP(
      K$3,
      [1]Database!$D$4:$T$4,
      [1]Database!$D$5:$T$20
   )
)</f>
        <v>3403710.24</v>
      </c>
      <c r="L19" s="199" cm="1">
        <f t="array" ref="L19">_xlfn.XLOOKUP(
   $A19,
   [1]Database!$A$5:$A$20,
   _xlfn.XLOOKUP(
      L$3,
      [1]Database!$D$4:$T$4,
      [1]Database!$D$5:$T$20
   )
)</f>
        <v>5470248.5999999996</v>
      </c>
      <c r="M19" s="201" cm="1">
        <f t="array" ref="M19">_xlfn.XLOOKUP(
   $A19,
   [1]Database!$A$5:$A$20,
   _xlfn.XLOOKUP(
      M$3,
      [1]Database!$D$4:$T$4,
      [1]Database!$D$5:$T$20
   )
)</f>
        <v>5.8999999999999997E-2</v>
      </c>
      <c r="N19" s="201" cm="1">
        <f t="array" ref="N19">_xlfn.XLOOKUP(
   $A19,
   [1]Database!$A$5:$A$20,
   _xlfn.XLOOKUP(
      N$3,
      [1]Database!$D$4:$T$4,
      [1]Database!$D$5:$T$20
   )
)</f>
        <v>6.2E-2</v>
      </c>
      <c r="O19" s="199" cm="1">
        <f t="array" ref="O19">_xlfn.XLOOKUP(
   $A19,
   [1]Database!$A$5:$A$20,
   _xlfn.XLOOKUP(
      O$3,
      [1]Database!$D$4:$T$4,
      [1]Database!$D$5:$T$20
   )
)</f>
        <v>30390.27</v>
      </c>
      <c r="P19" s="199" cm="1">
        <f t="array" ref="P19">_xlfn.XLOOKUP(
   $A19,
   [1]Database!$A$5:$A$20,
   _xlfn.XLOOKUP(
      P$3,
      [1]Database!$D$4:$T$4,
      [1]Database!$D$5:$T$20
   )
)</f>
        <v>26369</v>
      </c>
      <c r="Q19" s="215">
        <f t="shared" si="2"/>
        <v>131285.9664</v>
      </c>
      <c r="R19" s="215">
        <f t="shared" si="2"/>
        <v>131285.9664</v>
      </c>
      <c r="S19" s="215">
        <f t="shared" si="2"/>
        <v>72936.648000000001</v>
      </c>
      <c r="T19" s="215">
        <f t="shared" si="2"/>
        <v>72936.648000000001</v>
      </c>
      <c r="U19" s="215">
        <f t="shared" si="2"/>
        <v>0</v>
      </c>
    </row>
    <row r="20" spans="1:21" x14ac:dyDescent="0.45">
      <c r="A20" s="198"/>
      <c r="B20" s="198"/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</row>
    <row r="21" spans="1:21" x14ac:dyDescent="0.45">
      <c r="A21" s="198"/>
      <c r="B21" s="198"/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</row>
    <row r="22" spans="1:21" x14ac:dyDescent="0.45">
      <c r="A22" s="198"/>
      <c r="B22" s="198"/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</row>
    <row r="23" spans="1:21" x14ac:dyDescent="0.45">
      <c r="A23" s="198"/>
      <c r="B23" s="198"/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</row>
    <row r="24" spans="1:21" x14ac:dyDescent="0.45">
      <c r="A24" s="198"/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</row>
    <row r="25" spans="1:21" x14ac:dyDescent="0.45">
      <c r="A25" s="198"/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</row>
    <row r="26" spans="1:21" x14ac:dyDescent="0.45">
      <c r="A26" s="198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/>
      <c r="O26" s="198"/>
      <c r="P26" s="198"/>
      <c r="Q26" s="198"/>
      <c r="R26" s="198"/>
      <c r="S26" s="198"/>
      <c r="T26" s="198"/>
      <c r="U26" s="198"/>
    </row>
    <row r="27" spans="1:21" x14ac:dyDescent="0.45">
      <c r="A27" s="198"/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</row>
    <row r="28" spans="1:21" x14ac:dyDescent="0.45">
      <c r="A28" s="198"/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</row>
    <row r="29" spans="1:21" x14ac:dyDescent="0.45">
      <c r="A29" s="198"/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</row>
    <row r="30" spans="1:21" x14ac:dyDescent="0.45">
      <c r="A30" s="198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</row>
    <row r="31" spans="1:21" x14ac:dyDescent="0.45">
      <c r="A31" s="198"/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</row>
    <row r="32" spans="1:21" x14ac:dyDescent="0.45">
      <c r="A32" s="198"/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</row>
    <row r="33" spans="1:21" x14ac:dyDescent="0.45">
      <c r="A33" s="198"/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</row>
    <row r="34" spans="1:21" x14ac:dyDescent="0.4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</row>
    <row r="35" spans="1:21" x14ac:dyDescent="0.45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</row>
    <row r="36" spans="1:21" x14ac:dyDescent="0.4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</row>
    <row r="37" spans="1:21" x14ac:dyDescent="0.45">
      <c r="A37" s="198"/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</row>
    <row r="38" spans="1:21" x14ac:dyDescent="0.4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</row>
  </sheetData>
  <mergeCells count="1">
    <mergeCell ref="E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F511-8ACE-4E8A-83AD-96B5B2FFDD62}">
  <dimension ref="A2:E25"/>
  <sheetViews>
    <sheetView workbookViewId="0">
      <selection activeCell="C4" sqref="C4"/>
    </sheetView>
  </sheetViews>
  <sheetFormatPr defaultRowHeight="14.25" x14ac:dyDescent="0.45"/>
  <cols>
    <col min="1" max="1" width="4.796875" bestFit="1" customWidth="1"/>
    <col min="2" max="2" width="13.06640625" customWidth="1"/>
    <col min="5" max="5" width="43.86328125" bestFit="1" customWidth="1"/>
  </cols>
  <sheetData>
    <row r="2" spans="1:5" x14ac:dyDescent="0.45">
      <c r="A2" s="221" t="s">
        <v>534</v>
      </c>
      <c r="B2" s="221" t="s">
        <v>535</v>
      </c>
      <c r="C2" s="221" t="s">
        <v>536</v>
      </c>
      <c r="D2" s="221" t="s">
        <v>537</v>
      </c>
      <c r="E2" s="221" t="s">
        <v>538</v>
      </c>
    </row>
    <row r="3" spans="1:5" x14ac:dyDescent="0.45">
      <c r="A3" s="198">
        <v>1</v>
      </c>
      <c r="B3" s="198" t="s">
        <v>539</v>
      </c>
      <c r="C3" s="202">
        <v>4072.4903750547242</v>
      </c>
      <c r="D3" s="198"/>
      <c r="E3" s="198"/>
    </row>
    <row r="4" spans="1:5" x14ac:dyDescent="0.45">
      <c r="A4" s="198">
        <f>A3+1</f>
        <v>2</v>
      </c>
      <c r="B4" s="198" t="s">
        <v>540</v>
      </c>
      <c r="C4" s="202">
        <v>4055.4142997030472</v>
      </c>
      <c r="D4" s="222">
        <f>(C3-C4)/C3</f>
        <v>4.1930302539874096E-3</v>
      </c>
      <c r="E4" s="198" t="s">
        <v>541</v>
      </c>
    </row>
    <row r="5" spans="1:5" x14ac:dyDescent="0.45">
      <c r="A5" s="198"/>
      <c r="B5" s="198"/>
      <c r="C5" s="198"/>
      <c r="D5" s="198"/>
      <c r="E5" s="198"/>
    </row>
    <row r="6" spans="1:5" x14ac:dyDescent="0.45">
      <c r="A6" s="198"/>
      <c r="B6" s="198"/>
      <c r="C6" s="198"/>
      <c r="D6" s="198"/>
      <c r="E6" s="198"/>
    </row>
    <row r="7" spans="1:5" x14ac:dyDescent="0.45">
      <c r="A7" s="198"/>
      <c r="B7" s="198"/>
      <c r="C7" s="198"/>
      <c r="D7" s="198"/>
      <c r="E7" s="198"/>
    </row>
    <row r="8" spans="1:5" x14ac:dyDescent="0.45">
      <c r="A8" s="198"/>
      <c r="B8" s="198"/>
      <c r="C8" s="198"/>
      <c r="D8" s="198"/>
      <c r="E8" s="198"/>
    </row>
    <row r="9" spans="1:5" x14ac:dyDescent="0.45">
      <c r="A9" s="198"/>
      <c r="B9" s="198"/>
      <c r="C9" s="198"/>
      <c r="D9" s="198"/>
      <c r="E9" s="198"/>
    </row>
    <row r="10" spans="1:5" x14ac:dyDescent="0.45">
      <c r="A10" s="198"/>
      <c r="B10" s="198"/>
      <c r="C10" s="198"/>
      <c r="D10" s="198"/>
      <c r="E10" s="198"/>
    </row>
    <row r="11" spans="1:5" x14ac:dyDescent="0.45">
      <c r="A11" s="198"/>
      <c r="B11" s="198"/>
      <c r="C11" s="198"/>
      <c r="D11" s="198"/>
      <c r="E11" s="198"/>
    </row>
    <row r="12" spans="1:5" x14ac:dyDescent="0.45">
      <c r="A12" s="198"/>
      <c r="B12" s="198"/>
      <c r="C12" s="198"/>
      <c r="D12" s="198"/>
      <c r="E12" s="198"/>
    </row>
    <row r="13" spans="1:5" x14ac:dyDescent="0.45">
      <c r="A13" s="198"/>
      <c r="B13" s="198"/>
      <c r="C13" s="198"/>
      <c r="D13" s="198"/>
      <c r="E13" s="198"/>
    </row>
    <row r="14" spans="1:5" x14ac:dyDescent="0.45">
      <c r="A14" s="198"/>
      <c r="B14" s="198"/>
      <c r="C14" s="198"/>
      <c r="D14" s="198"/>
      <c r="E14" s="198"/>
    </row>
    <row r="15" spans="1:5" x14ac:dyDescent="0.45">
      <c r="A15" s="198"/>
      <c r="B15" s="198"/>
      <c r="C15" s="198"/>
      <c r="D15" s="198"/>
      <c r="E15" s="198"/>
    </row>
    <row r="16" spans="1:5" x14ac:dyDescent="0.45">
      <c r="A16" s="198"/>
      <c r="B16" s="198"/>
      <c r="C16" s="198"/>
      <c r="D16" s="198"/>
      <c r="E16" s="198"/>
    </row>
    <row r="17" spans="1:5" x14ac:dyDescent="0.45">
      <c r="A17" s="198"/>
      <c r="B17" s="198"/>
      <c r="C17" s="198"/>
      <c r="D17" s="198"/>
      <c r="E17" s="198"/>
    </row>
    <row r="18" spans="1:5" x14ac:dyDescent="0.45">
      <c r="A18" s="198"/>
      <c r="B18" s="198"/>
      <c r="C18" s="198"/>
      <c r="D18" s="198"/>
      <c r="E18" s="198"/>
    </row>
    <row r="19" spans="1:5" x14ac:dyDescent="0.45">
      <c r="A19" s="198"/>
      <c r="B19" s="198"/>
      <c r="C19" s="198"/>
      <c r="D19" s="198"/>
      <c r="E19" s="198"/>
    </row>
    <row r="20" spans="1:5" x14ac:dyDescent="0.45">
      <c r="A20" s="198"/>
      <c r="B20" s="198"/>
      <c r="C20" s="198"/>
      <c r="D20" s="198"/>
      <c r="E20" s="198"/>
    </row>
    <row r="21" spans="1:5" x14ac:dyDescent="0.45">
      <c r="A21" s="198"/>
      <c r="B21" s="198"/>
      <c r="C21" s="198"/>
      <c r="D21" s="198"/>
      <c r="E21" s="198"/>
    </row>
    <row r="22" spans="1:5" x14ac:dyDescent="0.45">
      <c r="A22" s="198"/>
      <c r="B22" s="198"/>
      <c r="C22" s="198"/>
      <c r="D22" s="198"/>
      <c r="E22" s="198"/>
    </row>
    <row r="23" spans="1:5" x14ac:dyDescent="0.45">
      <c r="A23" s="198"/>
      <c r="B23" s="198"/>
      <c r="C23" s="198"/>
      <c r="D23" s="198"/>
      <c r="E23" s="198"/>
    </row>
    <row r="24" spans="1:5" x14ac:dyDescent="0.45">
      <c r="A24" s="198"/>
      <c r="B24" s="198"/>
      <c r="C24" s="198"/>
      <c r="D24" s="198"/>
      <c r="E24" s="198"/>
    </row>
    <row r="25" spans="1:5" x14ac:dyDescent="0.45">
      <c r="A25" s="198"/>
      <c r="B25" s="198"/>
      <c r="C25" s="198"/>
      <c r="D25" s="198"/>
      <c r="E25" s="1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summary</vt:lpstr>
      <vt:lpstr>input</vt:lpstr>
      <vt:lpstr>material</vt:lpstr>
      <vt:lpstr>conversion</vt:lpstr>
      <vt:lpstr>backup</vt:lpstr>
      <vt:lpstr>rational_sheet</vt:lpstr>
      <vt:lpstr>Database</vt:lpstr>
      <vt:lpstr>log</vt:lpstr>
      <vt:lpstr>Ancillary</vt:lpstr>
      <vt:lpstr>Area_EBM</vt:lpstr>
      <vt:lpstr>Database</vt:lpstr>
      <vt:lpstr>Dep_Sch_Others</vt:lpstr>
      <vt:lpstr>Depreciation_Schedule</vt:lpstr>
      <vt:lpstr>Interest_Sch_Others</vt:lpstr>
      <vt:lpstr>Interest_Schedule</vt:lpstr>
      <vt:lpstr>Machine_details</vt:lpstr>
      <vt:lpstr>Machines</vt:lpstr>
      <vt:lpstr>SKU_Data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Mishra</dc:creator>
  <cp:lastModifiedBy>Naman Mishra</cp:lastModifiedBy>
  <dcterms:created xsi:type="dcterms:W3CDTF">2025-10-29T10:07:36Z</dcterms:created>
  <dcterms:modified xsi:type="dcterms:W3CDTF">2025-12-18T13:19:38Z</dcterms:modified>
</cp:coreProperties>
</file>