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17271C26-1A56-034B-B1C9-3CAB23D1A88C}" xr6:coauthVersionLast="43" xr6:coauthVersionMax="43" xr10:uidLastSave="{00000000-0000-0000-0000-000000000000}"/>
  <bookViews>
    <workbookView xWindow="14020" yWindow="-20020" windowWidth="25600" windowHeight="20020" firstSheet="9" activeTab="21"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CXCA!$A$11:$H$41</definedName>
    <definedName name="_xlnm._FilterDatabase" localSheetId="4" hidden="1">'Epi Cascade I'!$A$11:$M$3947</definedName>
    <definedName name="_xlnm._FilterDatabase" localSheetId="5" hidden="1">'Epi Cascade II'!$A$11:$E$155</definedName>
    <definedName name="_xlnm._FilterDatabase" localSheetId="6" hidden="1">'Epi PMTCT'!$A$11:$H$17</definedName>
    <definedName name="_xlnm._FilterDatabase" localSheetId="14" hidden="1">HTS!$A$11:$CD$3619</definedName>
    <definedName name="_xlnm._FilterDatabase" localSheetId="17" hidden="1">KP!$A$11:$T$77</definedName>
    <definedName name="_xlnm._FilterDatabase" localSheetId="16" hidden="1">OVC!$A$11:$L$1979</definedName>
    <definedName name="_xlnm._FilterDatabase" localSheetId="9" hidden="1">PMTCT_EID!$A$11:$F$17</definedName>
    <definedName name="_xlnm._FilterDatabase" localSheetId="8" hidden="1">PMTCT_STAT_ART!$A$11:$S$56</definedName>
    <definedName name="_xlnm._FilterDatabase" localSheetId="18" hidden="1">PP!$A$11:$H$119</definedName>
    <definedName name="_xlnm._FilterDatabase" localSheetId="19" hidden="1">PrEP!$A$11:$H$107</definedName>
    <definedName name="_xlnm._FilterDatabase" localSheetId="7" hidden="1">Prioritization!$A$11:$L$175</definedName>
    <definedName name="_xlnm._FilterDatabase" localSheetId="21" hidden="1">'SNU x IM'!$A$11:$AM$13</definedName>
    <definedName name="_xlnm._FilterDatabase" localSheetId="3" hidden="1">Spectrum!#REF!</definedName>
    <definedName name="_xlnm._FilterDatabase" localSheetId="10" hidden="1">TB_STAT_ART!$A$11:$R$3947</definedName>
    <definedName name="_xlnm._FilterDatabase" localSheetId="15" hidden="1">TB_TX_PREV!$A$11:$Y$35</definedName>
    <definedName name="_xlnm._FilterDatabase" localSheetId="12" hidden="1">TX!$A$11:$AB$3947</definedName>
    <definedName name="_xlnm._FilterDatabase" localSheetId="11" hidden="1">VMMC!$A$11:$R$56</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Prioritization!$A$12:INDEX(Prioritization!$A:$A,COUNTA(Prioritization!$A:$A)+5-COUNTA(Prioritization!$A$1:$A$11))</definedName>
    <definedName name="PSNUs">Prioritization!$A$12:INDEX(Prioritization!$A:$A,COUNTA(Prioritization!$A:$A)+5-COUNTA(Prioritization!$A$1:$A$11))</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 i="5" l="1"/>
  <c r="F2" i="3" l="1"/>
  <c r="G12" i="33" l="1"/>
  <c r="E2" i="3" l="1"/>
  <c r="D2" i="3" s="1"/>
  <c r="L12" i="24" l="1"/>
  <c r="K12" i="24"/>
  <c r="I12" i="24"/>
  <c r="H12" i="24"/>
  <c r="G12" i="24"/>
  <c r="G2" i="3"/>
  <c r="H2" i="3" s="1"/>
  <c r="H12" i="33" l="1"/>
  <c r="I12" i="33" s="1"/>
  <c r="F12" i="10"/>
  <c r="F12" i="8"/>
  <c r="F12" i="7"/>
  <c r="E12" i="16"/>
  <c r="E12" i="15"/>
  <c r="C12" i="13"/>
  <c r="E12" i="14"/>
  <c r="F12" i="9"/>
  <c r="F12" i="12"/>
  <c r="F12" i="6"/>
  <c r="BJ12" i="12" l="1"/>
  <c r="BG12" i="12"/>
  <c r="F12" i="34" l="1"/>
  <c r="E12" i="34"/>
  <c r="D4" i="34"/>
  <c r="F4" i="34"/>
  <c r="E4" i="34"/>
  <c r="C4" i="34"/>
  <c r="B4" i="34"/>
  <c r="S4" i="12" l="1"/>
  <c r="T4" i="12"/>
  <c r="P4" i="9" l="1"/>
  <c r="O4" i="9"/>
  <c r="J4" i="9"/>
  <c r="I4" i="9"/>
  <c r="H4" i="9"/>
  <c r="G4" i="9"/>
  <c r="I12" i="7" l="1"/>
  <c r="W12" i="7"/>
  <c r="I4" i="13" l="1"/>
  <c r="B4" i="25"/>
  <c r="K12" i="14"/>
  <c r="R15" i="2"/>
  <c r="Q15" i="2"/>
  <c r="F12" i="24" l="1"/>
  <c r="F12" i="5"/>
  <c r="D12" i="9"/>
  <c r="CB12" i="12"/>
  <c r="CC12" i="12" s="1"/>
  <c r="CD12" i="12" s="1"/>
  <c r="M12" i="9" l="1"/>
  <c r="N12" i="9" s="1"/>
  <c r="S12" i="9" s="1"/>
  <c r="T12" i="9" s="1"/>
  <c r="Y12" i="12"/>
  <c r="Z12" i="12"/>
  <c r="AB12" i="12"/>
  <c r="D12" i="6"/>
  <c r="M18" i="2"/>
  <c r="M19" i="2"/>
  <c r="M20" i="2"/>
  <c r="M21" i="2"/>
  <c r="M22" i="2"/>
  <c r="M23" i="2"/>
  <c r="M24" i="2"/>
  <c r="M25" i="2"/>
  <c r="M26" i="2"/>
  <c r="M27" i="2"/>
  <c r="M28" i="2"/>
  <c r="M29" i="2"/>
  <c r="M30" i="2"/>
  <c r="M31" i="2"/>
  <c r="M32" i="2"/>
  <c r="M33" i="2"/>
  <c r="M34" i="2"/>
  <c r="M35" i="2"/>
  <c r="M36" i="2"/>
  <c r="M37" i="2"/>
  <c r="M38" i="2"/>
  <c r="M39" i="2"/>
  <c r="M40" i="2"/>
  <c r="M17" i="2"/>
  <c r="P15" i="2"/>
  <c r="O15" i="2"/>
  <c r="N15" i="2"/>
  <c r="I12" i="29"/>
  <c r="E12"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2" i="29"/>
  <c r="D12" i="10"/>
  <c r="D12" i="8"/>
  <c r="D12" i="5"/>
  <c r="D12" i="12"/>
  <c r="G12" i="29" l="1"/>
  <c r="B12" i="29"/>
  <c r="D12" i="29" s="1"/>
  <c r="E4" i="29"/>
  <c r="D12" i="7"/>
  <c r="D12" i="24"/>
  <c r="F53" i="2" l="1"/>
  <c r="G48" i="2"/>
  <c r="F52" i="2"/>
  <c r="G54" i="2"/>
  <c r="G51" i="2"/>
  <c r="F50" i="2"/>
  <c r="F55" i="2"/>
  <c r="G53" i="2"/>
  <c r="G50" i="2"/>
  <c r="F49" i="2"/>
  <c r="F54" i="2"/>
  <c r="G55" i="2"/>
  <c r="G52" i="2"/>
  <c r="G49" i="2"/>
  <c r="F51" i="2"/>
  <c r="F48" i="2"/>
  <c r="J12" i="5"/>
  <c r="G35" i="2"/>
  <c r="G34" i="2"/>
  <c r="H12" i="29"/>
  <c r="W4" i="7"/>
  <c r="L12" i="12"/>
  <c r="C4" i="29"/>
  <c r="B4" i="29"/>
  <c r="I12" i="10" l="1"/>
  <c r="J12" i="24"/>
  <c r="I48" i="2"/>
  <c r="I49" i="2"/>
  <c r="I51" i="2"/>
  <c r="H55" i="2"/>
  <c r="I50" i="2"/>
  <c r="I53" i="2"/>
  <c r="I55" i="2"/>
  <c r="H53" i="2"/>
  <c r="I54" i="2"/>
  <c r="H52" i="2"/>
  <c r="I52" i="2"/>
  <c r="H48" i="2"/>
  <c r="H51" i="2"/>
  <c r="H50" i="2"/>
  <c r="H49" i="2"/>
  <c r="H54" i="2"/>
  <c r="G40" i="2"/>
  <c r="G39" i="2"/>
  <c r="D4" i="29"/>
  <c r="L4" i="12"/>
  <c r="F12" i="29"/>
  <c r="Q12" i="10" l="1"/>
  <c r="S12" i="10" s="1"/>
  <c r="V12" i="5" s="1"/>
  <c r="J12" i="10"/>
  <c r="I4" i="10"/>
  <c r="R12" i="10"/>
  <c r="P12" i="10"/>
  <c r="P4" i="10" s="1"/>
  <c r="N12" i="12"/>
  <c r="N4" i="12" s="1"/>
  <c r="J12" i="29"/>
  <c r="Q4" i="10" l="1"/>
  <c r="R4" i="10"/>
  <c r="L12" i="29"/>
  <c r="J4" i="10"/>
  <c r="B1" i="27" l="1"/>
  <c r="B1" i="24"/>
  <c r="D12" i="20" l="1"/>
  <c r="E12" i="20" l="1"/>
  <c r="F12" i="20" s="1"/>
  <c r="J12" i="20" l="1"/>
  <c r="T12" i="5" l="1"/>
  <c r="K12" i="5" l="1"/>
  <c r="H12" i="6" s="1"/>
  <c r="L12" i="5" l="1"/>
  <c r="M12" i="5" s="1"/>
  <c r="Q12" i="5"/>
  <c r="H12" i="12" s="1"/>
  <c r="H4" i="12" s="1"/>
  <c r="I47" i="2"/>
  <c r="H47" i="2"/>
  <c r="R12" i="5" l="1"/>
  <c r="Z12" i="5"/>
  <c r="AB12" i="5" s="1"/>
  <c r="D1" i="2"/>
  <c r="CB4" i="12" l="1"/>
  <c r="CD4" i="12"/>
  <c r="CC4" i="12"/>
  <c r="I4" i="29" l="1"/>
  <c r="I4" i="7" l="1"/>
  <c r="H12" i="15" l="1"/>
  <c r="H4" i="15" s="1"/>
  <c r="K4" i="14"/>
  <c r="I12" i="14"/>
  <c r="J12" i="14" s="1"/>
  <c r="L12" i="14" l="1"/>
  <c r="I4" i="14"/>
  <c r="J4" i="14"/>
  <c r="L4" i="14" l="1"/>
  <c r="X12" i="7"/>
  <c r="X4" i="7" s="1"/>
  <c r="I12" i="8"/>
  <c r="A23" i="30"/>
  <c r="A8" i="30"/>
  <c r="I4" i="8" l="1"/>
  <c r="N12" i="8"/>
  <c r="M12" i="8"/>
  <c r="M4" i="8" s="1"/>
  <c r="D3" i="2"/>
  <c r="N4" i="8" l="1"/>
  <c r="M12" i="12"/>
  <c r="M4" i="12" s="1"/>
  <c r="F4" i="29"/>
  <c r="Q12" i="8"/>
  <c r="Q4" i="8" s="1"/>
  <c r="R12" i="8"/>
  <c r="U12" i="5" s="1"/>
  <c r="G4" i="29"/>
  <c r="O12" i="8"/>
  <c r="O4" i="8" s="1"/>
  <c r="R4" i="8" l="1"/>
  <c r="U4" i="5"/>
  <c r="H4" i="29"/>
  <c r="J4" i="29"/>
  <c r="S4" i="10" l="1"/>
  <c r="V4" i="5"/>
  <c r="L4" i="29" l="1"/>
  <c r="Q12" i="12"/>
  <c r="S1" i="2"/>
  <c r="Q4" i="12" l="1"/>
  <c r="J4" i="5"/>
  <c r="AB4" i="12" l="1"/>
  <c r="H4" i="6"/>
  <c r="AA12" i="12" l="1"/>
  <c r="BF12" i="12"/>
  <c r="BI12" i="12"/>
  <c r="BF4" i="12" l="1"/>
  <c r="BI4" i="12"/>
  <c r="M12" i="24"/>
  <c r="M4" i="9"/>
  <c r="G12" i="5" l="1"/>
  <c r="G4" i="5" s="1"/>
  <c r="G12" i="12"/>
  <c r="G4" i="12" s="1"/>
  <c r="N4" i="9"/>
  <c r="BJ4" i="12"/>
  <c r="BG4" i="12"/>
  <c r="S4" i="9" l="1"/>
  <c r="X12" i="9" l="1"/>
  <c r="X4" i="9" s="1"/>
  <c r="T4" i="9"/>
  <c r="N12" i="7"/>
  <c r="K12" i="12" s="1"/>
  <c r="M12" i="7"/>
  <c r="N4" i="7" l="1"/>
  <c r="M4" i="7"/>
  <c r="Y12" i="7"/>
  <c r="Y12" i="9"/>
  <c r="Y4" i="9" s="1"/>
  <c r="S12" i="7"/>
  <c r="S4" i="7" s="1"/>
  <c r="R12" i="7"/>
  <c r="O12" i="7"/>
  <c r="O4" i="7" s="1"/>
  <c r="K4" i="12" l="1"/>
  <c r="Z12" i="7"/>
  <c r="S12" i="5" s="1"/>
  <c r="W12" i="5" s="1"/>
  <c r="R4" i="7"/>
  <c r="Y4" i="7"/>
  <c r="I12" i="12" l="1"/>
  <c r="O12" i="12" s="1"/>
  <c r="P12" i="12" s="1"/>
  <c r="F4" i="20"/>
  <c r="D4" i="20"/>
  <c r="S4" i="5"/>
  <c r="Z4" i="7"/>
  <c r="AQ12" i="12" l="1"/>
  <c r="BO12" i="12"/>
  <c r="BP12" i="12" s="1"/>
  <c r="U12" i="12"/>
  <c r="AT12" i="12"/>
  <c r="AU12" i="12" s="1"/>
  <c r="BC12" i="12"/>
  <c r="BD12" i="12" s="1"/>
  <c r="AZ12" i="12"/>
  <c r="BA12" i="12" s="1"/>
  <c r="BL12" i="12"/>
  <c r="BM12" i="12" s="1"/>
  <c r="AW12" i="12"/>
  <c r="AX12" i="12" s="1"/>
  <c r="E4" i="20"/>
  <c r="V12" i="12" l="1"/>
  <c r="AC12" i="12"/>
  <c r="AR12" i="12"/>
  <c r="W12" i="12"/>
  <c r="AD12" i="12" s="1"/>
  <c r="W4" i="12"/>
  <c r="J4" i="20"/>
  <c r="G38" i="2"/>
  <c r="I4" i="12"/>
  <c r="Q4" i="5"/>
  <c r="AD4" i="12" l="1"/>
  <c r="AN12" i="12"/>
  <c r="BR12" i="12" s="1"/>
  <c r="X12" i="12"/>
  <c r="X4" i="12" s="1"/>
  <c r="AO12" i="12"/>
  <c r="K12" i="9"/>
  <c r="L12" i="9" s="1"/>
  <c r="T4" i="5"/>
  <c r="P4" i="12"/>
  <c r="Z4" i="12"/>
  <c r="AA4" i="12"/>
  <c r="Y4" i="12"/>
  <c r="O4" i="12"/>
  <c r="BS12" i="12" l="1"/>
  <c r="BT12" i="12"/>
  <c r="BU12" i="12"/>
  <c r="BU4" i="12" s="1"/>
  <c r="M4" i="5"/>
  <c r="L4" i="5"/>
  <c r="G33" i="2"/>
  <c r="Z4" i="5"/>
  <c r="K4" i="5"/>
  <c r="W4" i="5"/>
  <c r="R4" i="5"/>
  <c r="K4" i="9"/>
  <c r="L4" i="9"/>
  <c r="AN4" i="12"/>
  <c r="BV12" i="12" l="1"/>
  <c r="BX12" i="12"/>
  <c r="BX4" i="12" s="1"/>
  <c r="L6" i="2"/>
  <c r="I4" i="5"/>
  <c r="BS4" i="12"/>
  <c r="AB4" i="5"/>
  <c r="U4" i="12"/>
  <c r="BM4" i="12"/>
  <c r="BL4" i="12"/>
  <c r="AX4" i="12"/>
  <c r="AW4" i="12"/>
  <c r="BA4" i="12"/>
  <c r="AZ4" i="12"/>
  <c r="AU4" i="12"/>
  <c r="AT4" i="12"/>
  <c r="AR4" i="12"/>
  <c r="AQ4" i="12"/>
  <c r="BD4" i="12"/>
  <c r="BC4" i="12"/>
  <c r="BP4" i="12"/>
  <c r="BO4" i="12"/>
  <c r="Q12" i="9"/>
  <c r="Q4" i="9" s="1"/>
  <c r="AC4" i="12"/>
  <c r="BR4" i="12" l="1"/>
  <c r="V12" i="9"/>
  <c r="V4" i="9" s="1"/>
  <c r="BT4" i="12"/>
  <c r="R12" i="9"/>
  <c r="R4" i="9" s="1"/>
  <c r="AO4" i="12"/>
  <c r="V4" i="12"/>
  <c r="W12" i="9" l="1"/>
  <c r="W4" i="9" s="1"/>
  <c r="BV4" i="12"/>
  <c r="I4" i="24" l="1"/>
  <c r="L4" i="24"/>
  <c r="K4" i="24"/>
  <c r="H4" i="24"/>
  <c r="H6" i="2" l="1"/>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1"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<sst xmlns="http://schemas.openxmlformats.org/spreadsheetml/2006/main" count="2197" uniqueCount="765">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</sst>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4">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77">
  <autoFilter ref="D1:U2" xr:uid="{578B5FDE-B6DD-3F4A-8D9A-44C8EC9FDF92}"/>
  <tableColumns count="18">
    <tableColumn id="1" xr3:uid="{D5B834F7-F797-024E-A36D-C2891B7448BE}" name="ID" dataDxfId="76">
      <calculatedColumnFormula>"("&amp;Table1[[#This Row],[psnuuid]]&amp;")|"&amp;IF($Q2="&lt;1","&lt;01",IF($Q2="1-4","01-04",IF($Q2="5-9","05-09",$Q2)))&amp;"|"&amp;SUBSTITUTE(SUBSTITUTE($S2,"Males","Male"),"Females","Female")&amp;"|"&amp;$E2</calculatedColumnFormula>
    </tableColumn>
    <tableColumn id="3" xr3:uid="{F26F7C40-6EB4-CE41-AD48-00BB960CA799}" name="indicatorCode" dataDxfId="75">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74">
      <calculatedColumnFormula>IF(Table1[[#This Row],[dataelementuid]] = "lJtpR5byqps",Table1[[#This Row],[value]],ROUND(Table1[[#This Row],[value]],0))</calculatedColumnFormula>
    </tableColumn>
    <tableColumn id="18" xr3:uid="{B9132A1B-97AD-0E46-AEA6-15A211F797AD}" name="PSNU" dataDxfId="73">
      <calculatedColumnFormula>TRIM($I2)&amp;" ("&amp;TRIM($J2)&amp;")"</calculatedColumnFormula>
    </tableColumn>
    <tableColumn id="2" xr3:uid="{1437FF71-A69C-4B44-ACCE-543F1FD2AB2F}" name="PSNUCheck" dataDxfId="72">
      <calculatedColumnFormula>IFERROR(MATCH($G2,'Epi Cascade I'!$A:$A,0),"!!")</calculatedColumnFormula>
    </tableColumn>
    <tableColumn id="4" xr3:uid="{990CF814-8272-9E44-83E7-7E2C671A6E09}" name="psnu2" dataDxfId="71"/>
    <tableColumn id="5" xr3:uid="{0B7FB97D-4997-0645-A987-E288213FA7F7}" name="psnuuid" dataDxfId="70"/>
    <tableColumn id="6" xr3:uid="{D9E7267F-D64A-6E4C-8D0F-4CBDF2A30AA2}" name="dataelement" dataDxfId="69"/>
    <tableColumn id="7" xr3:uid="{CAB10382-6FED-604E-8741-F6C58A466B47}" name="dataelementuid" dataDxfId="68"/>
    <tableColumn id="8" xr3:uid="{376B91EF-0126-E942-BFCE-478D42867E7C}" name="category_1" dataDxfId="67"/>
    <tableColumn id="9" xr3:uid="{A9396B00-2106-9544-83D2-D065041286C9}" name="categoryOption_uid_1" dataDxfId="66"/>
    <tableColumn id="10" xr3:uid="{2685772B-D52A-B34D-8924-A1B3E9DDB878}" name="category_2" dataDxfId="65"/>
    <tableColumn id="11" xr3:uid="{3FBD3D23-06D5-7C4B-B356-9D2118EDDE87}" name="categoryuid_2" dataDxfId="64"/>
    <tableColumn id="12" xr3:uid="{E83FBDCF-3428-5540-8DA9-C4B77145A5AA}" name="categoryOption_name_1" dataDxfId="63"/>
    <tableColumn id="13" xr3:uid="{2865BBC3-183B-4F47-AB60-5722151E20BB}" name="categoryOption_uid_1.1" dataDxfId="62"/>
    <tableColumn id="14" xr3:uid="{4D2AD946-F781-C74A-A810-B0ED5D03018A}" name="categoryOption_name_2" dataDxfId="61"/>
    <tableColumn id="15" xr3:uid="{3FF75EE4-532B-D746-8FB7-17B0CF763C06}" name="categoryOption_uid_2" dataDxfId="60"/>
    <tableColumn id="16" xr3:uid="{2D07C4A3-88EF-8843-A73E-5CBB140858A9}" name="value" dataDxfId="5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B25" sqref="B25"/>
    </sheetView>
  </sheetViews>
  <sheetFormatPr baseColWidth="10" defaultRowHeight="16"/>
  <cols>
    <col min="1" max="1" width="4.83203125" customWidth="1"/>
    <col min="13" max="13" width="7.5" customWidth="1"/>
  </cols>
  <sheetData>
    <row r="2" spans="2:18" ht="47">
      <c r="B2" s="104" t="s">
        <v>42</v>
      </c>
      <c r="M2" s="319" t="s">
        <v>529</v>
      </c>
      <c r="N2" s="320"/>
      <c r="O2" s="320"/>
      <c r="P2" s="320"/>
      <c r="Q2" s="320"/>
      <c r="R2" s="321"/>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Shhhhhh…. I'm busy doing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25" t="s">
        <v>141</v>
      </c>
      <c r="B1" s="325"/>
      <c r="C1" s="263"/>
      <c r="D1" s="264" t="str">
        <f>"Hello, "&amp;Home!$B$20&amp;" Team"</f>
        <v>Hello, Mozambique Team</v>
      </c>
      <c r="E1" s="263"/>
      <c r="F1" s="263"/>
      <c r="G1" s="263"/>
      <c r="H1" s="263"/>
      <c r="I1" s="263"/>
      <c r="J1" s="263"/>
      <c r="K1" s="263"/>
      <c r="L1" s="263"/>
      <c r="M1" s="263"/>
      <c r="N1" s="263"/>
      <c r="O1" s="263"/>
      <c r="P1" s="263"/>
      <c r="Q1" s="263"/>
      <c r="R1" s="263"/>
      <c r="S1" s="265" t="str">
        <f ca="1">TEXT(TODAY(),"ddd, mmm dd")</f>
        <v>Sun, Jul 28</v>
      </c>
      <c r="T1" s="263"/>
    </row>
    <row r="2" spans="1:20" customFormat="1" ht="21">
      <c r="A2" s="329" t="s">
        <v>152</v>
      </c>
      <c r="B2" s="329"/>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This too shall pass.</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22" t="e">
        <f>SUM('Epi Cascade I'!$L:$L)/SUM('Epi Cascade I'!$I:$I)</f>
        <v>#DIV/0!</v>
      </c>
      <c r="E6" s="323"/>
      <c r="F6" s="324"/>
      <c r="G6" s="263"/>
      <c r="H6" s="330">
        <f>SUM('Epi Cascade I'!$L:$L)/2</f>
        <v>0</v>
      </c>
      <c r="I6" s="331"/>
      <c r="J6" s="332"/>
      <c r="K6" s="263"/>
      <c r="L6" s="330">
        <f>SUM(TX!$K:$K)/2</f>
        <v>0</v>
      </c>
      <c r="M6" s="331"/>
      <c r="N6" s="331"/>
      <c r="O6" s="332"/>
      <c r="P6" s="263"/>
      <c r="Q6" s="322" t="e">
        <f>SUM('Epi Cascade I'!$I:$I)/SUM('Epi Cascade I'!$H:$H)</f>
        <v>#DIV/0!</v>
      </c>
      <c r="R6" s="323"/>
      <c r="S6" s="324"/>
      <c r="T6" s="263"/>
    </row>
    <row r="7" spans="1:20" customFormat="1" ht="20" customHeight="1">
      <c r="A7" s="253">
        <v>3</v>
      </c>
      <c r="B7" s="254" t="s">
        <v>485</v>
      </c>
      <c r="C7" s="263"/>
      <c r="D7" s="322"/>
      <c r="E7" s="323"/>
      <c r="F7" s="324"/>
      <c r="G7" s="263"/>
      <c r="H7" s="330"/>
      <c r="I7" s="331"/>
      <c r="J7" s="332"/>
      <c r="K7" s="263"/>
      <c r="L7" s="330"/>
      <c r="M7" s="331"/>
      <c r="N7" s="331"/>
      <c r="O7" s="332"/>
      <c r="P7" s="263"/>
      <c r="Q7" s="322"/>
      <c r="R7" s="323"/>
      <c r="S7" s="324"/>
      <c r="T7" s="263"/>
    </row>
    <row r="8" spans="1:20" customFormat="1" ht="20" customHeight="1">
      <c r="A8" s="253">
        <v>4</v>
      </c>
      <c r="B8" s="254" t="s">
        <v>486</v>
      </c>
      <c r="C8" s="263"/>
      <c r="D8" s="322"/>
      <c r="E8" s="323"/>
      <c r="F8" s="324"/>
      <c r="G8" s="263"/>
      <c r="H8" s="330"/>
      <c r="I8" s="331"/>
      <c r="J8" s="332"/>
      <c r="K8" s="263"/>
      <c r="L8" s="330"/>
      <c r="M8" s="331"/>
      <c r="N8" s="331"/>
      <c r="O8" s="332"/>
      <c r="P8" s="263"/>
      <c r="Q8" s="322"/>
      <c r="R8" s="323"/>
      <c r="S8" s="324"/>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33" t="s">
        <v>271</v>
      </c>
      <c r="L12" s="333"/>
      <c r="M12" s="333"/>
      <c r="N12" s="333"/>
      <c r="O12" s="333"/>
      <c r="P12" s="333"/>
      <c r="Q12" s="333"/>
      <c r="R12" s="333"/>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26" t="s">
        <v>150</v>
      </c>
      <c r="E29" s="327"/>
      <c r="F29" s="327"/>
      <c r="G29" s="327"/>
      <c r="H29" s="328"/>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38" t="s">
        <v>493</v>
      </c>
      <c r="G30" s="338"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38"/>
      <c r="G31" s="338"/>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37" t="s">
        <v>598</v>
      </c>
      <c r="F44" s="337"/>
      <c r="G44" s="337"/>
      <c r="H44" s="337"/>
      <c r="I44" s="337"/>
      <c r="J44" s="216"/>
      <c r="K44" s="279"/>
      <c r="L44" s="263"/>
      <c r="M44" s="263"/>
      <c r="N44" s="263"/>
      <c r="O44" s="263"/>
      <c r="P44" s="263"/>
      <c r="Q44" s="263"/>
      <c r="R44" s="263"/>
      <c r="S44" s="263"/>
      <c r="T44" s="263"/>
    </row>
    <row r="45" spans="1:20" customFormat="1" ht="25" customHeight="1">
      <c r="A45" s="57"/>
      <c r="B45" s="58"/>
      <c r="C45" s="263"/>
      <c r="D45" s="67"/>
      <c r="E45" s="70"/>
      <c r="F45" s="334" t="s">
        <v>275</v>
      </c>
      <c r="G45" s="335"/>
      <c r="H45" s="336" t="s">
        <v>276</v>
      </c>
      <c r="I45" s="336"/>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58" priority="9">
      <formula>MOD(ROW(),2)=0</formula>
    </cfRule>
  </conditionalFormatting>
  <conditionalFormatting sqref="Q17:Q40">
    <cfRule type="expression" dxfId="57" priority="7">
      <formula>MOD(ROW(),2)=0</formula>
    </cfRule>
  </conditionalFormatting>
  <conditionalFormatting sqref="R17:R40">
    <cfRule type="expression" dxfId="56" priority="5">
      <formula>MOD(ROW(),2)=0</formula>
    </cfRule>
  </conditionalFormatting>
  <conditionalFormatting sqref="F47:I55">
    <cfRule type="cellIs" dxfId="55" priority="1" operator="greaterThanOrEqual">
      <formula>0.9</formula>
    </cfRule>
    <cfRule type="cellIs" dxfId="54" priority="2" operator="greaterThanOrEqual">
      <formula>0.8</formula>
    </cfRule>
    <cfRule type="cellIs" dxfId="53" priority="3" operator="greaterThanOrEqual">
      <formula>0.7</formula>
    </cfRule>
    <cfRule type="cellIs" dxfId="52"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39" t="s">
        <v>613</v>
      </c>
    </row>
    <row r="8" spans="2:21">
      <c r="B8" s="339"/>
    </row>
    <row r="9" spans="2:21">
      <c r="B9" s="339"/>
    </row>
    <row r="10" spans="2:21">
      <c r="B10" s="339"/>
    </row>
    <row r="11" spans="2:21">
      <c r="B11" s="339"/>
    </row>
    <row r="12" spans="2:21">
      <c r="B12" s="339"/>
    </row>
    <row r="13" spans="2:21">
      <c r="B13" s="339"/>
    </row>
    <row r="14" spans="2:21">
      <c r="B14" s="339"/>
    </row>
    <row r="15" spans="2:21">
      <c r="B15" s="339"/>
    </row>
    <row r="16" spans="2:21">
      <c r="B16" s="339"/>
    </row>
    <row r="17" spans="2:2">
      <c r="B17" s="339"/>
    </row>
    <row r="18" spans="2:2">
      <c r="B18" s="339"/>
    </row>
    <row r="19" spans="2:2">
      <c r="B19" s="339"/>
    </row>
    <row r="20" spans="2:2">
      <c r="B20" s="339"/>
    </row>
    <row r="21" spans="2:2">
      <c r="B21" s="339"/>
    </row>
    <row r="22" spans="2:2">
      <c r="B22" s="339"/>
    </row>
    <row r="23" spans="2:2">
      <c r="B23" s="339"/>
    </row>
    <row r="24" spans="2:2">
      <c r="B24" s="339"/>
    </row>
    <row r="25" spans="2:2">
      <c r="B25" s="339"/>
    </row>
    <row r="26" spans="2:2">
      <c r="B26" s="339"/>
    </row>
    <row r="27" spans="2:2">
      <c r="B27" s="339"/>
    </row>
    <row r="28" spans="2:2">
      <c r="B28" s="339"/>
    </row>
    <row r="29" spans="2:2">
      <c r="B29" s="339"/>
    </row>
    <row r="30" spans="2:2">
      <c r="B30" s="339"/>
    </row>
    <row r="31" spans="2:2">
      <c r="B31" s="339"/>
    </row>
    <row r="32" spans="2:2">
      <c r="B32" s="339"/>
    </row>
    <row r="33" spans="2:2">
      <c r="B33" s="339"/>
    </row>
    <row r="34" spans="2:2">
      <c r="B34" s="339"/>
    </row>
  </sheetData>
  <mergeCells count="1">
    <mergeCell ref="B7:B34"/>
  </mergeCells>
  <conditionalFormatting sqref="I1:I1048576">
    <cfRule type="expression" dxfId="51"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2"/>
  <sheetViews>
    <sheetView zoomScaleNormal="100" workbookViewId="0">
      <pane xSplit="6" ySplit="11" topLeftCell="G12" activePane="bottomRight" state="frozen"/>
      <selection activeCell="A2" sqref="A2"/>
      <selection pane="topRight" activeCell="A2" sqref="A2"/>
      <selection pane="bottomLeft" activeCell="A2" sqref="A2"/>
      <selection pane="bottomRight" activeCell="C5" sqref="C5:G7"/>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40" t="s">
        <v>491</v>
      </c>
      <c r="B3" s="341"/>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SUBTOTAL(109,H$12:INDEX(H:H,COUNTA($A:$A)+5-COUNTA($A$1:$A$11)))</f>
        <v>0</v>
      </c>
      <c r="I4" s="41">
        <f>SUBTOTAL(109,I$12:INDEX(I:I,COUNTA($A:$A)+5-COUNTA($A$1:$A$11)))</f>
        <v>0</v>
      </c>
      <c r="J4" s="123"/>
      <c r="K4" s="135">
        <f>SUBTOTAL(101,K$12:INDEX(K:K,COUNTA($A:$A)+5-COUNTA($A$1:$A$11)))</f>
        <v>0</v>
      </c>
      <c r="L4" s="41">
        <f>SUBTOTAL(109,L$12:INDEX(L:L,COUNTA($A:$A)+5-COUNTA($A$1:$A$11)))</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A11" s="5" t="s">
        <v>6</v>
      </c>
      <c r="B11" s="5" t="s">
        <v>53</v>
      </c>
      <c r="C11" s="5" t="s">
        <v>7</v>
      </c>
      <c r="D11" s="5" t="s">
        <v>244</v>
      </c>
      <c r="E11" s="97" t="s">
        <v>258</v>
      </c>
      <c r="F11" s="74" t="s">
        <v>259</v>
      </c>
      <c r="G11" s="74" t="s">
        <v>603</v>
      </c>
      <c r="H11" s="24" t="s">
        <v>250</v>
      </c>
      <c r="I11" s="24" t="s">
        <v>251</v>
      </c>
      <c r="J11" s="124" t="s">
        <v>469</v>
      </c>
      <c r="K11" s="124" t="s">
        <v>252</v>
      </c>
      <c r="L11" s="24" t="s">
        <v>253</v>
      </c>
      <c r="M11" s="131" t="s">
        <v>330</v>
      </c>
    </row>
    <row r="12" spans="1:13">
      <c r="A12" s="3"/>
      <c r="B12" s="3"/>
      <c r="C12" s="3"/>
      <c r="D12" s="37" t="str">
        <f>A12&amp;"|"&amp;B12&amp;"|"&amp;C12</f>
        <v>||</v>
      </c>
      <c r="E12" s="37"/>
      <c r="F12" s="36" t="str">
        <f>A12&amp;"|"&amp;E12&amp;"|"&amp;C12</f>
        <v>||</v>
      </c>
      <c r="G12" s="36" t="str">
        <f>IFERROR(MATCH($A12,Spectrum!$G:$G,0),"!!")</f>
        <v>!!</v>
      </c>
      <c r="H12" s="20">
        <f>SUMIFS(Spectrum!$F:$F,Spectrum!$D:$D,RIGHT($A12,13)&amp;"|"&amp;$B12&amp;"|"&amp;$C12&amp;"|"&amp;H$11)</f>
        <v>0</v>
      </c>
      <c r="I12" s="20">
        <f>SUMIFS(Spectrum!$F:$F,Spectrum!$D:$D,RIGHT($A12,13)&amp;"|"&amp;$B12&amp;"|"&amp;$C12&amp;"|"&amp;I$11)</f>
        <v>0</v>
      </c>
      <c r="J12" s="125">
        <f>IFERROR($I12/SUMIF($F:$F,$F12,$I:$I),0)</f>
        <v>0</v>
      </c>
      <c r="K12" s="20">
        <f>SUMIFS(Spectrum!$F:$F,Spectrum!$D:$D,RIGHT($A12,13)&amp;"|"&amp;$B12&amp;"|"&amp;$C12&amp;"|"&amp;K$11)</f>
        <v>0</v>
      </c>
      <c r="L12" s="20">
        <f>SUMIFS(Spectrum!$F:$F,Spectrum!$D:$D,RIGHT($A12,13)&amp;"|"&amp;$B12&amp;"|"&amp;$C12&amp;"|"&amp;L$11)</f>
        <v>0</v>
      </c>
      <c r="M12" s="125">
        <f t="shared" ref="M12" si="0">IFERROR($L12/$I12,0)</f>
        <v>0</v>
      </c>
    </row>
  </sheetData>
  <mergeCells count="1">
    <mergeCell ref="A3:B3"/>
  </mergeCells>
  <conditionalFormatting sqref="A1:A4 A11:A1048576">
    <cfRule type="expression" dxfId="50" priority="1">
      <formula>$G1="!!"</formula>
    </cfRule>
  </conditionalFormatting>
  <conditionalFormatting sqref="J4 M4">
    <cfRule type="expression" dxfId="49" priority="72">
      <formula>COUNTA($A:$A)+5-COUNTA($A$1:$A$11)-COUNTBLANK(J$1:J$11)&lt;&gt;COUNTA(J:J)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67"/>
  <sheetViews>
    <sheetView zoomScaleNormal="100" workbookViewId="0">
      <pane xSplit="3" ySplit="11" topLeftCell="D12" activePane="bottomRight" state="frozen"/>
      <selection activeCell="B5" sqref="B5"/>
      <selection pane="topRight" activeCell="B5" sqref="B5"/>
      <selection pane="bottomLeft" activeCell="B5" sqref="B5"/>
      <selection pane="bottomRight" activeCell="C5" sqref="C5"/>
    </sheetView>
  </sheetViews>
  <sheetFormatPr baseColWidth="10" defaultRowHeight="16"/>
  <cols>
    <col min="1" max="1" width="41.6640625" style="3" customWidth="1"/>
    <col min="2" max="2" width="9.5" style="3" customWidth="1"/>
    <col min="3" max="3" width="7" style="3" customWidth="1"/>
    <col min="4" max="5" width="10.83203125" style="38"/>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40" t="s">
        <v>491</v>
      </c>
      <c r="B3" s="341"/>
      <c r="C3" s="8"/>
      <c r="D3" s="18" t="s">
        <v>129</v>
      </c>
      <c r="E3" s="18" t="s">
        <v>131</v>
      </c>
    </row>
    <row r="4" spans="1:5">
      <c r="A4" s="4"/>
      <c r="B4" s="4"/>
      <c r="C4" s="4" t="s">
        <v>5</v>
      </c>
      <c r="D4" s="41">
        <f>SUBTOTAL(109,$D$12:INDEX(D:D,COUNTA($A:$A)+5-COUNTA($A$1:$A$11)))</f>
        <v>0</v>
      </c>
      <c r="E4" s="41">
        <f>SUBTOTAL(109,E$12:INDEX(E:E,COUNTA($A:$A)+5-COUNTA($A$1:$A$11)))</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s="5" t="s">
        <v>6</v>
      </c>
      <c r="B11" s="5" t="s">
        <v>53</v>
      </c>
      <c r="C11" s="5" t="s">
        <v>7</v>
      </c>
      <c r="D11" s="24" t="s">
        <v>471</v>
      </c>
      <c r="E11" s="24" t="s">
        <v>470</v>
      </c>
    </row>
    <row r="12" spans="1:5">
      <c r="E12"/>
    </row>
    <row r="232" spans="1:3">
      <c r="A232"/>
      <c r="B232"/>
      <c r="C232"/>
    </row>
    <row r="233" spans="1:3">
      <c r="A233"/>
      <c r="B233"/>
      <c r="C233"/>
    </row>
    <row r="234" spans="1:3">
      <c r="A234"/>
      <c r="B234"/>
      <c r="C234"/>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17"/>
  <sheetViews>
    <sheetView zoomScaleNormal="100" workbookViewId="0">
      <pane xSplit="1" ySplit="11" topLeftCell="B12" activePane="bottomRight" state="frozen"/>
      <selection activeCell="B5" sqref="B5"/>
      <selection pane="topRight" activeCell="B5" sqref="B5"/>
      <selection pane="bottomLeft" activeCell="B5" sqref="B5"/>
      <selection pane="bottomRight" activeCell="A5" sqref="A5"/>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SUBTOTAL(109,B$12:INDEX(B:B,COUNTA($A:$A)+5-COUNTA($A$1:$A$11)))</f>
        <v>0</v>
      </c>
      <c r="C4" s="41">
        <f>SUBTOTAL(109,C$12:INDEX(C:C,COUNTA($A:$A)+5-COUNTA($A$1:$A$11)))</f>
        <v>0</v>
      </c>
      <c r="D4" s="41">
        <f>SUBTOTAL(109,D$12:INDEX(D:D,COUNTA($A:$A)+5-COUNTA($A$1:$A$11)))</f>
        <v>0</v>
      </c>
      <c r="E4" s="41">
        <f>SUBTOTAL(109,E$12:INDEX(E:E,COUNTA($A:$A)+5-COUNTA($A$1:$A$11)))</f>
        <v>0</v>
      </c>
      <c r="F4" s="41">
        <f>SUBTOTAL(109,F$12:INDEX(F:F,COUNTA($A:$A)+5-COUNTA($A$1:$A$11)))</f>
        <v>0</v>
      </c>
      <c r="G4" s="41">
        <f>SUBTOTAL(109,G$12:INDEX(G:G,COUNTA($A:$A)+5-COUNTA($A$1:$A$11)))</f>
        <v>0</v>
      </c>
      <c r="H4" s="41">
        <f>SUBTOTAL(109,H$12:INDEX(H:H,COUNTA($A:$A)+5-COUNTA($A$1:$A$11)))</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s="5" t="s">
        <v>6</v>
      </c>
      <c r="B11" s="78" t="s">
        <v>472</v>
      </c>
      <c r="C11" s="78" t="s">
        <v>473</v>
      </c>
      <c r="D11" s="78" t="s">
        <v>474</v>
      </c>
      <c r="E11" s="78" t="s">
        <v>475</v>
      </c>
      <c r="F11" s="78" t="s">
        <v>476</v>
      </c>
      <c r="G11" s="78" t="s">
        <v>477</v>
      </c>
      <c r="H11" s="78" t="s">
        <v>478</v>
      </c>
    </row>
    <row r="12" spans="1:8">
      <c r="B12" s="20"/>
      <c r="C12" s="20"/>
      <c r="D12" s="20"/>
      <c r="E12" s="20"/>
      <c r="F12" s="20"/>
      <c r="G12" s="20"/>
      <c r="H12" s="20"/>
    </row>
    <row r="13" spans="1:8">
      <c r="B13" s="20"/>
      <c r="C13" s="20"/>
      <c r="D13" s="20"/>
      <c r="E13" s="20"/>
      <c r="F13" s="20"/>
      <c r="G13" s="20"/>
      <c r="H13" s="20"/>
    </row>
    <row r="14" spans="1:8">
      <c r="B14" s="20"/>
      <c r="C14" s="20"/>
      <c r="D14" s="20"/>
      <c r="E14" s="20"/>
      <c r="F14" s="20"/>
      <c r="G14" s="20"/>
      <c r="H14" s="20"/>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5"/>
  <sheetViews>
    <sheetView zoomScaleNormal="100" workbookViewId="0">
      <pane xSplit="1" ySplit="11" topLeftCell="B12" activePane="bottomRight" state="frozen"/>
      <selection activeCell="B5" sqref="B5"/>
      <selection pane="topRight" activeCell="B5" sqref="B5"/>
      <selection pane="bottomLeft" activeCell="B5" sqref="B5"/>
      <selection pane="bottomRight" activeCell="B5" sqref="B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SUBTOTAL(109,B$12:INDEX(B:B,COUNTA($A:$A)+5-COUNTA($A$1:$A$11)))</f>
        <v>0</v>
      </c>
      <c r="C4" s="286">
        <f>SUBTOTAL(109,C$12:INDEX(C:C,COUNTA($A:$A)+5-COUNTA($A$1:$A$11)))</f>
        <v>0</v>
      </c>
      <c r="D4" s="298" t="e">
        <f>SUBTOTAL(101,D$12:INDEX(D:D,COUNTA($A:$A)+5-COUNTA($A$1:$A$11)))</f>
        <v>#DIV/0!</v>
      </c>
      <c r="E4" s="293">
        <f>SUBTOTAL(109,E$12:INDEX(E:E,COUNTA($A:$A)+5-COUNTA($A$1:$A$11)))</f>
        <v>0</v>
      </c>
      <c r="F4" s="298" t="e">
        <f>SUBTOTAL(101,F$12:INDEX(F:F,COUNTA($A:$A)+5-COUNTA($A$1:$A$11)))</f>
        <v>#DIV/0!</v>
      </c>
      <c r="G4" s="293">
        <f>SUBTOTAL(109,G$12:INDEX(G:G,COUNTA($A:$A)+5-COUNTA($A$1:$A$11)))</f>
        <v>0</v>
      </c>
      <c r="H4" s="298" t="e">
        <f>SUBTOTAL(101,H$12:INDEX(H:H,COUNTA($A:$A)+5-COUNTA($A$1:$A$11)))</f>
        <v>#DIV/0!</v>
      </c>
      <c r="I4" s="293">
        <f>SUBTOTAL(109,I$12:INDEX(I:I,COUNTA($A:$A)+5-COUNTA($A$1:$A$11)))</f>
        <v>0</v>
      </c>
      <c r="J4" s="298" t="e">
        <f>SUBTOTAL(101,J$12:INDEX(J:J,COUNTA($A:$A)+5-COUNTA($A$1:$A$11)))</f>
        <v>#DIV/0!</v>
      </c>
      <c r="K4" s="23"/>
      <c r="L4" s="298">
        <f>SUBTOTAL(101,L$12:INDEX(L:L,COUNTA($A:$A)+5-COUNTA($A$1:$A$11)))</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s="9" t="s">
        <v>6</v>
      </c>
      <c r="B11" s="348" t="s">
        <v>250</v>
      </c>
      <c r="C11" s="349" t="s">
        <v>251</v>
      </c>
      <c r="D11" s="350" t="s">
        <v>252</v>
      </c>
      <c r="E11" s="349" t="s">
        <v>471</v>
      </c>
      <c r="F11" s="350" t="s">
        <v>479</v>
      </c>
      <c r="G11" s="349" t="s">
        <v>253</v>
      </c>
      <c r="H11" s="351" t="s">
        <v>330</v>
      </c>
      <c r="I11" s="348" t="s">
        <v>470</v>
      </c>
      <c r="J11" s="351" t="s">
        <v>480</v>
      </c>
      <c r="K11" s="120" t="s">
        <v>519</v>
      </c>
      <c r="L11" s="351" t="s">
        <v>481</v>
      </c>
    </row>
    <row r="12" spans="1:12">
      <c r="A12"/>
      <c r="B12" s="290">
        <f>SUMIF('Epi Cascade I'!$A:$A,$A12,'Epi Cascade I'!$H:$H)</f>
        <v>0</v>
      </c>
      <c r="C12" s="290">
        <f>SUMIF('Epi Cascade I'!$A:$A,$A12,'Epi Cascade I'!$I:$I)</f>
        <v>0</v>
      </c>
      <c r="D12" s="299" t="e">
        <f>C12/B12</f>
        <v>#DIV/0!</v>
      </c>
      <c r="E12" s="290">
        <f>SUMIF('Epi Cascade II'!$A:$A,$A12,'Epi Cascade II'!$D:$D)</f>
        <v>0</v>
      </c>
      <c r="F12" s="299" t="e">
        <f t="shared" ref="F12" si="0">$E12/$C12</f>
        <v>#DIV/0!</v>
      </c>
      <c r="G12" s="292">
        <f>SUMIF('Epi Cascade I'!$A:$A,$A12,'Epi Cascade I'!$L:$L)</f>
        <v>0</v>
      </c>
      <c r="H12" s="299" t="e">
        <f>$G12/$C12</f>
        <v>#DIV/0!</v>
      </c>
      <c r="I12" s="290">
        <f>SUMIF('Epi Cascade II'!$A:$A,$A12,'Epi Cascade II'!$E:$E)</f>
        <v>0</v>
      </c>
      <c r="J12" s="299" t="e">
        <f t="shared" ref="J12" si="1">$I12/$G12</f>
        <v>#DIV/0!</v>
      </c>
      <c r="K12" s="44" t="s">
        <v>240</v>
      </c>
      <c r="L12" s="299">
        <f t="shared" ref="L12" si="2">IF(OR(IFERROR($H12,0)&lt;70%,LEFT($A12,4)="_Mil"),30%,50%)</f>
        <v>0.3</v>
      </c>
    </row>
    <row r="13" spans="1:12">
      <c r="A13"/>
      <c r="C13" s="290"/>
      <c r="D13" s="299"/>
      <c r="E13" s="290"/>
      <c r="F13" s="299"/>
      <c r="J13" s="299"/>
      <c r="L13" s="299"/>
    </row>
    <row r="14" spans="1:12">
      <c r="A14"/>
      <c r="C14" s="290"/>
      <c r="D14" s="299"/>
      <c r="E14" s="290"/>
      <c r="F14" s="299"/>
      <c r="J14" s="299"/>
      <c r="L14" s="299"/>
    </row>
    <row r="15" spans="1:12">
      <c r="A15" s="2"/>
      <c r="C15" s="290"/>
      <c r="D15" s="299"/>
      <c r="E15" s="290"/>
      <c r="F15" s="299"/>
      <c r="J15" s="299"/>
      <c r="L15" s="299"/>
    </row>
    <row r="16" spans="1:12">
      <c r="C16" s="290"/>
      <c r="D16" s="299"/>
      <c r="E16" s="290"/>
      <c r="F16" s="299"/>
      <c r="J16" s="299"/>
      <c r="L16" s="299"/>
    </row>
    <row r="17" spans="3:12">
      <c r="C17" s="290"/>
      <c r="D17" s="299"/>
      <c r="E17" s="290"/>
      <c r="F17" s="299"/>
      <c r="J17" s="299"/>
      <c r="L17" s="299"/>
    </row>
    <row r="18" spans="3:12">
      <c r="C18" s="290"/>
      <c r="D18" s="299"/>
      <c r="E18" s="290"/>
      <c r="F18" s="299"/>
      <c r="J18" s="299"/>
      <c r="L18" s="299"/>
    </row>
    <row r="19" spans="3:12">
      <c r="C19" s="290"/>
      <c r="D19" s="299"/>
      <c r="E19" s="290"/>
      <c r="F19" s="299"/>
      <c r="J19" s="299"/>
      <c r="L19" s="299"/>
    </row>
    <row r="20" spans="3:12">
      <c r="C20" s="290"/>
      <c r="D20" s="299"/>
      <c r="E20" s="290"/>
      <c r="F20" s="299"/>
      <c r="J20" s="299"/>
      <c r="L20" s="299"/>
    </row>
    <row r="21" spans="3:12">
      <c r="C21" s="290"/>
      <c r="D21" s="299"/>
      <c r="E21" s="290"/>
      <c r="F21" s="299"/>
      <c r="J21" s="299"/>
      <c r="L21" s="299"/>
    </row>
    <row r="22" spans="3:12">
      <c r="C22" s="290"/>
      <c r="D22" s="299"/>
      <c r="E22" s="290"/>
      <c r="F22" s="299"/>
      <c r="J22" s="299"/>
      <c r="L22" s="299"/>
    </row>
    <row r="23" spans="3:12">
      <c r="C23" s="290"/>
      <c r="D23" s="299"/>
      <c r="E23" s="290"/>
      <c r="F23" s="299"/>
      <c r="J23" s="299"/>
      <c r="L23" s="299"/>
    </row>
    <row r="24" spans="3:12">
      <c r="C24" s="290"/>
      <c r="D24" s="299"/>
      <c r="E24" s="290"/>
      <c r="F24" s="299"/>
      <c r="J24" s="299"/>
      <c r="L24" s="299"/>
    </row>
    <row r="25" spans="3:12">
      <c r="C25" s="290"/>
      <c r="D25" s="299"/>
      <c r="E25" s="290"/>
      <c r="F25" s="299"/>
      <c r="J25" s="299"/>
      <c r="L25" s="299"/>
    </row>
    <row r="26" spans="3:12">
      <c r="C26" s="290"/>
      <c r="D26" s="299"/>
      <c r="E26" s="290"/>
      <c r="F26" s="299"/>
      <c r="J26" s="299"/>
      <c r="L26" s="299"/>
    </row>
    <row r="27" spans="3:12">
      <c r="C27" s="290"/>
      <c r="D27" s="299"/>
      <c r="E27" s="290"/>
      <c r="F27" s="299"/>
      <c r="J27" s="299"/>
      <c r="L27" s="299"/>
    </row>
    <row r="28" spans="3:12">
      <c r="C28" s="290"/>
      <c r="D28" s="299"/>
      <c r="E28" s="290"/>
      <c r="F28" s="299"/>
      <c r="J28" s="299"/>
      <c r="L28" s="299"/>
    </row>
    <row r="29" spans="3:12">
      <c r="C29" s="290"/>
      <c r="D29" s="299"/>
      <c r="E29" s="290"/>
      <c r="F29" s="299"/>
      <c r="J29" s="299"/>
      <c r="L29" s="299"/>
    </row>
    <row r="30" spans="3:12">
      <c r="C30" s="290"/>
      <c r="D30" s="299"/>
      <c r="E30" s="290"/>
      <c r="F30" s="299"/>
      <c r="J30" s="299"/>
      <c r="L30" s="299"/>
    </row>
    <row r="31" spans="3:12">
      <c r="C31" s="290"/>
      <c r="D31" s="299"/>
      <c r="E31" s="290"/>
      <c r="F31" s="299"/>
      <c r="J31" s="299"/>
      <c r="L31" s="299"/>
    </row>
    <row r="32" spans="3: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A70"/>
      <c r="C70" s="290"/>
      <c r="D70" s="299"/>
      <c r="E70" s="290"/>
      <c r="F70" s="299"/>
      <c r="J70" s="299"/>
      <c r="L70" s="299"/>
    </row>
    <row r="71" spans="1:12">
      <c r="A71"/>
      <c r="C71" s="290"/>
      <c r="D71" s="299"/>
      <c r="E71" s="290"/>
      <c r="F71" s="299"/>
      <c r="J71" s="299"/>
      <c r="L71" s="299"/>
    </row>
    <row r="72" spans="1:12">
      <c r="A7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sheetData>
  <conditionalFormatting sqref="B4:J4">
    <cfRule type="expression" dxfId="48" priority="73">
      <formula>COUNTA($A:$A)+5-COUNTA($A$1:$A$11)-COUNTBLANK(B$1:B$11)&lt;&gt;COUNTA(B:B)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87"/>
  <sheetViews>
    <sheetView zoomScaleNormal="100" workbookViewId="0">
      <pane xSplit="6" ySplit="11" topLeftCell="G12" activePane="bottomRight" state="frozen"/>
      <selection activeCell="B5" sqref="B5"/>
      <selection pane="topRight" activeCell="B5" sqref="B5"/>
      <selection pane="bottomLeft" activeCell="B5" sqref="B5"/>
      <selection pane="bottomRight" activeCell="C5" sqref="C5:F7"/>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SUBTOTAL(109,G$12:INDEX(G:G,COUNTA($A:$A)+5-COUNTA($A$1:$A$11)))</f>
        <v>0</v>
      </c>
      <c r="H4" s="138">
        <f>SUBTOTAL(101,H$12:INDEX(H:H,COUNTA($A:$A)+5-COUNTA($A$1:$A$11)))</f>
        <v>0</v>
      </c>
      <c r="I4" s="314">
        <f>SUBTOTAL(109,I$12:INDEX(I:I,COUNTA($A:$A)+5-COUNTA($A$1:$A$11)))</f>
        <v>0</v>
      </c>
      <c r="J4" s="284">
        <f>SUBTOTAL(101,J$12:INDEX(J:J,COUNTA($A:$A)+5-COUNTA($A$1:$A$11)))</f>
        <v>1</v>
      </c>
      <c r="K4" s="138" t="e">
        <f>SUBTOTAL(101,K$12:INDEX(K:K,COUNTA($A:$A)+5-COUNTA($A$1:$A$11)))</f>
        <v>#DIV/0!</v>
      </c>
      <c r="L4" s="138" t="e">
        <f>SUBTOTAL(101,L$12:INDEX(L:L,COUNTA($A:$A)+5-COUNTA($A$1:$A$11)))</f>
        <v>#DIV/0!</v>
      </c>
      <c r="M4" s="41">
        <f>SUBTOTAL(109,M$12:INDEX(M:M,COUNTA($A:$A)+5-COUNTA($A$1:$A$11)))</f>
        <v>0</v>
      </c>
      <c r="N4" s="41">
        <f>SUBTOTAL(109,N$12:INDEX(N:N,COUNTA($A:$A)+5-COUNTA($A$1:$A$11)))</f>
        <v>0</v>
      </c>
      <c r="O4" s="41">
        <f>SUBTOTAL(109,O$12:INDEX(O:O,COUNTA($A:$A)+5-COUNTA($A$1:$A$11)))</f>
        <v>0</v>
      </c>
      <c r="P4" s="284">
        <f>SUBTOTAL(101,P$12:INDEX(P:P,COUNTA($A:$A)+5-COUNTA($A$1:$A$11)))</f>
        <v>0.95</v>
      </c>
      <c r="Q4" s="284">
        <f>SUBTOTAL(101,Q$12:INDEX(Q:Q,COUNTA($A:$A)+5-COUNTA($A$1:$A$11)))</f>
        <v>0.95</v>
      </c>
      <c r="R4" s="41">
        <f>SUBTOTAL(109,R$12:INDEX(R:R,COUNTA($A:$A)+5-COUNTA($A$1:$A$11)))</f>
        <v>0</v>
      </c>
      <c r="S4" s="41">
        <f>SUBTOTAL(109,S$12:INDEX(S:S,COUNTA($A:$A)+5-COUNTA($A$1:$A$11)))</f>
        <v>0</v>
      </c>
      <c r="T4" s="138" t="e">
        <f>SUBTOTAL(101,T$12:INDEX(T:T,COUNTA($A:$A)+5-COUNTA($A$1:$A$11)))</f>
        <v>#DIV/0!</v>
      </c>
      <c r="U4" s="284">
        <f>SUBTOTAL(101,U$12:INDEX(U:U,COUNTA($A:$A)+5-COUNTA($A$1:$A$11)))</f>
        <v>0.95</v>
      </c>
      <c r="V4" s="41">
        <f>SUBTOTAL(109,V$12:INDEX(V:V,COUNTA($A:$A)+5-COUNTA($A$1:$A$11)))</f>
        <v>0</v>
      </c>
      <c r="W4" s="41">
        <f>SUBTOTAL(109,W$12:INDEX(W:W,COUNTA($A:$A)+5-COUNTA($A$1:$A$11)))</f>
        <v>0</v>
      </c>
      <c r="X4" s="107">
        <f>SUBTOTAL(109,X$12:INDEX(X:X,COUNTA($A:$A)+5-COUNTA($A$1:$A$11)))</f>
        <v>0</v>
      </c>
      <c r="Y4" s="107">
        <f>SUBTOTAL(109,Y$12:INDEX(Y:Y,COUNTA($A:$A)+5-COUNTA($A$1:$A$11)))</f>
        <v>0</v>
      </c>
      <c r="Z4" s="107">
        <f>SUBTOTAL(109,Z$12:INDEX(Z:Z,COUNTA($A:$A)+5-COUNTA($A$1:$A$11)))</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s="9" t="s">
        <v>6</v>
      </c>
      <c r="B11" s="9" t="s">
        <v>53</v>
      </c>
      <c r="C11" s="9" t="s">
        <v>7</v>
      </c>
      <c r="D11" s="9" t="s">
        <v>244</v>
      </c>
      <c r="E11" s="9" t="s">
        <v>258</v>
      </c>
      <c r="F11" s="9" t="s">
        <v>259</v>
      </c>
      <c r="G11" s="83" t="s">
        <v>595</v>
      </c>
      <c r="H11" s="239" t="s">
        <v>282</v>
      </c>
      <c r="I11" s="240" t="s">
        <v>283</v>
      </c>
      <c r="J11" s="285" t="s">
        <v>284</v>
      </c>
      <c r="K11" s="239" t="s">
        <v>285</v>
      </c>
      <c r="L11" s="239" t="s">
        <v>286</v>
      </c>
      <c r="M11" s="24" t="s">
        <v>354</v>
      </c>
      <c r="N11" s="24" t="s">
        <v>355</v>
      </c>
      <c r="O11" s="24" t="s">
        <v>356</v>
      </c>
      <c r="P11" s="285" t="s">
        <v>287</v>
      </c>
      <c r="Q11" s="285" t="s">
        <v>288</v>
      </c>
      <c r="R11" s="24" t="s">
        <v>357</v>
      </c>
      <c r="S11" s="24" t="s">
        <v>358</v>
      </c>
      <c r="T11" s="146" t="s">
        <v>289</v>
      </c>
      <c r="U11" s="285" t="s">
        <v>290</v>
      </c>
      <c r="V11" s="24" t="s">
        <v>291</v>
      </c>
      <c r="W11" s="24" t="s">
        <v>292</v>
      </c>
      <c r="X11" s="78" t="s">
        <v>293</v>
      </c>
      <c r="Y11" s="78" t="s">
        <v>294</v>
      </c>
      <c r="Z11" s="78" t="s">
        <v>295</v>
      </c>
    </row>
    <row r="12" spans="1:26">
      <c r="B12" s="1"/>
      <c r="C12" s="1"/>
      <c r="D12" s="1" t="str">
        <f>A12&amp;"|"&amp;B12&amp;"|"&amp;C12</f>
        <v>||</v>
      </c>
      <c r="E12" s="1"/>
      <c r="F12" s="1" t="str">
        <f>A12&amp;"|"&amp;E12&amp;"|"&amp;C12</f>
        <v>||</v>
      </c>
      <c r="H12" s="139">
        <v>0</v>
      </c>
      <c r="I12" s="119">
        <f t="shared" ref="I12" si="0">$G12*(1+$H12)</f>
        <v>0</v>
      </c>
      <c r="J12" s="282">
        <v>1</v>
      </c>
      <c r="M12" s="25">
        <f t="shared" ref="M12" si="1">ROUND($I12*$J12*$K12,0)</f>
        <v>0</v>
      </c>
      <c r="N12" s="25">
        <f t="shared" ref="N12" si="2">ROUND($I12*$J12*(1-$K12)*$L12,0)</f>
        <v>0</v>
      </c>
      <c r="O12" s="25">
        <f>ROUND($I12*$J12*(1-$K12),0)-$N12</f>
        <v>0</v>
      </c>
      <c r="P12" s="282">
        <v>0.95</v>
      </c>
      <c r="Q12" s="282">
        <v>0.95</v>
      </c>
      <c r="R12" s="25">
        <f>ROUND($N12*$Q12,0)</f>
        <v>0</v>
      </c>
      <c r="S12" s="25">
        <f>ROUND($M12*$P12,0)</f>
        <v>0</v>
      </c>
      <c r="T12" s="139"/>
      <c r="U12" s="282">
        <v>0.95</v>
      </c>
      <c r="W12" s="25">
        <f>IFERROR(ROUND($V12/$T12,0),0)-$V12</f>
        <v>0</v>
      </c>
      <c r="X12" s="15">
        <f>ROUND($V12*$U12,0)</f>
        <v>0</v>
      </c>
      <c r="Y12" s="15">
        <f>M12+N12+V12</f>
        <v>0</v>
      </c>
      <c r="Z12" s="15">
        <f>SUM($R12,$X12)</f>
        <v>0</v>
      </c>
    </row>
    <row r="13" spans="1:26">
      <c r="B13" s="1"/>
      <c r="C13" s="1"/>
      <c r="D13" s="1"/>
      <c r="E13" s="1"/>
      <c r="F13" s="1"/>
      <c r="T13" s="139"/>
    </row>
    <row r="14" spans="1:26">
      <c r="B14" s="1"/>
      <c r="C14" s="1"/>
      <c r="D14" s="1"/>
      <c r="E14" s="1"/>
      <c r="F14" s="1"/>
      <c r="T14" s="139"/>
    </row>
    <row r="15" spans="1:26">
      <c r="B15" s="1"/>
      <c r="C15" s="1"/>
      <c r="D15" s="1"/>
      <c r="E15" s="1"/>
      <c r="F15" s="1"/>
      <c r="T15" s="139"/>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c r="C507"/>
      <c r="D507" s="1"/>
      <c r="E507" s="1"/>
      <c r="F507" s="1"/>
      <c r="T507" s="139"/>
    </row>
    <row r="508" spans="2:20">
      <c r="B508"/>
      <c r="C508"/>
      <c r="D508" s="1"/>
      <c r="E508" s="1"/>
      <c r="F508" s="1"/>
      <c r="T508" s="139"/>
    </row>
    <row r="509" spans="2:20">
      <c r="B509"/>
      <c r="C509"/>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sheetData>
  <conditionalFormatting sqref="J1:J4 J11:J1048576">
    <cfRule type="expression" dxfId="47" priority="5">
      <formula>AND($D1&lt;&gt;"",J1&lt;&gt;1)</formula>
    </cfRule>
  </conditionalFormatting>
  <conditionalFormatting sqref="P1:Q4 U1:U4 U11:U1048576 P11:Q1048576">
    <cfRule type="expression" dxfId="46" priority="4">
      <formula>AND($D1&lt;&gt;"",P1&lt;&gt;0.95)</formula>
    </cfRule>
  </conditionalFormatting>
  <conditionalFormatting sqref="H1:H4 H11:H1048576">
    <cfRule type="expression" dxfId="45" priority="3">
      <formula>AND(ISNUMBER($H1),$H1&lt;&gt;0)</formula>
    </cfRule>
  </conditionalFormatting>
  <conditionalFormatting sqref="I4 M4:O4 R4:S4 W4:Z4">
    <cfRule type="expression" dxfId="44" priority="82">
      <formula>COUNTA($A:$A)+5-COUNTA($A$1:$A$11)-COUNTBLANK(I$1:I$11)&lt;&gt;COUNTA(I:I)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5"/>
  <sheetViews>
    <sheetView zoomScaleNormal="100" workbookViewId="0">
      <pane xSplit="1" ySplit="11" topLeftCell="B12" activePane="bottomRight" state="frozen"/>
      <selection activeCell="B5" sqref="B5"/>
      <selection pane="topRight" activeCell="B5" sqref="B5"/>
      <selection pane="bottomLeft" activeCell="B5" sqref="B5"/>
      <selection pane="bottomRight" activeCell="A12" sqref="A12"/>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SUBTOTAL(101,B$12:INDEX(B:B,COUNTA($A:$A)+5-COUNTA($A$1:$A$11)))</f>
        <v>0.8</v>
      </c>
      <c r="C4" s="138">
        <f>SUBTOTAL(101,C$12:INDEX(C:C,COUNTA($A:$A)+5-COUNTA($A$1:$A$11)))</f>
        <v>0.95</v>
      </c>
      <c r="D4" s="113">
        <f>SUBTOTAL(109,D$12:INDEX(D:D,COUNTA($A:$A)+5-COUNTA($A$1:$A$11)))</f>
        <v>0</v>
      </c>
      <c r="E4" s="23">
        <f>SUBTOTAL(109,E$12:INDEX(E:E,COUNTA($A:$A)+5-COUNTA($A$1:$A$11)))</f>
        <v>0</v>
      </c>
      <c r="F4" s="23">
        <f>SUBTOTAL(109,F$12:INDEX(F:F,COUNTA($A:$A)+5-COUNTA($A$1:$A$11)))</f>
        <v>0</v>
      </c>
      <c r="G4" s="138" t="e">
        <f>SUBTOTAL(101,G$12:INDEX(G:G,COUNTA($A:$A)+5-COUNTA($A$1:$A$11)))</f>
        <v>#DIV/0!</v>
      </c>
      <c r="H4" s="138" t="e">
        <f>SUBTOTAL(101,H$12:INDEX(H:H,COUNTA($A:$A)+5-COUNTA($A$1:$A$11)))</f>
        <v>#DIV/0!</v>
      </c>
      <c r="I4" s="138">
        <f>SUBTOTAL(101,I$12:INDEX(I:I,COUNTA($A:$A)+5-COUNTA($A$1:$A$11)))</f>
        <v>0.95</v>
      </c>
      <c r="J4" s="28">
        <f>SUBTOTAL(109,J$12:INDEX(J:J,COUNTA($A:$A)+5-COUNTA($A$1:$A$11)))</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s="9" t="s">
        <v>6</v>
      </c>
      <c r="B11" s="124" t="s">
        <v>296</v>
      </c>
      <c r="C11" s="131" t="s">
        <v>297</v>
      </c>
      <c r="D11" s="24" t="s">
        <v>520</v>
      </c>
      <c r="E11" s="24" t="s">
        <v>298</v>
      </c>
      <c r="F11" s="24" t="s">
        <v>299</v>
      </c>
      <c r="G11" s="124" t="s">
        <v>300</v>
      </c>
      <c r="H11" s="131" t="s">
        <v>301</v>
      </c>
      <c r="I11" s="124" t="s">
        <v>302</v>
      </c>
      <c r="J11" s="120" t="s">
        <v>303</v>
      </c>
    </row>
    <row r="12" spans="1:10">
      <c r="A12" s="2"/>
      <c r="B12" s="139">
        <v>0.8</v>
      </c>
      <c r="C12" s="139">
        <v>0.95</v>
      </c>
      <c r="D12" s="35">
        <f>SUMIF(PMTCT_STAT_ART!$A:$A,$A12,PMTCT_STAT_ART!$Y:$Y)</f>
        <v>0</v>
      </c>
      <c r="E12" s="25">
        <f>ROUND($D12*$B12,0)</f>
        <v>0</v>
      </c>
      <c r="F12" s="25">
        <f>ROUND($D12*$C12,0)-$E12</f>
        <v>0</v>
      </c>
      <c r="G12" s="139"/>
      <c r="H12" s="139"/>
      <c r="I12" s="139">
        <v>0.95</v>
      </c>
      <c r="J12" s="15">
        <f>ROUND(SUM($E12*$G12,$F12*$H12)*$I12,0)</f>
        <v>0</v>
      </c>
    </row>
    <row r="13" spans="1:10">
      <c r="C13" s="139"/>
      <c r="D13" s="35"/>
      <c r="G13" s="139"/>
      <c r="H13" s="139"/>
      <c r="I13" s="139"/>
    </row>
    <row r="14" spans="1:10">
      <c r="C14" s="139"/>
      <c r="D14" s="35"/>
      <c r="G14" s="139"/>
      <c r="H14" s="139"/>
      <c r="I14" s="139"/>
    </row>
    <row r="15" spans="1:10">
      <c r="C15" s="139"/>
      <c r="D15" s="35"/>
      <c r="G15" s="139"/>
      <c r="H15" s="139"/>
      <c r="I15" s="139"/>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sheetData>
  <conditionalFormatting sqref="C1:C4 I1:I4 I11:I1048576 C11:C1048576">
    <cfRule type="expression" dxfId="43" priority="3">
      <formula>AND(ISNUMBER(C1),C1&lt;&gt;0.95)</formula>
    </cfRule>
  </conditionalFormatting>
  <conditionalFormatting sqref="B1:B4 B11:B1048576">
    <cfRule type="expression" dxfId="42" priority="2">
      <formula>AND(ISNUMBER(B1),B1&lt;&gt;0.8)</formula>
    </cfRule>
  </conditionalFormatting>
  <conditionalFormatting sqref="D4:F4 J4">
    <cfRule type="expression" dxfId="41" priority="84">
      <formula>COUNTA($A:$A)+5-COUNTA($A$1:$A$11)-COUNTBLANK(D$1:D$11)&lt;&gt;COUNTA(D:D)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47"/>
  <sheetViews>
    <sheetView zoomScaleNormal="100" workbookViewId="0">
      <pane xSplit="6" ySplit="11" topLeftCell="G12" activePane="bottomRight" state="frozen"/>
      <selection activeCell="B5" sqref="B5"/>
      <selection pane="topRight" activeCell="B5" sqref="B5"/>
      <selection pane="bottomLeft" activeCell="B5" sqref="B5"/>
      <selection pane="bottomRight" activeCell="C5" sqref="C5:F7"/>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SUBTOTAL(109,G$12:INDEX(G:G,COUNTA($A:$A)+5-COUNTA($A$1:$A$11)))</f>
        <v>0</v>
      </c>
      <c r="H4" s="130" t="e">
        <f>SUBTOTAL(101,H$12:INDEX(H:H,COUNTA($A:$A)+5-COUNTA($A$1:$A$11)))</f>
        <v>#DIV/0!</v>
      </c>
      <c r="I4" s="23">
        <f>SUBTOTAL(109,I$12:INDEX(I:I,COUNTA($A:$A)+5-COUNTA($A$1:$A$11)))</f>
        <v>0</v>
      </c>
      <c r="J4" s="130">
        <f>SUBTOTAL(101,J$12:INDEX(J:J,COUNTA($A:$A)+5-COUNTA($A$1:$A$11)))</f>
        <v>1</v>
      </c>
      <c r="K4" s="130" t="e">
        <f>SUBTOTAL(101,K$12:INDEX(K:K,COUNTA($A:$A)+5-COUNTA($A$1:$A$11)))</f>
        <v>#DIV/0!</v>
      </c>
      <c r="L4" s="130" t="e">
        <f>SUBTOTAL(101,L$12:INDEX(L:L,COUNTA($A:$A)+5-COUNTA($A$1:$A$11)))</f>
        <v>#DIV/0!</v>
      </c>
      <c r="M4" s="23">
        <f>SUBTOTAL(109,M$12:INDEX(M:M,COUNTA($A:$A)+5-COUNTA($A$1:$A$11)))</f>
        <v>0</v>
      </c>
      <c r="N4" s="23">
        <f>SUBTOTAL(109,N$12:INDEX(N:N,COUNTA($A:$A)+5-COUNTA($A$1:$A$11)))</f>
        <v>0</v>
      </c>
      <c r="O4" s="23">
        <f>SUBTOTAL(109,O$12:INDEX(O:O,COUNTA($A:$A)+5-COUNTA($A$1:$A$11)))</f>
        <v>0</v>
      </c>
      <c r="P4" s="130">
        <f>SUBTOTAL(101,P$12:INDEX(P:P,COUNTA($A:$A)+5-COUNTA($A$1:$A$11)))</f>
        <v>1</v>
      </c>
      <c r="Q4" s="23">
        <f>SUBTOTAL(109,Q$12:INDEX(Q:Q,COUNTA($A:$A)+5-COUNTA($A$1:$A$11)))</f>
        <v>0</v>
      </c>
      <c r="R4" s="23">
        <f>SUBTOTAL(109,R$12:INDEX(R:R,COUNTA($A:$A)+5-COUNTA($A$1:$A$11)))</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s="5" t="s">
        <v>6</v>
      </c>
      <c r="B11" s="5" t="s">
        <v>53</v>
      </c>
      <c r="C11" s="5" t="s">
        <v>7</v>
      </c>
      <c r="D11" s="80" t="s">
        <v>244</v>
      </c>
      <c r="E11" s="80" t="s">
        <v>258</v>
      </c>
      <c r="F11" s="80" t="s">
        <v>259</v>
      </c>
      <c r="G11" s="24" t="s">
        <v>305</v>
      </c>
      <c r="H11" s="131" t="s">
        <v>306</v>
      </c>
      <c r="I11" s="24" t="s">
        <v>307</v>
      </c>
      <c r="J11" s="131" t="s">
        <v>308</v>
      </c>
      <c r="K11" s="131" t="s">
        <v>309</v>
      </c>
      <c r="L11" s="131" t="s">
        <v>310</v>
      </c>
      <c r="M11" s="24" t="s">
        <v>311</v>
      </c>
      <c r="N11" s="24" t="s">
        <v>312</v>
      </c>
      <c r="O11" s="24" t="s">
        <v>313</v>
      </c>
      <c r="P11" s="146" t="s">
        <v>314</v>
      </c>
      <c r="Q11" s="24" t="s">
        <v>315</v>
      </c>
      <c r="R11" s="24" t="s">
        <v>316</v>
      </c>
    </row>
    <row r="12" spans="1:18">
      <c r="D12" s="37" t="str">
        <f>A12&amp;"|"&amp;B12&amp;"|"&amp;C12</f>
        <v>||</v>
      </c>
      <c r="F12" s="37" t="str">
        <f>A12&amp;"|"&amp;E12&amp;"|"&amp;C12</f>
        <v>||</v>
      </c>
      <c r="I12" s="25">
        <f>ROUND($G12*(1+$H12),0)</f>
        <v>0</v>
      </c>
      <c r="J12" s="140">
        <v>1</v>
      </c>
      <c r="M12" s="25">
        <f>ROUND($I12*$J12*$K12,0)</f>
        <v>0</v>
      </c>
      <c r="N12" s="25">
        <f>ROUND($I12*$J12*(1-$K12)*$L12,0)</f>
        <v>0</v>
      </c>
      <c r="O12" s="25">
        <f>ROUND($I12*$J12,0)-SUM($M12,$N12)</f>
        <v>0</v>
      </c>
      <c r="P12" s="140">
        <v>1</v>
      </c>
      <c r="Q12" s="25">
        <f>ROUND($M12*$P12,0)</f>
        <v>0</v>
      </c>
      <c r="R12" s="25">
        <f>ROUND($N12*$P12,0)</f>
        <v>0</v>
      </c>
    </row>
    <row r="13" spans="1:18">
      <c r="M13" s="25"/>
    </row>
    <row r="14" spans="1:18">
      <c r="M14" s="25"/>
    </row>
    <row r="15" spans="1:18">
      <c r="M15" s="25"/>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sheetData>
  <conditionalFormatting sqref="J1:J4 P1:P4 P11:P1048576 J11:J1048576">
    <cfRule type="expression" dxfId="40" priority="5">
      <formula>AND(ISNUMBER(J1),J1&lt;&gt;1)</formula>
    </cfRule>
  </conditionalFormatting>
  <conditionalFormatting sqref="I4 M4:O4 Q4:R4">
    <cfRule type="expression" dxfId="39" priority="85">
      <formula>COUNTA($A:$A)+5-COUNTA($A$1:$A$11)-COUNTBLANK(I$1:I$11)&lt;&gt;COUNTA(I:I)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87"/>
  <sheetViews>
    <sheetView zoomScaleNormal="100" workbookViewId="0">
      <pane xSplit="6" ySplit="11" topLeftCell="G12" activePane="bottomRight" state="frozen"/>
      <selection activeCell="B5" sqref="B5"/>
      <selection pane="topRight" activeCell="B5" sqref="B5"/>
      <selection pane="bottomLeft" activeCell="B5" sqref="B5"/>
      <selection pane="bottomRight" activeCell="C5" sqref="C5:F7"/>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SUBTOTAL(109,G$12:INDEX(G:G,COUNTA($A:$A)+5-COUNTA($A$1:$A$11)))</f>
        <v>0</v>
      </c>
      <c r="H4" s="23">
        <f>SUBTOTAL(109,H$12:INDEX(H:H,COUNTA($A:$A)+5-COUNTA($A$1:$A$11)))</f>
        <v>0</v>
      </c>
      <c r="I4" s="28">
        <f>SUBTOTAL(109,I$12:INDEX(I:I,COUNTA($A:$A)+5-COUNTA($A$1:$A$11)))</f>
        <v>0</v>
      </c>
      <c r="J4" s="130" t="e">
        <f>SUBTOTAL(101,J$12:INDEX(J:J,COUNTA($A:$A)+5-COUNTA($A$1:$A$11)))</f>
        <v>#DIV/0!</v>
      </c>
      <c r="K4" s="28">
        <f>SUBTOTAL(109,K$12:INDEX(K:K,COUNTA($A:$A)+5-COUNTA($A$1:$A$11)))</f>
        <v>0</v>
      </c>
      <c r="L4" s="130">
        <f>SUBTOTAL(101,L$12:INDEX(L:L,COUNTA($A:$A)+5-COUNTA($A$1:$A$11)))</f>
        <v>0.8</v>
      </c>
      <c r="M4" s="130" t="e">
        <f>SUBTOTAL(101,M$12:INDEX(M:M,COUNTA($A:$A)+5-COUNTA($A$1:$A$11)))</f>
        <v>#DIV/0!</v>
      </c>
      <c r="N4" s="130" t="e">
        <f>SUBTOTAL(101,N$12:INDEX(N:N,COUNTA($A:$A)+5-COUNTA($A$1:$A$11)))</f>
        <v>#DIV/0!</v>
      </c>
      <c r="O4" s="130">
        <f>SUBTOTAL(101,O$12:INDEX(O:O,COUNTA($A:$A)+5-COUNTA($A$1:$A$11)))</f>
        <v>0.9</v>
      </c>
      <c r="P4" s="23">
        <f>SUBTOTAL(109,P$12:INDEX(P:P,COUNTA($A:$A)+5-COUNTA($A$1:$A$11)))</f>
        <v>0</v>
      </c>
      <c r="Q4" s="23">
        <f>SUBTOTAL(109,Q$12:INDEX(Q:Q,COUNTA($A:$A)+5-COUNTA($A$1:$A$11)))</f>
        <v>0</v>
      </c>
      <c r="R4" s="23">
        <f>SUBTOTAL(109,R$12:INDEX(R:R,COUNTA($A:$A)+5-COUNTA($A$1:$A$11)))</f>
        <v>0</v>
      </c>
      <c r="S4" s="28">
        <f>SUBTOTAL(109,S$12:INDEX(S:S,COUNTA($A:$A)+5-COUNTA($A$1:$A$11)))</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s="9" t="s">
        <v>6</v>
      </c>
      <c r="B11" s="9" t="s">
        <v>53</v>
      </c>
      <c r="C11" s="9" t="s">
        <v>7</v>
      </c>
      <c r="D11" s="9" t="s">
        <v>244</v>
      </c>
      <c r="E11" s="9" t="s">
        <v>258</v>
      </c>
      <c r="F11" s="9" t="s">
        <v>259</v>
      </c>
      <c r="G11" s="24" t="s">
        <v>317</v>
      </c>
      <c r="H11" s="24" t="s">
        <v>318</v>
      </c>
      <c r="I11" s="24" t="s">
        <v>319</v>
      </c>
      <c r="J11" s="124" t="s">
        <v>320</v>
      </c>
      <c r="K11" s="24" t="s">
        <v>321</v>
      </c>
      <c r="L11" s="124" t="s">
        <v>322</v>
      </c>
      <c r="M11" s="124" t="s">
        <v>323</v>
      </c>
      <c r="N11" s="124" t="s">
        <v>324</v>
      </c>
      <c r="O11" s="124" t="s">
        <v>325</v>
      </c>
      <c r="P11" s="24" t="s">
        <v>326</v>
      </c>
      <c r="Q11" s="24" t="s">
        <v>327</v>
      </c>
      <c r="R11" s="24" t="s">
        <v>328</v>
      </c>
      <c r="S11" s="78" t="s">
        <v>329</v>
      </c>
    </row>
    <row r="12" spans="1:19">
      <c r="A12" s="2"/>
      <c r="D12" s="37" t="str">
        <f>A12&amp;"|"&amp;B12&amp;"|"&amp;C12</f>
        <v>||</v>
      </c>
      <c r="E12" s="37"/>
      <c r="F12" s="37" t="str">
        <f>A12&amp;"|"&amp;E12&amp;"|"&amp;C12</f>
        <v>||</v>
      </c>
      <c r="H12" s="42"/>
      <c r="I12" s="35">
        <f>INDEX('Epi Cascade I'!$H:$H,MATCH($D12,'Epi Cascade I'!$D:$D,0))</f>
        <v>0</v>
      </c>
      <c r="J12" s="139" t="e">
        <f t="shared" ref="J12" si="0">$H12/$I12</f>
        <v>#DIV/0!</v>
      </c>
      <c r="L12" s="139">
        <v>0.8</v>
      </c>
      <c r="O12" s="139">
        <v>0.9</v>
      </c>
      <c r="P12" s="25">
        <f t="shared" ref="P12" si="1">IF($B$2="No",0,IF($J12&gt;$L12,0,ROUND(($I12*$L12-$H12-$K12)*$N12,0)))</f>
        <v>0</v>
      </c>
      <c r="Q12" s="25">
        <f t="shared" ref="Q12" si="2">IF($B$2="No",0,IF($J12&gt;$L12,0,ROUND(($I12*$L12-$H12-$K12-$P12)*$M12,0)))</f>
        <v>0</v>
      </c>
      <c r="R12" s="25">
        <f t="shared" ref="R12" si="3">IF($B$2="No",0,IF($J12&gt;$L12,0,ROUND($I12*$L12-$H12-$K12-$P12-$Q12,0)))</f>
        <v>0</v>
      </c>
      <c r="S12" s="15">
        <f t="shared" ref="S12" si="4">ROUND($Q12*$O12,0)</f>
        <v>0</v>
      </c>
    </row>
    <row r="13" spans="1:19">
      <c r="A13" s="2"/>
      <c r="D13" s="37"/>
      <c r="E13" s="37"/>
      <c r="F13" s="37"/>
      <c r="H13" s="42"/>
      <c r="I13" s="35"/>
      <c r="L13" s="139"/>
    </row>
    <row r="14" spans="1:19">
      <c r="A14" s="2"/>
      <c r="D14" s="37"/>
      <c r="E14" s="37"/>
      <c r="F14" s="37"/>
      <c r="H14" s="42"/>
      <c r="I14" s="35"/>
      <c r="L14" s="139"/>
    </row>
    <row r="15" spans="1:19">
      <c r="A15" s="2"/>
      <c r="D15" s="37"/>
      <c r="E15" s="37"/>
      <c r="F15" s="37"/>
      <c r="H15" s="42"/>
      <c r="I15" s="35"/>
      <c r="L15" s="139"/>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D57" s="37"/>
      <c r="E57" s="37"/>
      <c r="F57" s="37"/>
      <c r="H57" s="42"/>
      <c r="I57" s="35"/>
      <c r="L57" s="139"/>
    </row>
    <row r="58" spans="1:12">
      <c r="D58" s="37"/>
      <c r="E58" s="37"/>
      <c r="F58" s="37"/>
      <c r="H58" s="42"/>
      <c r="I58" s="35"/>
      <c r="L58" s="139"/>
    </row>
    <row r="59" spans="1:1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sheetData>
  <conditionalFormatting sqref="O1:O4 O11:O1048576">
    <cfRule type="expression" dxfId="38" priority="3">
      <formula>AND(ISNUMBER(O1),O1&lt;&gt;0.9)</formula>
    </cfRule>
  </conditionalFormatting>
  <conditionalFormatting sqref="L1:L4 L11:L1048576">
    <cfRule type="expression" dxfId="37" priority="2">
      <formula>AND(ISNUMBER(L1),L1&lt;&gt;0.8)</formula>
    </cfRule>
  </conditionalFormatting>
  <conditionalFormatting sqref="I4:J4 P4:S4">
    <cfRule type="expression" dxfId="36" priority="86">
      <formula>COUNTA($A:$A)+5-COUNTA($A$1:$A$11)-COUNTBLANK(I$1:I$11)&lt;&gt;COUNTA(I:I)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47"/>
  <sheetViews>
    <sheetView zoomScaleNormal="100" workbookViewId="0">
      <pane xSplit="7" ySplit="11" topLeftCell="U12" activePane="bottomRight" state="frozen"/>
      <selection activeCell="B5" sqref="B5"/>
      <selection pane="topRight" activeCell="B5" sqref="B5"/>
      <selection pane="bottomLeft" activeCell="B5" sqref="B5"/>
      <selection pane="bottomRight" activeCell="B5" sqref="B5"/>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SUBTOTAL(101,G$12:INDEX(G:G,COUNTA($A:$A)+5-COUNTA($A$1:$A$11)))</f>
        <v>0</v>
      </c>
      <c r="H4" s="13">
        <f>SUBTOTAL(109,H$12:INDEX(H:H,COUNTA($A:$A)+5-COUNTA($A$1:$A$11)))</f>
        <v>0</v>
      </c>
      <c r="I4" s="73" t="e">
        <f>($K$4-$H$4)/$H$4</f>
        <v>#DIV/0!</v>
      </c>
      <c r="J4" s="130">
        <f>SUBTOTAL(101,J$12:INDEX(J:J,COUNTA($A:$A)+5-COUNTA($A$1:$A$11)))</f>
        <v>0</v>
      </c>
      <c r="K4" s="19">
        <f>SUBTOTAL(109,K$12:INDEX(K:K,COUNTA($A:$A)+5-COUNTA($A$1:$A$11)))</f>
        <v>0</v>
      </c>
      <c r="L4" s="13">
        <f>SUBTOTAL(109,L$12:INDEX(L:L,COUNTA($A:$A)+5-COUNTA($A$1:$A$11)))</f>
        <v>0</v>
      </c>
      <c r="M4" s="130" t="e">
        <f>SUBTOTAL(101,M$12:INDEX(M:M,COUNTA($A:$A)+5-COUNTA($A$1:$A$11)))</f>
        <v>#DIV/0!</v>
      </c>
      <c r="N4" s="130">
        <f>SUBTOTAL(101,N$12:INDEX(N:N,COUNTA($A:$A)+5-COUNTA($A$1:$A$11)))</f>
        <v>0.9</v>
      </c>
      <c r="O4" s="130">
        <f>SUBTOTAL(101,O$12:INDEX(O:O,COUNTA($A:$A)+5-COUNTA($A$1:$A$11)))</f>
        <v>0.95</v>
      </c>
      <c r="P4" s="130">
        <f>SUBTOTAL(101,P$12:INDEX(P:P,COUNTA($A:$A)+5-COUNTA($A$1:$A$11)))</f>
        <v>0</v>
      </c>
      <c r="Q4" s="19">
        <f>SUBTOTAL(109,Q$12:INDEX(Q:Q,COUNTA($A:$A)+5-COUNTA($A$1:$A$11)))</f>
        <v>0</v>
      </c>
      <c r="R4" s="13">
        <f>SUBTOTAL(109,R$12:INDEX(R:R,COUNTA($A:$A)+5-COUNTA($A$1:$A$11)))</f>
        <v>0</v>
      </c>
      <c r="S4" s="13">
        <f>SUBTOTAL(109,S$12:INDEX(S:S,COUNTA($A:$A)+5-COUNTA($A$1:$A$11)))</f>
        <v>0</v>
      </c>
      <c r="T4" s="13">
        <f>SUBTOTAL(109,T$12:INDEX(T:T,COUNTA($A:$A)+5-COUNTA($A$1:$A$11)))</f>
        <v>0</v>
      </c>
      <c r="U4" s="13">
        <f>SUBTOTAL(109,U$12:INDEX(U:U,COUNTA($A:$A)+5-COUNTA($A$1:$A$11)))</f>
        <v>0</v>
      </c>
      <c r="V4" s="13">
        <f>SUBTOTAL(109,V$12:INDEX(V:V,COUNTA($A:$A)+5-COUNTA($A$1:$A$11)))</f>
        <v>0</v>
      </c>
      <c r="W4" s="13">
        <f>SUBTOTAL(109,W$12:INDEX(W:W,COUNTA($A:$A)+5-COUNTA($A$1:$A$11)))</f>
        <v>0</v>
      </c>
      <c r="X4" s="130">
        <f>SUBTOTAL(101,X$12:INDEX(X:X,COUNTA($A:$A)+5-COUNTA($A$1:$A$11)))</f>
        <v>0.7</v>
      </c>
      <c r="Y4" s="130">
        <f>SUBTOTAL(101,Y$12:INDEX(Y:Y,COUNTA($A:$A)+5-COUNTA($A$1:$A$11)))</f>
        <v>1</v>
      </c>
      <c r="Z4" s="19">
        <f>SUBTOTAL(109,Z$12:INDEX(Z:Z,COUNTA($A:$A)+5-COUNTA($A$1:$A$11)))</f>
        <v>0</v>
      </c>
      <c r="AA4" s="130">
        <f>SUBTOTAL(101,AA$12:INDEX(AA:AA,COUNTA($A:$A)+5-COUNTA($A$1:$A$11)))</f>
        <v>0.95</v>
      </c>
      <c r="AB4" s="19">
        <f>SUBTOTAL(109,AB$12:INDEX(AB:AB,COUNTA($A:$A)+5-COUNTA($A$1:$A$11)))</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s="243" customFormat="1">
      <c r="A11" s="241" t="s">
        <v>6</v>
      </c>
      <c r="B11" s="241" t="s">
        <v>53</v>
      </c>
      <c r="C11" s="241" t="s">
        <v>7</v>
      </c>
      <c r="D11" s="241" t="s">
        <v>244</v>
      </c>
      <c r="E11" s="241" t="s">
        <v>258</v>
      </c>
      <c r="F11" s="241" t="s">
        <v>259</v>
      </c>
      <c r="G11" s="242" t="s">
        <v>330</v>
      </c>
      <c r="H11" s="359" t="s">
        <v>331</v>
      </c>
      <c r="I11" s="242" t="s">
        <v>332</v>
      </c>
      <c r="J11" s="242" t="s">
        <v>333</v>
      </c>
      <c r="K11" s="359" t="s">
        <v>334</v>
      </c>
      <c r="L11" s="359" t="s">
        <v>351</v>
      </c>
      <c r="M11" s="360" t="s">
        <v>335</v>
      </c>
      <c r="N11" s="242" t="s">
        <v>336</v>
      </c>
      <c r="O11" s="242" t="s">
        <v>337</v>
      </c>
      <c r="P11" s="361" t="s">
        <v>338</v>
      </c>
      <c r="Q11" s="359" t="s">
        <v>339</v>
      </c>
      <c r="R11" s="362" t="s">
        <v>340</v>
      </c>
      <c r="S11" s="362" t="s">
        <v>341</v>
      </c>
      <c r="T11" s="362" t="s">
        <v>342</v>
      </c>
      <c r="U11" s="362" t="s">
        <v>343</v>
      </c>
      <c r="V11" s="362" t="s">
        <v>344</v>
      </c>
      <c r="W11" s="362" t="s">
        <v>345</v>
      </c>
      <c r="X11" s="242" t="s">
        <v>346</v>
      </c>
      <c r="Y11" s="242" t="s">
        <v>347</v>
      </c>
      <c r="Z11" s="359" t="s">
        <v>348</v>
      </c>
      <c r="AA11" s="242" t="s">
        <v>349</v>
      </c>
      <c r="AB11" s="359" t="s">
        <v>350</v>
      </c>
    </row>
    <row r="12" spans="1:28">
      <c r="D12" s="37" t="str">
        <f>A12&amp;"|"&amp;B12&amp;"|"&amp;C12</f>
        <v>||</v>
      </c>
      <c r="E12" s="37"/>
      <c r="F12" s="36" t="str">
        <f>A12&amp;"|"&amp;E12&amp;"|"&amp;C12</f>
        <v>||</v>
      </c>
      <c r="G12" s="125">
        <f>IF(LEFT($A12,4)="_Mil","",INDEX('Epi Cascade I'!$M:$M,MATCH($D12,'Epi Cascade I'!$D:$D,0)))</f>
        <v>0</v>
      </c>
      <c r="H12" s="14"/>
      <c r="I12" s="148">
        <f>IFERROR(INDEX(Summary!$N$17:$R$40,MATCH(TX!$B12&amp;"|"&amp;TX!$C12,Summary!$M$17:$M$40,0),MATCH(INDEX(Prioritization!$K:$K,MATCH($A12,Prioritization!$A:$A,0)),Summary!$N$14:$R$14,0)),0)</f>
        <v>0</v>
      </c>
      <c r="J12" s="125">
        <f>IF(LEFT($A12,4)="_Mil","",IFERROR(MIN($H12/INDEX('Epi Cascade I'!$L:$L,MATCH($D12,'Epi Cascade I'!$D:$D,0)),1),0))</f>
        <v>0</v>
      </c>
      <c r="K12" s="20">
        <f t="shared" ref="K12" si="0">ROUND(IF($B12="&lt;01",SUM($H12*$O12,$Q12*$N12),$H12*(1+$I12)),0)</f>
        <v>0</v>
      </c>
      <c r="L12" s="14" t="str">
        <f>IFERROR($K12/$J12,"")</f>
        <v/>
      </c>
      <c r="M12" s="125" t="str">
        <f>IFERROR($L12/INDEX('Epi Cascade I'!$I:$I,MATCH($D12,'Epi Cascade I'!$D:$D,0)),"")</f>
        <v/>
      </c>
      <c r="N12" s="148">
        <v>0.9</v>
      </c>
      <c r="O12" s="148">
        <v>0.95</v>
      </c>
      <c r="P12" s="125">
        <v>0</v>
      </c>
      <c r="Q12" s="20">
        <f>ROUND(IF($B12="&lt;01",INDEX(PMTCT_EID!$J:$J,MATCH($A12,PMTCT_EID!$A:$A,0))/2,($K12-$H12*$O12)/$N12),0)</f>
        <v>0</v>
      </c>
      <c r="R12" s="14">
        <f>ROUND($Q12*$P12,0)</f>
        <v>0</v>
      </c>
      <c r="S12" s="14">
        <f>IFERROR(INDEX(PMTCT_STAT_ART!$Z:$Z,MATCH($D12,PMTCT_STAT_ART!$D:$D,0)),"")</f>
        <v>0</v>
      </c>
      <c r="T12" s="14" t="str">
        <f>IF($B12="&lt;01",INDEX(PMTCT_EID!$J:$J,MATCH($A12,PMTCT_EID!$A:$A,0))/2,"")</f>
        <v/>
      </c>
      <c r="U12" s="14">
        <f>INDEX(TB_STAT_ART!$R:$R,MATCH($D12,TB_STAT_ART!$D:$D,0))</f>
        <v>0</v>
      </c>
      <c r="V12" s="14">
        <f>IFERROR(INDEX(VMMC!$S:$S,MATCH($D12,VMMC!$D:$D,0)),"")</f>
        <v>0</v>
      </c>
      <c r="W12" s="14">
        <f t="shared" ref="W12" si="1">$Q12-SUM($R12:$V12)</f>
        <v>0</v>
      </c>
      <c r="X12" s="148">
        <v>0.7</v>
      </c>
      <c r="Y12" s="148">
        <v>1</v>
      </c>
      <c r="Z12" s="20">
        <f>ROUND(($Q12*$X12+$H12)*$Y12,0)</f>
        <v>0</v>
      </c>
      <c r="AA12" s="148">
        <v>0.95</v>
      </c>
      <c r="AB12" s="20">
        <f t="shared" ref="AB12" si="2">ROUND($Z12*$AA12,0)</f>
        <v>0</v>
      </c>
    </row>
    <row r="13" spans="1:28">
      <c r="D13" s="37"/>
      <c r="E13" s="37"/>
      <c r="F13" s="36"/>
      <c r="G13" s="125"/>
      <c r="H13" s="14"/>
      <c r="I13" s="148"/>
      <c r="J13" s="125"/>
      <c r="K13" s="20"/>
      <c r="L13" s="14"/>
      <c r="M13" s="125"/>
      <c r="N13" s="148"/>
      <c r="O13" s="148"/>
      <c r="P13" s="125"/>
      <c r="Q13" s="20"/>
      <c r="R13" s="14"/>
      <c r="S13" s="14"/>
      <c r="T13" s="14"/>
      <c r="U13" s="14"/>
      <c r="V13" s="14"/>
      <c r="W13" s="14"/>
      <c r="X13" s="148"/>
      <c r="Y13" s="148"/>
      <c r="Z13" s="20"/>
      <c r="AA13" s="148"/>
      <c r="AB13" s="20"/>
    </row>
    <row r="14" spans="1:28">
      <c r="D14" s="37"/>
      <c r="E14" s="37"/>
      <c r="F14" s="36"/>
      <c r="G14" s="125"/>
      <c r="H14" s="14"/>
      <c r="I14" s="148"/>
      <c r="J14" s="125"/>
      <c r="K14" s="20"/>
      <c r="L14" s="14"/>
      <c r="M14" s="125"/>
      <c r="N14" s="148"/>
      <c r="O14" s="148"/>
      <c r="P14" s="125"/>
      <c r="Q14" s="20"/>
      <c r="R14" s="14"/>
      <c r="S14" s="14"/>
      <c r="T14" s="14"/>
      <c r="U14" s="14"/>
      <c r="V14" s="14"/>
      <c r="W14" s="14"/>
      <c r="X14" s="148"/>
      <c r="Y14" s="148"/>
      <c r="Z14" s="20"/>
      <c r="AA14" s="148"/>
      <c r="AB14" s="20"/>
    </row>
    <row r="15" spans="1:28">
      <c r="D15" s="37"/>
      <c r="E15" s="37"/>
      <c r="F15" s="36"/>
      <c r="G15" s="125"/>
      <c r="H15" s="14"/>
      <c r="I15" s="148"/>
      <c r="J15" s="125"/>
      <c r="K15" s="20"/>
      <c r="L15" s="14"/>
      <c r="M15" s="125"/>
      <c r="N15" s="148"/>
      <c r="O15" s="148"/>
      <c r="P15" s="125"/>
      <c r="Q15" s="20"/>
      <c r="R15" s="14"/>
      <c r="S15" s="14"/>
      <c r="T15" s="14"/>
      <c r="U15" s="14"/>
      <c r="V15" s="14"/>
      <c r="W15" s="14"/>
      <c r="X15" s="148"/>
      <c r="Y15" s="148"/>
      <c r="Z15" s="20"/>
      <c r="AA15" s="148"/>
      <c r="AB15" s="20"/>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sheetData>
  <conditionalFormatting sqref="Q1:W4 Q11:W1048576">
    <cfRule type="expression" dxfId="35" priority="13">
      <formula>$W1&lt;0</formula>
    </cfRule>
  </conditionalFormatting>
  <conditionalFormatting sqref="M1:M4 M11:M1048576">
    <cfRule type="expression" dxfId="34" priority="12">
      <formula>AND(ISNUMBER($M1),$M1&gt;100%)</formula>
    </cfRule>
  </conditionalFormatting>
  <conditionalFormatting sqref="S1:S4 S11:S1048576">
    <cfRule type="expression" dxfId="33" priority="11">
      <formula>OR($C1="Male",$B1="&lt;01",$B1="01-04",$B1="05-09")</formula>
    </cfRule>
  </conditionalFormatting>
  <conditionalFormatting sqref="T1:T4 T11:T1048576">
    <cfRule type="expression" dxfId="32" priority="9">
      <formula>OR($B1="01-04",$B1="05-09",$B1="10-14",$B1="15-19",$B1="20-24",$B1="25-29",$B1="30-34",$B1="35-39",$B1="40-44",$B1="45-49",$B1="50+")</formula>
    </cfRule>
  </conditionalFormatting>
  <conditionalFormatting sqref="V1:V4 V11:V1048576">
    <cfRule type="expression" dxfId="31" priority="8">
      <formula>OR($C1="Female",$B1="&lt;01",$B1="01-04",$B1="05-09")</formula>
    </cfRule>
  </conditionalFormatting>
  <conditionalFormatting sqref="Z1:Z4 Z11:Z1048576">
    <cfRule type="expression" dxfId="30" priority="7">
      <formula>$Z1&gt;$K1</formula>
    </cfRule>
  </conditionalFormatting>
  <conditionalFormatting sqref="N1:N4 N11:N1048576">
    <cfRule type="expression" dxfId="29" priority="6">
      <formula>AND(ISNUMBER(N1),N1&lt;&gt;0.9)</formula>
    </cfRule>
  </conditionalFormatting>
  <conditionalFormatting sqref="O1:O4 AA1:AA4 AA11:AA1048576 O11:O1048576">
    <cfRule type="expression" dxfId="28" priority="5">
      <formula>AND(ISNUMBER(O1),O1&lt;&gt;0.95)</formula>
    </cfRule>
  </conditionalFormatting>
  <conditionalFormatting sqref="X1:X4 X11:X1048576">
    <cfRule type="expression" dxfId="27" priority="4">
      <formula>AND(ISNUMBER(X1),X1&lt;&gt;0.7)</formula>
    </cfRule>
  </conditionalFormatting>
  <conditionalFormatting sqref="Y1:Y4 Y11: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99">
      <formula>COUNTA($A:$A)+5-COUNTA($A$1:$A$11)-COUNTBLANK(G$1:G$11)&lt;&gt;COUNTA(G:G)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1"/>
  <sheetViews>
    <sheetView workbookViewId="0">
      <pane xSplit="6" ySplit="11" topLeftCell="G12" activePane="bottomRight" state="frozen"/>
      <selection activeCell="B5" sqref="B5"/>
      <selection pane="topRight" activeCell="B5" sqref="B5"/>
      <selection pane="bottomLeft" activeCell="B5" sqref="B5"/>
      <selection pane="bottomRight" activeCell="C5" sqref="C5:F7"/>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SUBTOTAL(101,G$12:INDEX(G:G,COUNTA($A:$A)+5-COUNTA($A$1:$A$11)))</f>
        <v>0.5</v>
      </c>
      <c r="H4" s="23">
        <f>SUBTOTAL(109,H$12:INDEX(H:H,COUNTA($A:$A)+5-COUNTA($A$1:$A$11)))</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s="9" t="s">
        <v>6</v>
      </c>
      <c r="B11" s="9" t="s">
        <v>53</v>
      </c>
      <c r="C11" s="9" t="s">
        <v>7</v>
      </c>
      <c r="D11" s="79" t="s">
        <v>244</v>
      </c>
      <c r="E11" s="79" t="s">
        <v>258</v>
      </c>
      <c r="F11" s="79" t="s">
        <v>259</v>
      </c>
      <c r="G11" s="131" t="s">
        <v>352</v>
      </c>
      <c r="H11" s="24" t="s">
        <v>353</v>
      </c>
    </row>
    <row r="12" spans="1:8">
      <c r="A12" s="2"/>
      <c r="D12" s="37" t="str">
        <f>A12&amp;"|"&amp;B12&amp;"|"&amp;C12</f>
        <v>||</v>
      </c>
      <c r="F12" s="36" t="str">
        <f>A12&amp;"|"&amp;E12&amp;"|"&amp;C12</f>
        <v>||</v>
      </c>
      <c r="G12" s="140">
        <v>0.5</v>
      </c>
      <c r="H12" s="25">
        <f>ROUNDUP($G12*INDEX(TX!$K:$K,MATCH($D12,TX!$D:$D,0)),0)</f>
        <v>0</v>
      </c>
    </row>
    <row r="13" spans="1:8">
      <c r="A13" s="2"/>
    </row>
    <row r="14" spans="1:8">
      <c r="A14" s="2"/>
    </row>
    <row r="15" spans="1:8">
      <c r="A15" s="2"/>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sheetData>
  <conditionalFormatting sqref="G1:G4 G11:G1048576">
    <cfRule type="expression" dxfId="23" priority="2">
      <formula>AND(ISNUMBER(G1),G1&lt;&gt;0.5)</formula>
    </cfRule>
  </conditionalFormatting>
  <conditionalFormatting sqref="H4">
    <cfRule type="expression" dxfId="22" priority="100">
      <formula>COUNTA($A:$A)+5-COUNTA($A$1:$A$11)-COUNTBLANK(H$1:H$11)&lt;&gt;COUNTA(H:H)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19"/>
  <sheetViews>
    <sheetView zoomScale="90" zoomScaleNormal="90" workbookViewId="0">
      <pane xSplit="7" ySplit="11" topLeftCell="BS12" activePane="bottomRight" state="frozen"/>
      <selection activeCell="B5" sqref="B5"/>
      <selection pane="topRight" activeCell="B5" sqref="B5"/>
      <selection pane="bottomLeft" activeCell="B5" sqref="B5"/>
      <selection pane="bottomRight" activeCell="C5" sqref="C5:F7"/>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40" t="s">
        <v>526</v>
      </c>
      <c r="B3" s="341"/>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SUBTOTAL(101,G$12:INDEX(G:G,COUNTA($A:$A)+2))</f>
        <v>0</v>
      </c>
      <c r="H4" s="28">
        <f>SUBTOTAL(109,H$12:INDEX(H:H,COUNTA($A:$A)+5-COUNTA($A$1:$A$11)))</f>
        <v>0</v>
      </c>
      <c r="I4" s="28">
        <f>SUBTOTAL(109,I$12:INDEX(I:I,COUNTA($A:$A)+5-COUNTA($A$1:$A$11)))</f>
        <v>0</v>
      </c>
      <c r="J4" s="153">
        <f>SUBTOTAL(101,J$12:INDEX(J:J,COUNTA($A:$A)+5-COUNTA($A$1:$A$11)))</f>
        <v>0.9</v>
      </c>
      <c r="K4" s="28">
        <f>SUBTOTAL(109,K$12:INDEX(K:K,COUNTA($A:$A)+5-COUNTA($A$1:$A$11)))</f>
        <v>0</v>
      </c>
      <c r="L4" s="28">
        <f>SUBTOTAL(109,L$12:INDEX(L:L,COUNTA($A:$A)+5-COUNTA($A$1:$A$11)))</f>
        <v>0</v>
      </c>
      <c r="M4" s="28">
        <f>SUBTOTAL(109,M$12:INDEX(M:M,COUNTA($A:$A)+5-COUNTA($A$1:$A$11)))</f>
        <v>0</v>
      </c>
      <c r="N4" s="28">
        <f>SUBTOTAL(109,N$12:INDEX(N:N,COUNTA($A:$A)+5-COUNTA($A$1:$A$11)))</f>
        <v>0</v>
      </c>
      <c r="O4" s="28">
        <f>SUBTOTAL(109,O$12:INDEX(O:O,COUNTA($A:$A)+5-COUNTA($A$1:$A$11)))</f>
        <v>0</v>
      </c>
      <c r="P4" s="28">
        <f>SUBTOTAL(109,P$12:INDEX(P:P,COUNTA($A:$A)+5-COUNTA($A$1:$A$11)))</f>
        <v>0</v>
      </c>
      <c r="Q4" s="159" t="e">
        <f>SUBTOTAL(101,Q$12:INDEX(Q:Q,COUNTA($A:$A)+5-COUNTA($A$1:$A$11)))</f>
        <v>#N/A</v>
      </c>
      <c r="R4" s="138" t="e">
        <f>SUBTOTAL(101,R$12:INDEX(R:R,COUNTA($A:$A)+5-COUNTA($A$1:$A$11)))</f>
        <v>#DIV/0!</v>
      </c>
      <c r="S4" s="138" t="e">
        <f>SUBTOTAL(101,S$12:INDEX(S:S,COUNTA($A:$A)+5-COUNTA($A$1:$A$11)))</f>
        <v>#DIV/0!</v>
      </c>
      <c r="T4" s="138" t="e">
        <f>SUBTOTAL(101,T$12:INDEX(T:T,COUNTA($A:$A)+5-COUNTA($A$1:$A$11)))</f>
        <v>#DIV/0!</v>
      </c>
      <c r="U4" s="23">
        <f>SUBTOTAL(109,U$12:INDEX(U:U,COUNTA($A:$A)+5-COUNTA($A$1:$A$11)))</f>
        <v>0</v>
      </c>
      <c r="V4" s="23">
        <f>SUBTOTAL(109,V$12:INDEX(V:V,COUNTA($A:$A)+5-COUNTA($A$1:$A$11)))</f>
        <v>0</v>
      </c>
      <c r="W4" s="23">
        <f>SUBTOTAL(109,W$12:INDEX(W:W,COUNTA($A:$A)+5-COUNTA($A$1:$A$11)))</f>
        <v>0</v>
      </c>
      <c r="X4" s="23">
        <f>SUBTOTAL(109,X$12:INDEX(X:X,COUNTA($A:$A)+5-COUNTA($A$1:$A$11)))</f>
        <v>0</v>
      </c>
      <c r="Y4" s="159" t="e">
        <f>SUBTOTAL(101,Y$12:INDEX(Y:Y,COUNTA($A:$A)+5-COUNTA($A$1:$A$11)))</f>
        <v>#DIV/0!</v>
      </c>
      <c r="Z4" s="153" t="e">
        <f>SUBTOTAL(101,Z$12:INDEX(Z:Z,COUNTA($A:$A)+5-COUNTA($A$1:$A$11)))</f>
        <v>#DIV/0!</v>
      </c>
      <c r="AA4" s="153">
        <f>SUBTOTAL(101,AA$12:INDEX(AA:AA,COUNTA($A:$A)+5-COUNTA($A$1:$A$11)))</f>
        <v>0</v>
      </c>
      <c r="AB4" s="153" t="e">
        <f>SUBTOTAL(101,AB$12:INDEX(AB:AB,COUNTA($A:$A)+5-COUNTA($A$1:$A$11)))</f>
        <v>#DIV/0!</v>
      </c>
      <c r="AC4" s="153">
        <f>SUBTOTAL(101,AC$12:INDEX(AC:AC,COUNTA($A:$A)+5-COUNTA($A$1:$A$11)))</f>
        <v>0</v>
      </c>
      <c r="AD4" s="153">
        <f>SUBTOTAL(101,AD$12:INDEX(AD:AD,COUNTA($A:$A)+5-COUNTA($A$1:$A$11)))</f>
        <v>0</v>
      </c>
      <c r="AE4" s="153" t="e">
        <f>SUBTOTAL(101,AE$12:INDEX(AE:AE,COUNTA($A:$A)+5-COUNTA($A$1:$A$11)))</f>
        <v>#DIV/0!</v>
      </c>
      <c r="AF4" s="138" t="e">
        <f>SUBTOTAL(101,AF$12:INDEX(AF:AF,COUNTA($A:$A)+5-COUNTA($A$1:$A$11)))</f>
        <v>#DIV/0!</v>
      </c>
      <c r="AG4" s="138" t="e">
        <f>SUBTOTAL(101,AG$12:INDEX(AG:AG,COUNTA($A:$A)+5-COUNTA($A$1:$A$11)))</f>
        <v>#DIV/0!</v>
      </c>
      <c r="AH4" s="138" t="e">
        <f>SUBTOTAL(101,AH$12:INDEX(AH:AH,COUNTA($A:$A)+5-COUNTA($A$1:$A$11)))</f>
        <v>#DIV/0!</v>
      </c>
      <c r="AI4" s="138" t="e">
        <f>SUBTOTAL(101,AI$12:INDEX(AI:AI,COUNTA($A:$A)+5-COUNTA($A$1:$A$11)))</f>
        <v>#DIV/0!</v>
      </c>
      <c r="AJ4" s="138" t="e">
        <f>SUBTOTAL(101,AJ$12:INDEX(AJ:AJ,COUNTA($A:$A)+5-COUNTA($A$1:$A$11)))</f>
        <v>#DIV/0!</v>
      </c>
      <c r="AK4" s="138" t="e">
        <f>SUBTOTAL(101,AK$12:INDEX(AK:AK,COUNTA($A:$A)+5-COUNTA($A$1:$A$11)))</f>
        <v>#DIV/0!</v>
      </c>
      <c r="AL4" s="138" t="e">
        <f>SUBTOTAL(101,AL$12:INDEX(AL:AL,COUNTA($A:$A)+5-COUNTA($A$1:$A$11)))</f>
        <v>#DIV/0!</v>
      </c>
      <c r="AM4" s="138" t="e">
        <f>SUBTOTAL(101,AM$12:INDEX(AM:AM,COUNTA($A:$A)+5-COUNTA($A$1:$A$11)))</f>
        <v>#DIV/0!</v>
      </c>
      <c r="AN4" s="138">
        <f>SUBTOTAL(101,AN$12:INDEX(AN:AN,COUNTA($A:$A)+5-COUNTA($A$1:$A$11)))</f>
        <v>1</v>
      </c>
      <c r="AO4" s="138" t="e">
        <f>SUBTOTAL(101,AO$12:INDEX(AO:AO,COUNTA($A:$A)+5-COUNTA($A$1:$A$11)))</f>
        <v>#DIV/0!</v>
      </c>
      <c r="AP4" s="159" t="e">
        <f>SUBTOTAL(101,AP$12:INDEX(AP:AP,COUNTA($A:$A)+5-COUNTA($A$1:$A$11)))</f>
        <v>#DIV/0!</v>
      </c>
      <c r="AQ4" s="23">
        <f>SUBTOTAL(109,AQ$12:INDEX(AQ:AQ,COUNTA($A:$A)+5-COUNTA($A$1:$A$11)))</f>
        <v>0</v>
      </c>
      <c r="AR4" s="23">
        <f>SUBTOTAL(109,AR$12:INDEX(AR:AR,COUNTA($A:$A)+5-COUNTA($A$1:$A$11)))</f>
        <v>0</v>
      </c>
      <c r="AS4" s="159" t="e">
        <f>SUBTOTAL(101,AS$12:INDEX(AS:AS,COUNTA($A:$A)+5-COUNTA($A$1:$A$11)))</f>
        <v>#DIV/0!</v>
      </c>
      <c r="AT4" s="23">
        <f>SUBTOTAL(109,AT$12:INDEX(AT:AT,COUNTA($A:$A)+5-COUNTA($A$1:$A$11)))</f>
        <v>0</v>
      </c>
      <c r="AU4" s="23">
        <f>SUBTOTAL(109,AU$12:INDEX(AU:AU,COUNTA($A:$A)+5-COUNTA($A$1:$A$11)))</f>
        <v>0</v>
      </c>
      <c r="AV4" s="159" t="e">
        <f>SUBTOTAL(101,AV$12:INDEX(AV:AV,COUNTA($A:$A)+5-COUNTA($A$1:$A$11)))</f>
        <v>#DIV/0!</v>
      </c>
      <c r="AW4" s="23">
        <f>SUBTOTAL(109,AW$12:INDEX(AW:AW,COUNTA($A:$A)+5-COUNTA($A$1:$A$11)))</f>
        <v>0</v>
      </c>
      <c r="AX4" s="23">
        <f>SUBTOTAL(109,AX$12:INDEX(AX:AX,COUNTA($A:$A)+5-COUNTA($A$1:$A$11)))</f>
        <v>0</v>
      </c>
      <c r="AY4" s="159" t="e">
        <f>SUBTOTAL(101,AY$12:INDEX(AY:AY,COUNTA($A:$A)+5-COUNTA($A$1:$A$11)))</f>
        <v>#DIV/0!</v>
      </c>
      <c r="AZ4" s="23">
        <f>SUBTOTAL(109,AZ$12:INDEX(AZ:AZ,COUNTA($A:$A)+5-COUNTA($A$1:$A$11)))</f>
        <v>0</v>
      </c>
      <c r="BA4" s="23">
        <f>SUBTOTAL(109,BA$12:INDEX(BA:BA,COUNTA($A:$A)+5-COUNTA($A$1:$A$11)))</f>
        <v>0</v>
      </c>
      <c r="BB4" s="159" t="e">
        <f>SUBTOTAL(101,BB$12:INDEX(BB:BB,COUNTA($A:$A)+5-COUNTA($A$1:$A$11)))</f>
        <v>#DIV/0!</v>
      </c>
      <c r="BC4" s="23">
        <f>SUBTOTAL(109,BC$12:INDEX(BC:BC,COUNTA($A:$A)+5-COUNTA($A$1:$A$11)))</f>
        <v>0</v>
      </c>
      <c r="BD4" s="23">
        <f>SUBTOTAL(109,BD$12:INDEX(BD:BD,COUNTA($A:$A)+5-COUNTA($A$1:$A$11)))</f>
        <v>0</v>
      </c>
      <c r="BE4" s="159" t="e">
        <f>SUBTOTAL(101,BE$12:INDEX(BE:BE,COUNTA($A:$A)+5-COUNTA($A$1:$A$11)))</f>
        <v>#DIV/0!</v>
      </c>
      <c r="BF4" s="23">
        <f>SUBTOTAL(109,BF$12:INDEX(BF:BF,COUNTA($A:$A)+5-COUNTA($A$1:$A$11)))</f>
        <v>0</v>
      </c>
      <c r="BG4" s="23">
        <f>SUBTOTAL(109,BG$12:INDEX(BG:BG,COUNTA($A:$A)+5-COUNTA($A$1:$A$11)))</f>
        <v>0</v>
      </c>
      <c r="BH4" s="159" t="e">
        <f>SUBTOTAL(101,BH$12:INDEX(BH:BH,COUNTA($A:$A)+5-COUNTA($A$1:$A$11)))</f>
        <v>#DIV/0!</v>
      </c>
      <c r="BI4" s="23">
        <f>SUBTOTAL(109,BI$12:INDEX(BI:BI,COUNTA($A:$A)+5-COUNTA($A$1:$A$11)))</f>
        <v>0</v>
      </c>
      <c r="BJ4" s="23">
        <f>SUBTOTAL(109,BJ$12:INDEX(BJ:BJ,COUNTA($A:$A)+5-COUNTA($A$1:$A$11)))</f>
        <v>0</v>
      </c>
      <c r="BK4" s="159" t="e">
        <f>SUBTOTAL(101,BK$12:INDEX(BK:BK,COUNTA($A:$A)+5-COUNTA($A$1:$A$11)))</f>
        <v>#DIV/0!</v>
      </c>
      <c r="BL4" s="23">
        <f>SUBTOTAL(109,BL$12:INDEX(BL:BL,COUNTA($A:$A)+5-COUNTA($A$1:$A$11)))</f>
        <v>0</v>
      </c>
      <c r="BM4" s="23">
        <f>SUBTOTAL(109,BM$12:INDEX(BM:BM,COUNTA($A:$A)+5-COUNTA($A$1:$A$11)))</f>
        <v>0</v>
      </c>
      <c r="BN4" s="159" t="e">
        <f>SUBTOTAL(101,BN$12:INDEX(BN:BN,COUNTA($A:$A)+5-COUNTA($A$1:$A$11)))</f>
        <v>#DIV/0!</v>
      </c>
      <c r="BO4" s="23">
        <f>SUBTOTAL(109,BO$12:INDEX(BO:BO,COUNTA($A:$A)+5-COUNTA($A$1:$A$11)))</f>
        <v>0</v>
      </c>
      <c r="BP4" s="23">
        <f>SUBTOTAL(109,BP$12:INDEX(BP:BP,COUNTA($A:$A)+5-COUNTA($A$1:$A$11)))</f>
        <v>0</v>
      </c>
      <c r="BQ4" s="159" t="e">
        <f>SUBTOTAL(101,BQ$12:INDEX(BQ:BQ,COUNTA($A:$A)+5-COUNTA($A$1:$A$11)))</f>
        <v>#DIV/0!</v>
      </c>
      <c r="BR4" s="23">
        <f>SUBTOTAL(109,BR$12:INDEX(BR:BR,COUNTA($A:$A)+5-COUNTA($A$1:$A$11)))</f>
        <v>0</v>
      </c>
      <c r="BS4" s="23">
        <f>SUBTOTAL(109,BS$12:INDEX(BS:BS,COUNTA($A:$A)+5-COUNTA($A$1:$A$11)))</f>
        <v>0</v>
      </c>
      <c r="BT4" s="102">
        <f>SUBTOTAL(109,BT$12:INDEX(BT:BT,COUNTA($A:$A)+5-COUNTA($A$1:$A$11)))</f>
        <v>0</v>
      </c>
      <c r="BU4" s="28">
        <f>SUBTOTAL(109,BU$12:INDEX(BU:BU,COUNTA($A:$A)+5-COUNTA($A$1:$A$11)))</f>
        <v>0</v>
      </c>
      <c r="BV4" s="138">
        <f>SUBTOTAL(101,BV$12:INDEX(BV:BV,COUNTA($A:$A)+5-COUNTA($A$1:$A$11)))</f>
        <v>0</v>
      </c>
      <c r="BW4" s="159" t="e">
        <f>SUBTOTAL(101,BW$12:INDEX(BW:BW,COUNTA($A:$A)+5-COUNTA($A$1:$A$11)))</f>
        <v>#DIV/0!</v>
      </c>
      <c r="BX4" s="23">
        <f>SUBTOTAL(109,BX$12:INDEX(BX:BX,COUNTA($A:$A)+5-COUNTA($A$1:$A$11)))</f>
        <v>0</v>
      </c>
      <c r="BY4" s="102">
        <f>SUBTOTAL(109,BY$12:INDEX(BY:BY,COUNTA($A:$A)+5-COUNTA($A$1:$A$11)))</f>
        <v>0</v>
      </c>
      <c r="BZ4" s="28">
        <f>SUBTOTAL(109,BZ$12:INDEX(BZ:BZ,COUNTA($A:$A)+5-COUNTA($A$1:$A$11)))</f>
        <v>0</v>
      </c>
      <c r="CA4" s="138" t="e">
        <f>SUBTOTAL(101,CA$12:INDEX(CA:CA,COUNTA($A:$A)+5-COUNTA($A$1:$A$11)))</f>
        <v>#DIV/0!</v>
      </c>
      <c r="CB4" s="138">
        <f>SUBTOTAL(101,CB$12:INDEX(CB:CB,COUNTA($A:$A)+5-COUNTA($A$1:$A$11)))</f>
        <v>0</v>
      </c>
      <c r="CC4" s="23">
        <f>SUBTOTAL(109,CC$12:INDEX(CC:CC,COUNTA($A:$A)+5-COUNTA($A$1:$A$11)))</f>
        <v>0</v>
      </c>
      <c r="CD4" s="23">
        <f>SUBTOTAL(109,CD$12:INDEX(CD:CD,COUNTA($A:$A)+5-COUNTA($A$1:$A$11)))</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s="9" t="s">
        <v>6</v>
      </c>
      <c r="B11" s="5" t="s">
        <v>53</v>
      </c>
      <c r="C11" s="5" t="s">
        <v>7</v>
      </c>
      <c r="D11" s="5" t="s">
        <v>244</v>
      </c>
      <c r="E11" s="5" t="s">
        <v>258</v>
      </c>
      <c r="F11" s="5" t="s">
        <v>259</v>
      </c>
      <c r="G11" s="146" t="s">
        <v>330</v>
      </c>
      <c r="H11" s="352" t="s">
        <v>339</v>
      </c>
      <c r="I11" s="353" t="s">
        <v>345</v>
      </c>
      <c r="J11" s="354" t="s">
        <v>359</v>
      </c>
      <c r="K11" s="78" t="s">
        <v>355</v>
      </c>
      <c r="L11" s="78" t="s">
        <v>291</v>
      </c>
      <c r="M11" s="78" t="s">
        <v>312</v>
      </c>
      <c r="N11" s="78" t="s">
        <v>327</v>
      </c>
      <c r="O11" s="78" t="s">
        <v>360</v>
      </c>
      <c r="P11" s="78" t="s">
        <v>361</v>
      </c>
      <c r="Q11" s="355" t="s">
        <v>362</v>
      </c>
      <c r="R11" s="239" t="s">
        <v>513</v>
      </c>
      <c r="S11" s="239" t="s">
        <v>514</v>
      </c>
      <c r="T11" s="239" t="s">
        <v>515</v>
      </c>
      <c r="U11" s="83" t="s">
        <v>521</v>
      </c>
      <c r="V11" s="83" t="s">
        <v>522</v>
      </c>
      <c r="W11" s="83" t="s">
        <v>523</v>
      </c>
      <c r="X11" s="83" t="s">
        <v>524</v>
      </c>
      <c r="Y11" s="355" t="s">
        <v>363</v>
      </c>
      <c r="Z11" s="356" t="s">
        <v>364</v>
      </c>
      <c r="AA11" s="356" t="s">
        <v>365</v>
      </c>
      <c r="AB11" s="356" t="s">
        <v>366</v>
      </c>
      <c r="AC11" s="356" t="s">
        <v>528</v>
      </c>
      <c r="AD11" s="356" t="s">
        <v>527</v>
      </c>
      <c r="AE11" s="356" t="s">
        <v>367</v>
      </c>
      <c r="AF11" s="239" t="s">
        <v>368</v>
      </c>
      <c r="AG11" s="239" t="s">
        <v>369</v>
      </c>
      <c r="AH11" s="239" t="s">
        <v>370</v>
      </c>
      <c r="AI11" s="239" t="s">
        <v>371</v>
      </c>
      <c r="AJ11" s="239" t="s">
        <v>372</v>
      </c>
      <c r="AK11" s="239" t="s">
        <v>373</v>
      </c>
      <c r="AL11" s="239" t="s">
        <v>374</v>
      </c>
      <c r="AM11" s="239" t="s">
        <v>375</v>
      </c>
      <c r="AN11" s="239" t="s">
        <v>376</v>
      </c>
      <c r="AO11" s="239" t="s">
        <v>377</v>
      </c>
      <c r="AP11" s="355" t="s">
        <v>378</v>
      </c>
      <c r="AQ11" s="78" t="s">
        <v>379</v>
      </c>
      <c r="AR11" s="78" t="s">
        <v>380</v>
      </c>
      <c r="AS11" s="355" t="s">
        <v>381</v>
      </c>
      <c r="AT11" s="78" t="s">
        <v>382</v>
      </c>
      <c r="AU11" s="78" t="s">
        <v>383</v>
      </c>
      <c r="AV11" s="355" t="s">
        <v>384</v>
      </c>
      <c r="AW11" s="78" t="s">
        <v>385</v>
      </c>
      <c r="AX11" s="78" t="s">
        <v>386</v>
      </c>
      <c r="AY11" s="355" t="s">
        <v>387</v>
      </c>
      <c r="AZ11" s="78" t="s">
        <v>388</v>
      </c>
      <c r="BA11" s="78" t="s">
        <v>389</v>
      </c>
      <c r="BB11" s="355" t="s">
        <v>390</v>
      </c>
      <c r="BC11" s="78" t="s">
        <v>391</v>
      </c>
      <c r="BD11" s="78" t="s">
        <v>392</v>
      </c>
      <c r="BE11" s="355" t="s">
        <v>393</v>
      </c>
      <c r="BF11" s="78" t="s">
        <v>394</v>
      </c>
      <c r="BG11" s="78" t="s">
        <v>395</v>
      </c>
      <c r="BH11" s="355" t="s">
        <v>396</v>
      </c>
      <c r="BI11" s="78" t="s">
        <v>397</v>
      </c>
      <c r="BJ11" s="78" t="s">
        <v>398</v>
      </c>
      <c r="BK11" s="355" t="s">
        <v>399</v>
      </c>
      <c r="BL11" s="78" t="s">
        <v>400</v>
      </c>
      <c r="BM11" s="78" t="s">
        <v>401</v>
      </c>
      <c r="BN11" s="355" t="s">
        <v>402</v>
      </c>
      <c r="BO11" s="78" t="s">
        <v>403</v>
      </c>
      <c r="BP11" s="78" t="s">
        <v>404</v>
      </c>
      <c r="BQ11" s="355" t="s">
        <v>405</v>
      </c>
      <c r="BR11" s="78" t="s">
        <v>406</v>
      </c>
      <c r="BS11" s="78" t="s">
        <v>407</v>
      </c>
      <c r="BT11" s="357" t="s">
        <v>616</v>
      </c>
      <c r="BU11" s="358" t="s">
        <v>408</v>
      </c>
      <c r="BV11" s="239" t="s">
        <v>409</v>
      </c>
      <c r="BW11" s="355" t="s">
        <v>410</v>
      </c>
      <c r="BX11" s="78" t="s">
        <v>411</v>
      </c>
      <c r="BY11" s="352" t="s">
        <v>412</v>
      </c>
      <c r="BZ11" s="78" t="s">
        <v>413</v>
      </c>
      <c r="CA11" s="239" t="s">
        <v>414</v>
      </c>
      <c r="CB11" s="239" t="s">
        <v>415</v>
      </c>
      <c r="CC11" s="78" t="s">
        <v>416</v>
      </c>
      <c r="CD11" s="78" t="s">
        <v>417</v>
      </c>
    </row>
    <row r="12" spans="1:82">
      <c r="D12" s="37" t="str">
        <f>A12&amp;"|"&amp;B12&amp;"|"&amp;C12</f>
        <v>||</v>
      </c>
      <c r="E12" s="37"/>
      <c r="F12" s="36" t="str">
        <f>A12&amp;"|"&amp;E12&amp;"|"&amp;C12</f>
        <v>||</v>
      </c>
      <c r="G12" s="125">
        <f>IF(LEFT($A12,4)="_Mil","",INDEX('Epi Cascade I'!$M:$M,MATCH($D12,'Epi Cascade I'!$D:$D,0)))</f>
        <v>0</v>
      </c>
      <c r="H12" s="53">
        <f>INDEX(TX!$Q:$Q,MATCH($D12,TX!$D:$D,0))</f>
        <v>0</v>
      </c>
      <c r="I12" s="53">
        <f>INDEX(TX!$W:$W,MATCH($D12,TX!$D:$D,0))</f>
        <v>0</v>
      </c>
      <c r="J12" s="154">
        <v>0.9</v>
      </c>
      <c r="K12" s="35">
        <f>IFERROR(INDEX(PMTCT_STAT_ART!$N:$N,MATCH($D12,PMTCT_STAT_ART!$D:$D,0)),"")</f>
        <v>0</v>
      </c>
      <c r="L12" s="35">
        <f>IFERROR(INDEX(PMTCT_STAT_ART!$V:$V,MATCH($D12,PMTCT_STAT_ART!$D:$D,0)),"")</f>
        <v>0</v>
      </c>
      <c r="M12" s="35">
        <f>IFERROR(INDEX(TB_STAT_ART!$N:$N,MATCH($D12,TB_STAT_ART!$D:$D,0)),"")</f>
        <v>0</v>
      </c>
      <c r="N12" s="35">
        <f>IFERROR(INDEX(VMMC!$Q:$Q,MATCH($D12,VMMC!$D:$D,0)),"")</f>
        <v>0</v>
      </c>
      <c r="O12" s="35">
        <f t="shared" ref="O12" si="0">$I12/$J12</f>
        <v>0</v>
      </c>
      <c r="P12" s="35">
        <f>SUM($K12:$O12)</f>
        <v>0</v>
      </c>
      <c r="Q12" s="160" t="e">
        <f>INDEX(Prioritization!$L:$L,MATCH($A12,Prioritization!$A:$A,0))</f>
        <v>#N/A</v>
      </c>
      <c r="U12" s="42">
        <f>IFERROR(ROUND($P12*$Q12*$T12,0),0)</f>
        <v>0</v>
      </c>
      <c r="V12" s="42">
        <f>IFERROR(ROUND($U12/$R12,0),0)-$U12</f>
        <v>0</v>
      </c>
      <c r="W12" s="42">
        <f>IFERROR(ROUND($P12*$Q12,0),0)-$U12</f>
        <v>0</v>
      </c>
      <c r="X12" s="42">
        <f>IFERROR(ROUND($W12/$S12,0),0)-$W12</f>
        <v>0</v>
      </c>
      <c r="Y12" s="163" t="str">
        <f t="shared" ref="Y12" si="1">IF(AND($C12="Female",$B12&lt;&gt;"01-04",$B12&lt;&gt;"05-09"),IF($K12=0,0,$K12/$P12),"")</f>
        <v/>
      </c>
      <c r="Z12" s="163" t="str">
        <f t="shared" ref="Z12" si="2">IF(AND($C12="Female",$B12&lt;&gt;"01-04",$B12&lt;&gt;"05-09"),IF($L12=0,0,$L12/$P12),"")</f>
        <v/>
      </c>
      <c r="AA12" s="163">
        <f>IF($M12=0,0,$M12/$P12)</f>
        <v>0</v>
      </c>
      <c r="AB12" s="163" t="str">
        <f t="shared" ref="AB12" si="3">IF(AND($C12="Male",$B12&lt;&gt;"01-04",$B12&lt;&gt;"05-09"),IF($N12=0,0,$N12/$P12),"")</f>
        <v/>
      </c>
      <c r="AC12" s="163">
        <f>IF($U12=0,0,$U12/$P12)</f>
        <v>0</v>
      </c>
      <c r="AD12" s="163">
        <f>IF($W12=0,0,$W12/$P12)</f>
        <v>0</v>
      </c>
      <c r="AN12" s="139">
        <f>MAX(0,1-SUM(Y12:AM12))</f>
        <v>1</v>
      </c>
      <c r="AO12" s="139" t="str">
        <f t="shared" ref="AO12" si="4">IF($P12=0,"",SUM($Y12:$AN12))</f>
        <v/>
      </c>
      <c r="AQ12" s="25">
        <f t="shared" ref="AQ12" si="5">ROUND($P12*$AE12,0)</f>
        <v>0</v>
      </c>
      <c r="AR12" s="25">
        <f>IF(AQ12=0,0,ROUND(AQ12/AP12,0)-AQ12)</f>
        <v>0</v>
      </c>
      <c r="AT12" s="25">
        <f t="shared" ref="AT12" si="6">ROUND($P12*$AF12,0)</f>
        <v>0</v>
      </c>
      <c r="AU12" s="25">
        <f>IF(AT12=0,0,ROUND(AT12/AS12,0)-AT12)</f>
        <v>0</v>
      </c>
      <c r="AW12" s="25">
        <f t="shared" ref="AW12" si="7">ROUND($P12*$AG12,0)</f>
        <v>0</v>
      </c>
      <c r="AX12" s="25">
        <f>IF(AW12=0,0,ROUND(AW12/AV12,0)-AW12)</f>
        <v>0</v>
      </c>
      <c r="AZ12" s="25">
        <f t="shared" ref="AZ12" si="8">ROUND($P12*$AH12,0)</f>
        <v>0</v>
      </c>
      <c r="BA12" s="25">
        <f>IF(AZ12=0,0,ROUND(AZ12/AY12,0)-AZ12)</f>
        <v>0</v>
      </c>
      <c r="BC12" s="25">
        <f t="shared" ref="BC12" si="9">ROUND($P12*$AI12,0)</f>
        <v>0</v>
      </c>
      <c r="BD12" s="25">
        <f>IF(BC12=0,0,ROUND(BC12/BB12,0)-BC12)</f>
        <v>0</v>
      </c>
      <c r="BF12" s="25" t="str">
        <f t="shared" ref="BF12" si="10">IF($B12="01-04",ROUND($P12*$AJ12,0),"")</f>
        <v/>
      </c>
      <c r="BG12" s="25" t="str">
        <f>IF($B12="01-04",IF(BF12=0,0,ROUND(BF12/BE12,0)-BF12),"")</f>
        <v/>
      </c>
      <c r="BI12" s="25" t="str">
        <f t="shared" ref="BI12" si="11">IF($B12="01-04",ROUND($P12*$AK12,0),"")</f>
        <v/>
      </c>
      <c r="BJ12" s="25" t="str">
        <f>IF($B12="01-04",IF(BI12=0,0,ROUND(BI12/BH12,0)-BI12),"")</f>
        <v/>
      </c>
      <c r="BL12" s="25">
        <f t="shared" ref="BL12" si="12">ROUND($P12*$AL12,0)</f>
        <v>0</v>
      </c>
      <c r="BM12" s="25">
        <f>IF(BL12=0,0,ROUND(BL12/BK12,0)-BL12)</f>
        <v>0</v>
      </c>
      <c r="BO12" s="25">
        <f t="shared" ref="BO12" si="13">ROUND($P12*$AM12,0)</f>
        <v>0</v>
      </c>
      <c r="BP12" s="25">
        <f>IF(BO12=0,0,ROUND(BO12/BN12,0)-BO12)</f>
        <v>0</v>
      </c>
      <c r="BR12" s="25">
        <f t="shared" ref="BR12" si="14">ROUND($P12*$AN12,0)</f>
        <v>0</v>
      </c>
      <c r="BS12" s="25">
        <f>IF(BR12=0,0,ROUND(BR12/BQ12,0)-BR12)</f>
        <v>0</v>
      </c>
      <c r="BT12" s="82">
        <f>ROUND(SUM($K12,$L12,$M12,$N12,$U12,$W12,$AQ12,$AT12,$AW12,$AZ12,$BC12,$BF12,$BI12,$BL12,$BO12,$BR12),0)</f>
        <v>0</v>
      </c>
      <c r="BU12" s="318">
        <f>ROUND(SUM($K12:$N12,IFERROR(INDEX(PMTCT_STAT_ART!$O:$O,MATCH($D12,PMTCT_STAT_ART!$D:$D,0)),0),IFERROR(INDEX(PMTCT_STAT_ART!$W:$W,MATCH($D12,PMTCT_STAT_ART!$D:$D,0)),0),IFERROR(INDEX(TB_STAT_ART!$O:$O,MATCH($D12,TB_STAT_ART!$D:$D,0)),0),IFERROR(INDEX(VMMC!$R:$R,MATCH($D12,VMMC!$D:$D,0)),0),$U12,$V12,$W12,$X12,SUM(SUMIFS($AQ12:$BS12,$AQ$3:$BS$3,{"Positive","Negative"}))),0)</f>
        <v>0</v>
      </c>
      <c r="BV12" s="139">
        <f>IF($BT12=0,0,$P12/$BT12)</f>
        <v>0</v>
      </c>
      <c r="BX12" s="25">
        <f>IF(OR($B12="01-04",$B12="05-09",$B12="10-14"),"",ROUND($BW12*$BT12,0))</f>
        <v>0</v>
      </c>
      <c r="CB12" s="139">
        <f>IF(OR($B12="01-04",$B12="05-09"),"",IFERROR($BZ12/SUM($BY12,$BZ12),0))</f>
        <v>0</v>
      </c>
      <c r="CC12" s="25">
        <f>IF(OR($B12="01-04",$B12="05-09"),"",SUM($BY12,$BZ12)*(1+$CA12)*(1-$CB12))</f>
        <v>0</v>
      </c>
      <c r="CD12" s="25">
        <f>IF(OR($B12="01-04",$B12="05-09"),"",IF(SUM($BY12,$BZ12)=0,$CC12/(1-$CB12)-$CC12,SUM($BY12,$BZ12)*(1+$CA12)-$CC12))</f>
        <v>0</v>
      </c>
    </row>
    <row r="13" spans="1:82">
      <c r="D13" s="37"/>
      <c r="E13" s="37"/>
      <c r="F13" s="37"/>
      <c r="G13" s="125"/>
      <c r="H13" s="53"/>
      <c r="I13" s="53"/>
      <c r="J13" s="154"/>
      <c r="K13" s="35"/>
      <c r="L13" s="35"/>
      <c r="M13" s="35"/>
      <c r="N13" s="35"/>
      <c r="O13" s="35"/>
      <c r="P13" s="35"/>
    </row>
    <row r="14" spans="1:82">
      <c r="D14" s="37"/>
      <c r="E14" s="37"/>
      <c r="F14" s="37"/>
      <c r="G14" s="125"/>
      <c r="H14" s="53"/>
      <c r="I14" s="53"/>
      <c r="J14" s="154"/>
      <c r="K14" s="35"/>
      <c r="L14" s="35"/>
      <c r="M14" s="35"/>
      <c r="N14" s="35"/>
      <c r="O14" s="35"/>
      <c r="P14" s="35"/>
    </row>
    <row r="15" spans="1:82">
      <c r="D15" s="37"/>
      <c r="E15" s="37"/>
      <c r="F15" s="37"/>
      <c r="G15" s="125"/>
      <c r="H15" s="53"/>
      <c r="I15" s="53"/>
      <c r="J15" s="154"/>
      <c r="K15" s="35"/>
      <c r="L15" s="35"/>
      <c r="M15" s="35"/>
      <c r="N15" s="35"/>
      <c r="O15" s="35"/>
      <c r="P15" s="35"/>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sheetData>
  <mergeCells count="1">
    <mergeCell ref="A3:B3"/>
  </mergeCells>
  <conditionalFormatting sqref="Y1:AO4 Y11:AO1048576">
    <cfRule type="expression" dxfId="21" priority="23">
      <formula>AND(ISNUMBER($AO1),OR($AO1&lt;1,$AO1&gt;1))</formula>
    </cfRule>
  </conditionalFormatting>
  <conditionalFormatting sqref="I1:I4 I3620:I1048576 I11">
    <cfRule type="cellIs" dxfId="20" priority="13" operator="lessThan">
      <formula>0</formula>
    </cfRule>
  </conditionalFormatting>
  <conditionalFormatting sqref="K1:P4 K11:P1048576">
    <cfRule type="expression" dxfId="19" priority="12">
      <formula>$O1&lt;0</formula>
    </cfRule>
  </conditionalFormatting>
  <conditionalFormatting sqref="R1:T4 R11:T1048576">
    <cfRule type="expression" dxfId="18" priority="59">
      <formula>AND(OR($B1="15-19",$B1="20-24",$B1="25-29",$B1="30-34",$B1="35-39",$B1="40-44",$B1="45-49",$B1="50+"),$R1&lt;20%)</formula>
    </cfRule>
  </conditionalFormatting>
  <conditionalFormatting sqref="K1:L4 Y1:Z4 Y11:Z1048576 K11:L1048576">
    <cfRule type="expression" dxfId="17" priority="7">
      <formula>OR($C1="Male",$B1="01-04",$B1="05-09")</formula>
    </cfRule>
  </conditionalFormatting>
  <conditionalFormatting sqref="N1:N4 AB1:AB4 AB11:AB1048576 N11:N1048576">
    <cfRule type="expression" dxfId="16" priority="6">
      <formula>OR($C1="Female",$B1="01-04",$B1="05-09")</formula>
    </cfRule>
  </conditionalFormatting>
  <conditionalFormatting sqref="BE1:BJ4 BE12:BF12 BH12:BI12 AJ1:AK4 BE13:BJ1048576 AJ11:AK1048576 BE11:BJ11">
    <cfRule type="expression" dxfId="15" priority="5">
      <formula>OR($B1="05-09",$B1="10-14",$B1="15-19",$B1="20-24",$B1="25-29",$B1="30-34",$B1="35-39",$B1="40-44",$B1="45-49",$B1="50+")</formula>
    </cfRule>
  </conditionalFormatting>
  <conditionalFormatting sqref="BW1:BX4 BW11:BX1048576">
    <cfRule type="expression" dxfId="14" priority="4">
      <formula>OR($B1="01-04",$B1="05-09",$B1="10-14")</formula>
    </cfRule>
  </conditionalFormatting>
  <conditionalFormatting sqref="BY1:CD4 BY11:CD1048576">
    <cfRule type="expression" dxfId="13" priority="3">
      <formula>OR($B1="01-04",$B1="05-09")</formula>
    </cfRule>
  </conditionalFormatting>
  <conditionalFormatting sqref="J1:J4 J11: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22">
      <formula>COUNTA($A:$A)+5-COUNTA($A$1:$A$11)-COUNTBLANK(G$1:G$11)&lt;&gt;COUNTA(G:G)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2"/>
  <sheetViews>
    <sheetView zoomScaleNormal="100" workbookViewId="0">
      <pane xSplit="6" ySplit="11" topLeftCell="G12" activePane="bottomRight" state="frozen"/>
      <selection activeCell="B5" sqref="B5"/>
      <selection pane="topRight" activeCell="B5" sqref="B5"/>
      <selection pane="bottomLeft" activeCell="B5" sqref="B5"/>
      <selection pane="bottomRight" activeCell="C5" sqref="C5:F7"/>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SUBTOTAL(101,G$12:INDEX(G:G,COUNTA($A:$A)+5-COUNTA($A$1:$A$11)))</f>
        <v>1</v>
      </c>
      <c r="H4" s="138">
        <f>SUBTOTAL(101,H$12:INDEX(H:H,COUNTA($A:$A)+5-COUNTA($A$1:$A$11)))</f>
        <v>1</v>
      </c>
      <c r="I4" s="138" t="e">
        <f>SUBTOTAL(101,I$12:INDEX(I:I,COUNTA($A:$A)+5-COUNTA($A$1:$A$11)))</f>
        <v>#DIV/0!</v>
      </c>
      <c r="J4" s="138" t="e">
        <f>SUBTOTAL(101,J$12:INDEX(J:J,COUNTA($A:$A)+5-COUNTA($A$1:$A$11)))</f>
        <v>#DIV/0!</v>
      </c>
      <c r="K4" s="23">
        <f>SUBTOTAL(109,K$12:INDEX(K:K,COUNTA($A:$A)+5-COUNTA($A$1:$A$11)))</f>
        <v>0</v>
      </c>
      <c r="L4" s="23">
        <f>SUBTOTAL(109,L$12:INDEX(L:L,COUNTA($A:$A)+5-COUNTA($A$1:$A$11)))</f>
        <v>0</v>
      </c>
      <c r="M4" s="23">
        <f>SUBTOTAL(109,M$12:INDEX(M:M,COUNTA($A:$A)+5-COUNTA($A$1:$A$11)))</f>
        <v>0</v>
      </c>
      <c r="N4" s="23">
        <f>SUBTOTAL(109,N$12:INDEX(N:N,COUNTA($A:$A)+5-COUNTA($A$1:$A$11)))</f>
        <v>0</v>
      </c>
      <c r="O4" s="138" t="e">
        <f>SUBTOTAL(101,O$12:INDEX(O:O,COUNTA($A:$A)+5-COUNTA($A$1:$A$11)))</f>
        <v>#DIV/0!</v>
      </c>
      <c r="P4" s="138" t="e">
        <f>SUBTOTAL(101,P$12:INDEX(P:P,COUNTA($A:$A)+5-COUNTA($A$1:$A$11)))</f>
        <v>#DIV/0!</v>
      </c>
      <c r="Q4" s="23">
        <f>SUBTOTAL(109,Q$12:INDEX(Q:Q,COUNTA($A:$A)+5-COUNTA($A$1:$A$11)))</f>
        <v>0</v>
      </c>
      <c r="R4" s="23">
        <f>SUBTOTAL(109,R$12:INDEX(R:R,COUNTA($A:$A)+5-COUNTA($A$1:$A$11)))</f>
        <v>0</v>
      </c>
      <c r="S4" s="23">
        <f>SUBTOTAL(109,S$12:INDEX(S:S,COUNTA($A:$A)+5-COUNTA($A$1:$A$11)))</f>
        <v>0</v>
      </c>
      <c r="T4" s="23">
        <f>SUBTOTAL(109,T$12:INDEX(T:T,COUNTA($A:$A)+5-COUNTA($A$1:$A$11)))</f>
        <v>0</v>
      </c>
      <c r="U4" s="138">
        <f>SUBTOTAL(101,U$12:INDEX(U:U,COUNTA($A:$A)+5-COUNTA($A$1:$A$11)))</f>
        <v>0.85</v>
      </c>
      <c r="V4" s="23">
        <f>SUBTOTAL(109,V$12:INDEX(V:V,COUNTA($A:$A)+5-COUNTA($A$1:$A$11)))</f>
        <v>0</v>
      </c>
      <c r="W4" s="23">
        <f>SUBTOTAL(109,W$12:INDEX(W:W,COUNTA($A:$A)+5-COUNTA($A$1:$A$11)))</f>
        <v>0</v>
      </c>
      <c r="X4" s="23">
        <f>SUBTOTAL(109,X$12:INDEX(X:X,COUNTA($A:$A)+5-COUNTA($A$1:$A$11)))</f>
        <v>0</v>
      </c>
      <c r="Y4" s="23">
        <f>SUBTOTAL(109,Y$12:INDEX(Y:Y,COUNTA($A:$A)+5-COUNTA($A$1:$A$11)))</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s="9" t="s">
        <v>6</v>
      </c>
      <c r="B11" s="5" t="s">
        <v>53</v>
      </c>
      <c r="C11" s="5" t="s">
        <v>7</v>
      </c>
      <c r="D11" s="80" t="s">
        <v>244</v>
      </c>
      <c r="E11" s="80" t="s">
        <v>258</v>
      </c>
      <c r="F11" s="80" t="s">
        <v>259</v>
      </c>
      <c r="G11" s="146" t="s">
        <v>418</v>
      </c>
      <c r="H11" s="146" t="s">
        <v>419</v>
      </c>
      <c r="I11" s="146" t="s">
        <v>420</v>
      </c>
      <c r="J11" s="146" t="s">
        <v>421</v>
      </c>
      <c r="K11" s="78" t="s">
        <v>422</v>
      </c>
      <c r="L11" s="78" t="s">
        <v>423</v>
      </c>
      <c r="M11" s="78" t="s">
        <v>424</v>
      </c>
      <c r="N11" s="78" t="s">
        <v>425</v>
      </c>
      <c r="O11" s="239" t="s">
        <v>426</v>
      </c>
      <c r="P11" s="239" t="s">
        <v>427</v>
      </c>
      <c r="Q11" s="78" t="s">
        <v>428</v>
      </c>
      <c r="R11" s="78" t="s">
        <v>429</v>
      </c>
      <c r="S11" s="78" t="s">
        <v>430</v>
      </c>
      <c r="T11" s="78" t="s">
        <v>431</v>
      </c>
      <c r="U11" s="146" t="s">
        <v>432</v>
      </c>
      <c r="V11" s="78" t="s">
        <v>433</v>
      </c>
      <c r="W11" s="78" t="s">
        <v>434</v>
      </c>
      <c r="X11" s="78" t="s">
        <v>435</v>
      </c>
      <c r="Y11" s="78" t="s">
        <v>436</v>
      </c>
    </row>
    <row r="12" spans="1:25">
      <c r="D12" s="37" t="str">
        <f>A12&amp;"|"&amp;B12&amp;"|"&amp;C12</f>
        <v>||</v>
      </c>
      <c r="F12" s="36" t="str">
        <f>A12&amp;"|"&amp;E12&amp;"|"&amp;C12</f>
        <v>||</v>
      </c>
      <c r="G12" s="140">
        <v>1</v>
      </c>
      <c r="H12" s="140">
        <v>1</v>
      </c>
      <c r="K12" s="25">
        <f>ROUND(SUMIF(TX!$F:$F,$D12,TX!$Q:$Q)*$G12*$I12,0)</f>
        <v>0</v>
      </c>
      <c r="L12" s="25">
        <f>ROUND(SUMIF(TX!$F:$F,$D12,TX!$Q:$Q)*$G12,0)-$K12</f>
        <v>0</v>
      </c>
      <c r="M12" s="25">
        <f>ROUND(SUMIF(TX!$F:$F,$D12,TX!$H:$H)*$H12*$J12,0)</f>
        <v>0</v>
      </c>
      <c r="N12" s="25">
        <f>ROUND(SUMIF(TX!$F:$F,$D12,TX!$H:$H)*$H12,0)-$M12</f>
        <v>0</v>
      </c>
      <c r="Q12" s="25">
        <f>ROUND($L12*$O12,0)</f>
        <v>0</v>
      </c>
      <c r="R12" s="25">
        <f>$L12-$Q12</f>
        <v>0</v>
      </c>
      <c r="S12" s="25">
        <f>ROUND($N12*$P12,0)</f>
        <v>0</v>
      </c>
      <c r="T12" s="25">
        <f>$N12-$S12</f>
        <v>0</v>
      </c>
      <c r="U12" s="140">
        <v>0.85</v>
      </c>
      <c r="V12" s="25">
        <f>ROUND($Q12*$U12,0)</f>
        <v>0</v>
      </c>
      <c r="W12" s="25">
        <f>ROUND($R12*$U12,0)</f>
        <v>0</v>
      </c>
      <c r="X12" s="25">
        <f>ROUND($S12*$U12,0)</f>
        <v>0</v>
      </c>
      <c r="Y12" s="25">
        <f>ROUND($T12*$U12,0)</f>
        <v>0</v>
      </c>
    </row>
  </sheetData>
  <conditionalFormatting sqref="G1:H4 G11:H1048576">
    <cfRule type="expression" dxfId="10" priority="5">
      <formula>AND(ISNUMBER(G1),G1&lt;&gt;1)</formula>
    </cfRule>
  </conditionalFormatting>
  <conditionalFormatting sqref="U1:U4 U11:U1048576">
    <cfRule type="expression" dxfId="9" priority="4">
      <formula>AND(ISNUMBER(U1),U1&lt;&gt;0.85)</formula>
    </cfRule>
  </conditionalFormatting>
  <conditionalFormatting sqref="K4:N4 Q4:T4 V4:Y4">
    <cfRule type="expression" dxfId="8" priority="123">
      <formula>COUNTA($A:$A)+5-COUNTA($A$1:$A$11)-COUNTBLANK(K$1:K$11)&lt;&gt;COUNTA(K:K)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79"/>
  <sheetViews>
    <sheetView workbookViewId="0">
      <pane xSplit="5" ySplit="11" topLeftCell="F12" activePane="bottomRight" state="frozen"/>
      <selection activeCell="B5" sqref="B5"/>
      <selection pane="topRight" activeCell="B5" sqref="B5"/>
      <selection pane="bottomLeft" activeCell="B5" sqref="B5"/>
      <selection pane="bottomRight" activeCell="C5" sqref="C5:E7"/>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SUBTOTAL(109,F$12:INDEX(F:F,COUNTA($A:$A)+5-COUNTA($A$1:$A$11)))</f>
        <v>0</v>
      </c>
      <c r="G4" s="130" t="e">
        <f>SUBTOTAL(101,G$12:INDEX(G:G,COUNTA($A:$A)+5-COUNTA($A$1:$A$11)))</f>
        <v>#DIV/0!</v>
      </c>
      <c r="H4" s="130">
        <f>SUBTOTAL(101,H$12:INDEX(H:H,COUNTA($A:$A)+5-COUNTA($A$1:$A$11)))</f>
        <v>0.2</v>
      </c>
      <c r="I4" s="23">
        <f>SUBTOTAL(109,I$12:INDEX(I:I,COUNTA($A:$A)+5-COUNTA($A$1:$A$11)))</f>
        <v>0</v>
      </c>
      <c r="J4" s="23">
        <f>SUBTOTAL(109,J$12:INDEX(J:J,COUNTA($A:$A)+5-COUNTA($A$1:$A$11)))</f>
        <v>0</v>
      </c>
      <c r="K4" s="138">
        <f>SUBTOTAL(101,K$12:INDEX(K:K,COUNTA($A:$A)+5-COUNTA($A$1:$A$11)))</f>
        <v>1</v>
      </c>
      <c r="L4" s="23">
        <f>SUBTOTAL(109,L$12:INDEX(L:L,COUNTA($A:$A)+5-COUNTA($A$1:$A$11)))</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s="9" t="s">
        <v>6</v>
      </c>
      <c r="B11" s="9" t="s">
        <v>53</v>
      </c>
      <c r="C11" s="9" t="s">
        <v>7</v>
      </c>
      <c r="D11" s="9" t="s">
        <v>258</v>
      </c>
      <c r="E11" s="9" t="s">
        <v>259</v>
      </c>
      <c r="F11" s="78" t="s">
        <v>437</v>
      </c>
      <c r="G11" s="146" t="s">
        <v>438</v>
      </c>
      <c r="H11" s="146" t="s">
        <v>439</v>
      </c>
      <c r="I11" s="78" t="s">
        <v>440</v>
      </c>
      <c r="J11" s="78" t="s">
        <v>441</v>
      </c>
      <c r="K11" s="239" t="s">
        <v>442</v>
      </c>
      <c r="L11" s="78" t="s">
        <v>525</v>
      </c>
    </row>
    <row r="12" spans="1:12">
      <c r="E12" s="36" t="str">
        <f>A12&amp;"|"&amp;D12&amp;"|"&amp;C12</f>
        <v>||</v>
      </c>
      <c r="G12" s="139"/>
      <c r="H12" s="139">
        <v>0.2</v>
      </c>
      <c r="I12" s="25">
        <f>ROUND($F12*(1+$G12)*$H12,0)</f>
        <v>0</v>
      </c>
      <c r="J12" s="25">
        <f>IF(AND($F12=0,$I12&gt;0),ROUND($I12/$H12,0)-$I12,ROUND($F12*(1+$G12),0)-$I12)</f>
        <v>0</v>
      </c>
      <c r="K12" s="139">
        <f>IF($B12="18+","",100%)</f>
        <v>1</v>
      </c>
      <c r="L12" s="42">
        <f>IF($B12="18+","",SUM($I12:$J12)*$K12)</f>
        <v>0</v>
      </c>
    </row>
    <row r="13" spans="1:12">
      <c r="G13" s="139"/>
      <c r="H13" s="139"/>
      <c r="L13" s="42"/>
    </row>
    <row r="14" spans="1:12">
      <c r="G14" s="139"/>
      <c r="H14" s="139"/>
      <c r="L14" s="42"/>
    </row>
    <row r="15" spans="1:12">
      <c r="G15" s="139"/>
      <c r="H15" s="139"/>
      <c r="L15" s="42"/>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F39" s="3"/>
      <c r="G39" s="15"/>
      <c r="H39" s="139"/>
      <c r="I39" s="139"/>
      <c r="K39" s="25"/>
      <c r="L39" s="139"/>
      <c r="M39" s="42"/>
    </row>
    <row r="40" spans="6:13">
      <c r="G40" s="139"/>
      <c r="H40" s="139"/>
      <c r="L40" s="42"/>
    </row>
    <row r="41" spans="6:13">
      <c r="G41" s="139"/>
      <c r="H41" s="139"/>
      <c r="L41" s="42"/>
    </row>
    <row r="42" spans="6:13">
      <c r="G42" s="139"/>
      <c r="H42" s="139"/>
      <c r="L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sheetData>
  <conditionalFormatting sqref="K1:L4 L39:M39 K40:L1048576 K11:L38">
    <cfRule type="expression" dxfId="7" priority="4">
      <formula>$B1="18+"</formula>
    </cfRule>
  </conditionalFormatting>
  <conditionalFormatting sqref="K1:K4 K40:K1048576 L39 K11:K38">
    <cfRule type="expression" dxfId="6" priority="3">
      <formula>AND(ISNUMBER(K1),K1&lt;&gt;1)</formula>
    </cfRule>
  </conditionalFormatting>
  <conditionalFormatting sqref="H1:H4 H40:H1048576 I39 H11:H38">
    <cfRule type="expression" dxfId="5" priority="2">
      <formula>AND(ISNUMBER(H1),H1&lt;&gt;0.2)</formula>
    </cfRule>
  </conditionalFormatting>
  <conditionalFormatting sqref="L4">
    <cfRule type="expression" dxfId="4" priority="125">
      <formula>COUNTA($A:$A)+5-COUNTA($A$1:$A$11)-COUNTBLANK(L$1:L$11)&lt;&gt;COUNTA(L:L)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77"/>
  <sheetViews>
    <sheetView workbookViewId="0">
      <pane xSplit="3" ySplit="11" topLeftCell="I12" activePane="bottomRight" state="frozen"/>
      <selection activeCell="B5" sqref="B5"/>
      <selection pane="topRight" activeCell="B5" sqref="B5"/>
      <selection pane="bottomLeft" activeCell="B5" sqref="B5"/>
      <selection pane="bottomRight" activeCell="B5" sqref="B5:C7"/>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42" t="s">
        <v>225</v>
      </c>
      <c r="B3" s="343"/>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SUBTOTAL(109,D$12:INDEX(D:D,COUNTA($A:$A)+5-COUNTA($A$1:$A$11)))</f>
        <v>0</v>
      </c>
      <c r="E4" s="23">
        <f>SUBTOTAL(109,E$12:INDEX(E:E,COUNTA($A:$A)+5-COUNTA($A$1:$A$11)))</f>
        <v>0</v>
      </c>
      <c r="F4" s="135" t="e">
        <f>SUBTOTAL(101,F$12:INDEX(F:F,COUNTA($A:$A)+5-COUNTA($A$1:$A$11)))</f>
        <v>#DIV/0!</v>
      </c>
      <c r="G4" s="28">
        <f>SUBTOTAL(109,G$12:INDEX(G:G,COUNTA($A:$A)+5-COUNTA($A$1:$A$11)))</f>
        <v>0</v>
      </c>
      <c r="H4" s="23">
        <f>SUBTOTAL(109,H$12:INDEX(H:H,COUNTA($A:$A)+5-COUNTA($A$1:$A$11)))</f>
        <v>0</v>
      </c>
      <c r="I4" s="23">
        <f>SUBTOTAL(109,I$12:INDEX(I:I,COUNTA($A:$A)+5-COUNTA($A$1:$A$11)))</f>
        <v>0</v>
      </c>
      <c r="J4" s="28">
        <f>SUBTOTAL(109,J$12:INDEX(J:J,COUNTA($A:$A)+5-COUNTA($A$1:$A$11)))</f>
        <v>0</v>
      </c>
      <c r="K4" s="23">
        <f>SUBTOTAL(109,K$12:INDEX(K:K,COUNTA($A:$A)+5-COUNTA($A$1:$A$11)))</f>
        <v>0</v>
      </c>
      <c r="L4" s="28">
        <f>SUBTOTAL(109,L$12:INDEX(L:L,COUNTA($A:$A)+5-COUNTA($A$1:$A$11)))</f>
        <v>0</v>
      </c>
      <c r="M4" s="28">
        <f>SUBTOTAL(109,M$12:INDEX(M:M,COUNTA($A:$A)+5-COUNTA($A$1:$A$11)))</f>
        <v>0</v>
      </c>
      <c r="N4" s="23">
        <f>SUBTOTAL(109,N$12:INDEX(N:N,COUNTA($A:$A)+5-COUNTA($A$1:$A$11)))</f>
        <v>0</v>
      </c>
      <c r="O4" s="23">
        <f>SUBTOTAL(109,O$12:INDEX(O:O,COUNTA($A:$A)+5-COUNTA($A$1:$A$11)))</f>
        <v>0</v>
      </c>
      <c r="P4" s="28">
        <f>SUBTOTAL(109,P$12:INDEX(P:P,COUNTA($A:$A)+5-COUNTA($A$1:$A$11)))</f>
        <v>0</v>
      </c>
      <c r="Q4" s="23">
        <f>SUBTOTAL(109,Q$12:INDEX(Q:Q,COUNTA($A:$A)+5-COUNTA($A$1:$A$11)))</f>
        <v>0</v>
      </c>
      <c r="R4" s="23">
        <f>SUBTOTAL(109,R$12:INDEX(R:R,COUNTA($A:$A)+5-COUNTA($A$1:$A$11)))</f>
        <v>0</v>
      </c>
      <c r="S4" s="23">
        <f>SUBTOTAL(109,S$12:INDEX(S:S,COUNTA($A:$A)+5-COUNTA($A$1:$A$11)))</f>
        <v>0</v>
      </c>
      <c r="T4" s="23">
        <f>SUBTOTAL(109,T$12:INDEX(T:T,COUNTA($A:$A)+5-COUNTA($A$1:$A$11)))</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s="9" t="s">
        <v>6</v>
      </c>
      <c r="B11" s="9" t="s">
        <v>190</v>
      </c>
      <c r="C11" s="9" t="s">
        <v>244</v>
      </c>
      <c r="D11" s="24" t="s">
        <v>443</v>
      </c>
      <c r="E11" s="24" t="s">
        <v>444</v>
      </c>
      <c r="F11" s="124" t="s">
        <v>445</v>
      </c>
      <c r="G11" s="78" t="s">
        <v>446</v>
      </c>
      <c r="H11" s="24" t="s">
        <v>447</v>
      </c>
      <c r="I11" s="120" t="s">
        <v>448</v>
      </c>
      <c r="J11" s="78" t="s">
        <v>449</v>
      </c>
      <c r="K11" s="24" t="s">
        <v>450</v>
      </c>
      <c r="L11" s="78" t="s">
        <v>451</v>
      </c>
      <c r="M11" s="78" t="s">
        <v>452</v>
      </c>
      <c r="N11" s="24" t="s">
        <v>453</v>
      </c>
      <c r="O11" s="24" t="s">
        <v>454</v>
      </c>
      <c r="P11" s="83" t="s">
        <v>455</v>
      </c>
      <c r="Q11" s="24" t="s">
        <v>456</v>
      </c>
      <c r="R11" s="24" t="s">
        <v>457</v>
      </c>
      <c r="S11" s="78" t="s">
        <v>458</v>
      </c>
      <c r="T11" s="24" t="s">
        <v>459</v>
      </c>
    </row>
    <row r="12" spans="1:20">
      <c r="A12" s="2"/>
      <c r="B12" s="2"/>
      <c r="C12" s="2" t="str">
        <f>A12&amp;"|"&amp;B12</f>
        <v>|</v>
      </c>
      <c r="L12" s="25"/>
      <c r="M12" s="25"/>
    </row>
    <row r="13" spans="1:20">
      <c r="A13" s="2"/>
      <c r="B13" s="2"/>
      <c r="C13" s="2"/>
      <c r="L13" s="25"/>
      <c r="M13" s="25"/>
    </row>
    <row r="14" spans="1:20">
      <c r="A14" s="2"/>
      <c r="B14" s="2"/>
      <c r="C14" s="2"/>
    </row>
    <row r="15" spans="1:20">
      <c r="A15" s="2"/>
      <c r="B15" s="2"/>
      <c r="C15" s="2"/>
    </row>
    <row r="16" spans="1:20">
      <c r="A16" s="2"/>
      <c r="B16" s="2"/>
      <c r="C16" s="2"/>
      <c r="L16" s="25"/>
      <c r="M16" s="25"/>
    </row>
    <row r="17" spans="1:13">
      <c r="A17" s="2"/>
      <c r="B17" s="2"/>
      <c r="C17" s="2"/>
      <c r="L17" s="25"/>
      <c r="M17" s="25"/>
    </row>
    <row r="18" spans="1:13">
      <c r="A18" s="2"/>
      <c r="B18" s="2"/>
      <c r="C18" s="2"/>
    </row>
    <row r="19" spans="1:13">
      <c r="A19" s="2"/>
      <c r="B19" s="2"/>
      <c r="C19" s="2"/>
    </row>
    <row r="20" spans="1:13">
      <c r="A20" s="2"/>
      <c r="B20" s="2"/>
      <c r="C20" s="2"/>
      <c r="L20" s="25"/>
      <c r="M20" s="25"/>
    </row>
    <row r="21" spans="1:13">
      <c r="A21" s="2"/>
      <c r="B21" s="2"/>
      <c r="C21" s="2"/>
      <c r="L21" s="25"/>
      <c r="M21" s="25"/>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row>
    <row r="27" spans="1:13">
      <c r="A27" s="2"/>
      <c r="B27" s="2"/>
      <c r="C27" s="2"/>
      <c r="L27" s="25"/>
      <c r="M27" s="25"/>
    </row>
    <row r="28" spans="1:13">
      <c r="A28" s="2"/>
      <c r="B28" s="2"/>
      <c r="C28" s="2"/>
      <c r="L28" s="25"/>
      <c r="M28" s="25"/>
    </row>
    <row r="29" spans="1:13">
      <c r="A29" s="2"/>
      <c r="B29" s="2"/>
      <c r="C29" s="2"/>
    </row>
    <row r="30" spans="1:13">
      <c r="A30" s="2"/>
      <c r="B30" s="2"/>
      <c r="C30" s="2"/>
    </row>
    <row r="31" spans="1:13">
      <c r="A31" s="2"/>
      <c r="B31" s="2"/>
      <c r="C31" s="2"/>
      <c r="L31" s="25"/>
      <c r="M31" s="25"/>
    </row>
    <row r="32" spans="1:13">
      <c r="A32" s="2"/>
      <c r="B32" s="2"/>
      <c r="C32" s="2"/>
      <c r="L32" s="25"/>
      <c r="M32" s="25"/>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row>
    <row r="38" spans="1:13">
      <c r="A38" s="2"/>
      <c r="B38" s="2"/>
      <c r="C38" s="2"/>
      <c r="L38" s="25"/>
      <c r="M38" s="25"/>
    </row>
    <row r="39" spans="1:13">
      <c r="A39" s="2"/>
      <c r="B39" s="2"/>
      <c r="C39" s="2"/>
      <c r="L39" s="25"/>
      <c r="M39" s="25"/>
    </row>
    <row r="40" spans="1:13">
      <c r="A40" s="2"/>
      <c r="B40" s="2"/>
      <c r="C40" s="2"/>
    </row>
    <row r="41" spans="1:13">
      <c r="A41" s="2"/>
      <c r="B41" s="2"/>
      <c r="C41" s="2"/>
    </row>
    <row r="42" spans="1:13">
      <c r="A42" s="2"/>
      <c r="B42" s="2"/>
      <c r="C42" s="2"/>
      <c r="L42" s="25"/>
      <c r="M42" s="25"/>
    </row>
    <row r="43" spans="1:13">
      <c r="A43" s="2"/>
      <c r="B43" s="2"/>
      <c r="C43" s="2"/>
      <c r="L43" s="25"/>
      <c r="M43" s="25"/>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row>
    <row r="49" spans="1:13">
      <c r="A49" s="2"/>
      <c r="B49" s="2"/>
      <c r="C49" s="2"/>
      <c r="L49" s="25"/>
      <c r="M49" s="25"/>
    </row>
    <row r="50" spans="1:13">
      <c r="A50" s="2"/>
      <c r="B50" s="2"/>
      <c r="C50" s="2"/>
      <c r="L50" s="25"/>
      <c r="M50" s="25"/>
    </row>
    <row r="51" spans="1:13">
      <c r="A51" s="2"/>
      <c r="B51" s="2"/>
      <c r="C51" s="2"/>
    </row>
    <row r="52" spans="1:13">
      <c r="A52" s="2"/>
      <c r="B52" s="2"/>
      <c r="C52" s="2"/>
    </row>
    <row r="53" spans="1:13">
      <c r="A53" s="2"/>
      <c r="B53" s="2"/>
      <c r="C53" s="2"/>
      <c r="L53" s="25"/>
      <c r="M53" s="25"/>
    </row>
    <row r="54" spans="1:13">
      <c r="A54" s="2"/>
      <c r="B54" s="2"/>
      <c r="C54" s="2"/>
      <c r="L54" s="25"/>
      <c r="M54" s="25"/>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row>
    <row r="60" spans="1:13">
      <c r="A60" s="2"/>
      <c r="B60" s="2"/>
      <c r="C60" s="2"/>
      <c r="L60" s="25"/>
      <c r="M60" s="25"/>
    </row>
    <row r="61" spans="1:13">
      <c r="A61" s="2"/>
      <c r="B61" s="2"/>
      <c r="C61" s="2"/>
      <c r="L61" s="25"/>
      <c r="M61" s="25"/>
    </row>
    <row r="62" spans="1:13">
      <c r="A62" s="2"/>
      <c r="B62" s="2"/>
      <c r="C62" s="2"/>
    </row>
    <row r="63" spans="1:13">
      <c r="A63" s="2"/>
      <c r="B63" s="2"/>
      <c r="C63" s="2"/>
    </row>
    <row r="64" spans="1:13">
      <c r="A64" s="2"/>
      <c r="B64" s="2"/>
      <c r="C64" s="2"/>
      <c r="L64" s="25"/>
      <c r="M64" s="25"/>
    </row>
    <row r="65" spans="1:13">
      <c r="A65" s="2"/>
      <c r="B65" s="2"/>
      <c r="C65" s="2"/>
      <c r="L65" s="25"/>
      <c r="M65" s="25"/>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row>
    <row r="71" spans="1:13">
      <c r="A71" s="2"/>
      <c r="B71" s="2"/>
      <c r="C71" s="2"/>
      <c r="L71" s="25"/>
      <c r="M71" s="25"/>
    </row>
    <row r="72" spans="1:13">
      <c r="A72" s="2"/>
      <c r="B72" s="2"/>
      <c r="C72" s="2"/>
      <c r="L72" s="25"/>
      <c r="M72" s="25"/>
    </row>
    <row r="73" spans="1:13">
      <c r="A73" s="2"/>
      <c r="B73" s="2"/>
      <c r="C73" s="2"/>
    </row>
    <row r="74" spans="1:13">
      <c r="A74" s="2"/>
      <c r="B74" s="2"/>
      <c r="C74" s="2"/>
    </row>
    <row r="75" spans="1:13">
      <c r="A75" s="2"/>
      <c r="B75" s="2"/>
      <c r="C75" s="2"/>
      <c r="L75" s="25"/>
      <c r="M75" s="25"/>
    </row>
    <row r="76" spans="1:13">
      <c r="A76" s="2"/>
      <c r="B76" s="2"/>
      <c r="C76" s="2"/>
      <c r="L76" s="25"/>
      <c r="M76" s="25"/>
    </row>
    <row r="77" spans="1:13">
      <c r="A77" s="2"/>
      <c r="B77" s="2"/>
      <c r="C77" s="2"/>
    </row>
  </sheetData>
  <mergeCells count="1">
    <mergeCell ref="A3:B3"/>
  </mergeCells>
  <conditionalFormatting sqref="I1:K4 I11:K1048576">
    <cfRule type="expression" dxfId="3" priority="3">
      <formula>OR($B1="PWID",$B1="FSW",$B1="MSM not SW",$B1="MSM SW",$B1="MSM",$B1="People in prisons and other enclosed settings",$B1="TG SW",$B1="TG not SW",$B1="TG")</formula>
    </cfRule>
  </conditionalFormatting>
  <conditionalFormatting sqref="D1:F4 L1:T4 L11:T1048576 D11:F1048576">
    <cfRule type="expression" dxfId="2" priority="2">
      <formula>OR($B1="Female PWID",$B1="Male PWID",$B1="MSM not SW",$B1="MSM SW",$B1="TG SW",$B1="TG not SW")</formula>
    </cfRule>
  </conditionalFormatting>
  <conditionalFormatting sqref="G1:I4 G11: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3"/>
  <sheetViews>
    <sheetView workbookViewId="0">
      <pane xSplit="5" ySplit="11" topLeftCell="F12" activePane="bottomRight" state="frozen"/>
      <selection activeCell="B5" sqref="B5"/>
      <selection pane="topRight" activeCell="B5" sqref="B5"/>
      <selection pane="bottomLeft" activeCell="B5" sqref="B5"/>
      <selection pane="bottomRight" activeCell="C5" sqref="C5:E7"/>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SUBTOTAL(109,F$12:INDEX(F:F,COUNTA($A:$A)+5-COUNTA($A$1:$A$11)))</f>
        <v>0</v>
      </c>
      <c r="G4" s="130" t="e">
        <f>SUBTOTAL(101,G$12:INDEX(G:G,COUNTA($A:$A)+5-COUNTA($A$1:$A$11)))</f>
        <v>#DIV/0!</v>
      </c>
      <c r="H4" s="23">
        <f>SUBTOTAL(109,H$12:INDEX(H:H,COUNTA($A:$A)+5-COUNTA($A$1:$A$11)))</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s="5" t="s">
        <v>6</v>
      </c>
      <c r="B11" s="5" t="s">
        <v>53</v>
      </c>
      <c r="C11" s="5" t="s">
        <v>7</v>
      </c>
      <c r="D11" s="5" t="s">
        <v>258</v>
      </c>
      <c r="E11" s="80" t="s">
        <v>259</v>
      </c>
      <c r="F11" s="24" t="s">
        <v>460</v>
      </c>
      <c r="G11" s="131" t="s">
        <v>461</v>
      </c>
      <c r="H11" s="24" t="s">
        <v>462</v>
      </c>
    </row>
    <row r="12" spans="1:8">
      <c r="E12" s="37" t="str">
        <f>A12&amp;"|"&amp;D12&amp;"|"&amp;C12</f>
        <v>||</v>
      </c>
      <c r="G12" s="139"/>
      <c r="H12" s="25">
        <f>ROUND($F12*(1+$G12),0)</f>
        <v>0</v>
      </c>
    </row>
    <row r="13" spans="1:8">
      <c r="G13" s="139"/>
    </row>
    <row r="14" spans="1:8">
      <c r="G14" s="139"/>
    </row>
    <row r="15" spans="1:8">
      <c r="G15" s="139"/>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2"/>
  <sheetViews>
    <sheetView workbookViewId="0">
      <pane xSplit="5" ySplit="11" topLeftCell="F12" activePane="bottomRight" state="frozen"/>
      <selection activeCell="B5" sqref="B5"/>
      <selection pane="topRight" activeCell="B5" sqref="B5"/>
      <selection pane="bottomLeft" activeCell="B5" sqref="B5"/>
      <selection pane="bottomRight" activeCell="B5" sqref="B5:E7"/>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SUBTOTAL(109,F$12:INDEX(F:F,COUNTA($A:$A)+5-COUNTA($A$1:$A$11)))</f>
        <v>0</v>
      </c>
      <c r="G4" s="28">
        <f>SUBTOTAL(109,G$12:INDEX(G:G,COUNTA($A:$A)+5-COUNTA($A$1:$A$11)))</f>
        <v>0</v>
      </c>
      <c r="H4" s="28">
        <f>SUBTOTAL(109,H$12:INDEX(H:H,COUNTA($A:$A)+5-COUNTA($A$1:$A$11)))</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s="5" t="s">
        <v>6</v>
      </c>
      <c r="B11" s="5" t="s">
        <v>53</v>
      </c>
      <c r="C11" s="5" t="s">
        <v>7</v>
      </c>
      <c r="D11" s="5" t="s">
        <v>258</v>
      </c>
      <c r="E11" s="80" t="s">
        <v>259</v>
      </c>
      <c r="F11" s="24" t="s">
        <v>463</v>
      </c>
      <c r="G11" s="24" t="s">
        <v>464</v>
      </c>
      <c r="H11" s="24" t="s">
        <v>465</v>
      </c>
    </row>
    <row r="12" spans="1:8">
      <c r="E12" s="37" t="str">
        <f>A12&amp;"|"&amp;D12&amp;"|"&amp;C12</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2"/>
  <sheetViews>
    <sheetView workbookViewId="0">
      <pane xSplit="1" ySplit="11" topLeftCell="B12" activePane="bottomRight" state="frozen"/>
      <selection activeCell="B5" sqref="B5"/>
      <selection pane="topRight" activeCell="B5" sqref="B5"/>
      <selection pane="bottomLeft" activeCell="B5" sqref="B5"/>
      <selection pane="bottomRight" activeCell="A5" sqref="A5"/>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SUBTOTAL(109,B$12:INDEX(B:B,COUNTA($A:$A)+5-COUNTA($A$1:$A$11)))</f>
        <v>0</v>
      </c>
      <c r="C4" s="292">
        <f>SUBTOTAL(109,C$12:INDEX(C:C,COUNTA($A:$A)+5-COUNTA($A$1:$A$11)))</f>
        <v>0</v>
      </c>
      <c r="D4" s="282" t="e">
        <f>SUBTOTAL(101,D$12:INDEX(D:D,COUNTA($A:$A)+5-COUNTA($A$1:$A$11)))</f>
        <v>#DIV/0!</v>
      </c>
      <c r="E4" s="292">
        <f>SUBTOTAL(109,E$12:INDEX(E:E,COUNTA($A:$A)+5-COUNTA($A$1:$A$11)))</f>
        <v>0</v>
      </c>
      <c r="F4" s="292">
        <f>SUBTOTAL(109,F$12:INDEX(F:F,COUNTA($A:$A)+5-COUNTA($A$1:$A$11)))</f>
        <v>0</v>
      </c>
    </row>
    <row r="5" spans="1:6">
      <c r="A5" s="347" t="s">
        <v>625</v>
      </c>
      <c r="B5" t="s">
        <v>642</v>
      </c>
      <c r="C5" t="s">
        <v>642</v>
      </c>
      <c r="D5" t="s">
        <v>625</v>
      </c>
      <c r="E5" t="s">
        <v>642</v>
      </c>
      <c r="F5" t="s">
        <v>642</v>
      </c>
    </row>
    <row r="6" spans="1:6">
      <c r="A6" s="347" t="s">
        <v>764</v>
      </c>
      <c r="B6" t="s">
        <v>643</v>
      </c>
      <c r="C6" t="s">
        <v>643</v>
      </c>
      <c r="D6" t="s">
        <v>644</v>
      </c>
      <c r="E6" t="s">
        <v>617</v>
      </c>
      <c r="F6" t="s">
        <v>617</v>
      </c>
    </row>
    <row r="7" spans="1:6">
      <c r="A7" s="347" t="s">
        <v>641</v>
      </c>
      <c r="B7" t="s">
        <v>619</v>
      </c>
      <c r="C7" t="s">
        <v>619</v>
      </c>
      <c r="D7" t="s">
        <v>620</v>
      </c>
      <c r="E7" t="s">
        <v>619</v>
      </c>
      <c r="F7" t="s">
        <v>619</v>
      </c>
    </row>
    <row r="8" spans="1:6">
      <c r="A8" s="347"/>
      <c r="B8" t="s">
        <v>755</v>
      </c>
      <c r="C8" t="s">
        <v>755</v>
      </c>
      <c r="E8" t="s">
        <v>755</v>
      </c>
      <c r="F8" t="s">
        <v>755</v>
      </c>
    </row>
    <row r="9" spans="1:6">
      <c r="A9" s="347"/>
      <c r="B9" t="s">
        <v>756</v>
      </c>
      <c r="C9" t="s">
        <v>756</v>
      </c>
      <c r="E9" t="s">
        <v>756</v>
      </c>
      <c r="F9" t="s">
        <v>756</v>
      </c>
    </row>
    <row r="10" spans="1:6">
      <c r="A10" s="347"/>
      <c r="B10" t="s">
        <v>757</v>
      </c>
      <c r="C10" t="s">
        <v>758</v>
      </c>
      <c r="E10" t="s">
        <v>757</v>
      </c>
      <c r="F10" t="s">
        <v>758</v>
      </c>
    </row>
    <row r="11" spans="1:6">
      <c r="A11" s="307" t="s">
        <v>6</v>
      </c>
      <c r="B11" s="363" t="s">
        <v>466</v>
      </c>
      <c r="C11" s="363" t="s">
        <v>591</v>
      </c>
      <c r="D11" s="363" t="s">
        <v>467</v>
      </c>
      <c r="E11" s="363" t="s">
        <v>468</v>
      </c>
      <c r="F11" s="363" t="s">
        <v>593</v>
      </c>
    </row>
    <row r="12" spans="1:6">
      <c r="E12" s="25">
        <f>ROUND($B12*(1+$D12),0)</f>
        <v>0</v>
      </c>
      <c r="F12" s="25">
        <f>ROUND($C12*(1+$D12),0)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2"/>
  <sheetViews>
    <sheetView tabSelected="1" zoomScale="80" zoomScaleNormal="80" workbookViewId="0">
      <pane xSplit="10" ySplit="11" topLeftCell="K12" activePane="bottomRight" state="frozen"/>
      <selection activeCell="B5" sqref="B5"/>
      <selection pane="topRight" activeCell="B5" sqref="B5"/>
      <selection pane="bottomLeft" activeCell="B5" sqref="B5"/>
      <selection pane="bottomRight" activeCell="F5" sqref="F5:H7"/>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44" t="s">
        <v>610</v>
      </c>
      <c r="B3" s="345"/>
      <c r="C3" s="346"/>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47"/>
      <c r="G8" s="73"/>
      <c r="H8" s="73"/>
      <c r="I8" s="248"/>
      <c r="J8" s="248"/>
      <c r="K8" s="248"/>
      <c r="L8" s="248"/>
      <c r="M8" s="248"/>
      <c r="N8" s="248"/>
      <c r="O8" s="248"/>
      <c r="P8" s="248"/>
      <c r="Q8" s="248"/>
      <c r="R8" s="248"/>
      <c r="S8" s="248"/>
      <c r="T8" s="248"/>
      <c r="U8" s="248"/>
      <c r="V8" s="248"/>
    </row>
    <row r="9" spans="1:39" s="247" customFormat="1">
      <c r="A9" s="4"/>
      <c r="B9" s="4"/>
      <c r="C9" s="4"/>
      <c r="D9" s="4"/>
      <c r="E9" s="4"/>
      <c r="F9" s="347"/>
      <c r="G9" s="73"/>
      <c r="H9" s="73"/>
      <c r="I9" s="248"/>
      <c r="J9" s="248"/>
      <c r="K9" s="248"/>
      <c r="L9" s="248"/>
      <c r="M9" s="248"/>
      <c r="N9" s="248"/>
      <c r="O9" s="248"/>
      <c r="P9" s="248"/>
      <c r="Q9" s="248"/>
      <c r="R9" s="248"/>
      <c r="S9" s="248"/>
      <c r="T9" s="248"/>
      <c r="U9" s="248"/>
      <c r="V9" s="248"/>
    </row>
    <row r="10" spans="1:39" s="247" customFormat="1">
      <c r="A10" s="4"/>
      <c r="B10" s="4"/>
      <c r="C10" s="4"/>
      <c r="D10" s="4"/>
      <c r="E10" s="4"/>
      <c r="F10" s="347"/>
      <c r="G10" s="73"/>
      <c r="H10" s="73"/>
      <c r="I10" s="248"/>
      <c r="J10" s="248"/>
      <c r="K10" s="248"/>
      <c r="L10" s="248"/>
      <c r="M10" s="248"/>
      <c r="N10" s="248"/>
      <c r="O10" s="248"/>
      <c r="P10" s="248"/>
      <c r="Q10" s="248"/>
      <c r="R10" s="248"/>
      <c r="S10" s="248"/>
      <c r="T10" s="248"/>
      <c r="U10" s="248"/>
      <c r="V10" s="248"/>
    </row>
    <row r="11" spans="1:39" s="252" customFormat="1" ht="117" customHeight="1">
      <c r="A11" s="245" t="s">
        <v>6</v>
      </c>
      <c r="B11" s="245" t="s">
        <v>604</v>
      </c>
      <c r="C11" s="246" t="s">
        <v>249</v>
      </c>
      <c r="D11" s="246" t="s">
        <v>608</v>
      </c>
      <c r="E11" s="246" t="s">
        <v>7</v>
      </c>
      <c r="F11" s="246" t="s">
        <v>190</v>
      </c>
      <c r="G11" s="246" t="s">
        <v>244</v>
      </c>
      <c r="H11" s="246" t="s">
        <v>609</v>
      </c>
      <c r="I11" s="249" t="s">
        <v>605</v>
      </c>
      <c r="J11" s="249" t="s">
        <v>606</v>
      </c>
      <c r="K11" s="250" t="s">
        <v>607</v>
      </c>
      <c r="L11" s="251"/>
      <c r="M11" s="251"/>
      <c r="N11" s="251"/>
      <c r="O11" s="251"/>
      <c r="P11" s="251"/>
      <c r="Q11" s="251"/>
      <c r="R11" s="251"/>
      <c r="S11" s="251"/>
      <c r="T11" s="251"/>
      <c r="U11" s="251"/>
      <c r="V11" s="251"/>
      <c r="W11" s="251"/>
      <c r="X11" s="251"/>
      <c r="Y11" s="251"/>
      <c r="Z11" s="251"/>
      <c r="AA11" s="251"/>
      <c r="AB11" s="251"/>
      <c r="AC11" s="251"/>
      <c r="AD11" s="251"/>
      <c r="AE11" s="251"/>
      <c r="AF11" s="251"/>
      <c r="AG11" s="251"/>
      <c r="AH11" s="251"/>
      <c r="AI11" s="251"/>
      <c r="AJ11" s="251"/>
      <c r="AK11" s="251"/>
      <c r="AL11" s="251"/>
      <c r="AM11" s="251"/>
    </row>
    <row r="12" spans="1:39">
      <c r="G12" t="str">
        <f>$A12&amp;IF($B12="PMTCT_EID","",IF(AND($D12&lt;&gt;"",$E12&lt;&gt;""),"|"&amp;IF(OR(MID($C12,9,12)="Malnutrition",MID($C12,9,9)="Pediatric"),"&lt;15",$D12)&amp;"|"&amp;E12,IF($B12="KP",IF(ISERROR(FIND("KP_MAT",$C12)),"|"&amp;$F12,"|"&amp;$E12&amp;" PWID"),"")))</f>
        <v/>
      </c>
      <c r="H12" t="e">
        <f>MATCH($B12,{"PMTCT_STAT_ART","PMTCT_EID","TB_STAT_ART","VMMC","TX","CXCA","HTS","TB_TX_PREV","OVC","KP","PP","PrEP","GEND"},0)</f>
        <v>#N/A</v>
      </c>
      <c r="I12" s="38" t="e">
        <f>ROUND(SUMIF(CHOOSE($H12,PMTCT_STAT_ART!$F:$F,PMTCT_EID!$A:$A,TB_STAT_ART!$F:$F,VMMC!$F:$F,TX!$F:$F,CXCA!$F:$F,IF(RIGHT($C12,10)="Unassisted",HTS!$A:$A,HTS!$F:$F),TB_TX_PREV!$D:$D,IF(LEFT($C12,11)="OVC_HIVSTAT",OVC!$A:$A,OVC!$E:$E),KP!$C:$C,PP!$E:$E,PrEP!$E:$E,GEND!$A:$A),$G12,INDEX(CHOOSE($H12,PMTCT_STAT_ART!$A:$Z,PMTCT_EID!$A:$J,TB_STAT_ART!$A:$R,VMMC!$A:$S,TX!$A:$AB,CXCA!$A:$H,HTS!$A:$CD,TB_TX_PREV!$A:$Y,OVC!$A:$L,KP!$A:$T,PP!$A:$H,PrEP!$A:$H,GEND!$A:$F),,MATCH($C12,CHOOSE($H12,PMTCT_STAT_ART!$11:$11,PMTCT_EID!$11:$11,TB_STAT_ART!$11:$11,VMMC!$11:$11,TX!$11:$11,CXCA!$11:$11,HTS!$11:$11,TB_TX_PREV!$11:$11,OVC!$11:$11,KP!$11:$11,PP!$11:$11,PrEP!$11:$11,GEND!$11:$11),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2019-07-29T01:27:08Z</dcterms:modified>
</cp:coreProperties>
</file>