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6990" activeTab="6"/>
  </bookViews>
  <sheets>
    <sheet name="telecomForPP" sheetId="1" r:id="rId1"/>
    <sheet name="telecom" sheetId="2" r:id="rId2"/>
    <sheet name="telecomRegCalcs" sheetId="3" r:id="rId3"/>
    <sheet name="pond" sheetId="4" r:id="rId4"/>
    <sheet name="pondCalcs" sheetId="5" r:id="rId5"/>
    <sheet name="maleDisplay" sheetId="6" r:id="rId6"/>
    <sheet name="residualAnalysis" sheetId="7" r:id="rId7"/>
  </sheets>
  <calcPr calcId="145621"/>
</workbook>
</file>

<file path=xl/calcChain.xml><?xml version="1.0" encoding="utf-8"?>
<calcChain xmlns="http://schemas.openxmlformats.org/spreadsheetml/2006/main">
  <c r="W13" i="7" l="1"/>
  <c r="W11" i="7"/>
  <c r="W7" i="7"/>
  <c r="W8" i="7" s="1"/>
  <c r="W6" i="7"/>
  <c r="W4" i="7"/>
  <c r="W5" i="7"/>
  <c r="W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3" i="7"/>
  <c r="R5" i="7"/>
  <c r="R6" i="7" s="1"/>
  <c r="R7" i="7" s="1"/>
  <c r="R8" i="7" s="1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4" i="7"/>
  <c r="S22" i="7"/>
  <c r="S17" i="7"/>
  <c r="S5" i="7"/>
  <c r="S14" i="7"/>
  <c r="S11" i="7"/>
  <c r="S8" i="7"/>
  <c r="S3" i="7"/>
  <c r="S10" i="7"/>
  <c r="S7" i="7"/>
  <c r="S12" i="7"/>
  <c r="S6" i="7"/>
  <c r="S15" i="7"/>
  <c r="S20" i="7"/>
  <c r="S21" i="7"/>
  <c r="S16" i="7"/>
  <c r="S18" i="7"/>
  <c r="S19" i="7"/>
  <c r="S9" i="7"/>
  <c r="S4" i="7"/>
  <c r="S13" i="7"/>
  <c r="T2" i="7"/>
  <c r="F22" i="7"/>
  <c r="F21" i="7"/>
  <c r="G21" i="7" s="1"/>
  <c r="F20" i="7"/>
  <c r="G20" i="7" s="1"/>
  <c r="H20" i="7" s="1"/>
  <c r="F19" i="7"/>
  <c r="F18" i="7"/>
  <c r="F17" i="7"/>
  <c r="G17" i="7" s="1"/>
  <c r="F16" i="7"/>
  <c r="G16" i="7" s="1"/>
  <c r="H16" i="7" s="1"/>
  <c r="F15" i="7"/>
  <c r="F14" i="7"/>
  <c r="G14" i="7" s="1"/>
  <c r="F13" i="7"/>
  <c r="F12" i="7"/>
  <c r="G12" i="7" s="1"/>
  <c r="F11" i="7"/>
  <c r="F10" i="7"/>
  <c r="G10" i="7" s="1"/>
  <c r="O8" i="7"/>
  <c r="F9" i="7"/>
  <c r="O7" i="7"/>
  <c r="F8" i="7"/>
  <c r="G8" i="7" s="1"/>
  <c r="H8" i="7" s="1"/>
  <c r="O6" i="7"/>
  <c r="E22" i="7" s="1"/>
  <c r="F7" i="7"/>
  <c r="F6" i="7"/>
  <c r="G6" i="7" s="1"/>
  <c r="O4" i="7"/>
  <c r="F5" i="7"/>
  <c r="F4" i="7"/>
  <c r="F3" i="7"/>
  <c r="G3" i="7" s="1"/>
  <c r="H3" i="7" s="1"/>
  <c r="W9" i="7" l="1"/>
  <c r="W10" i="7" s="1"/>
  <c r="E3" i="7"/>
  <c r="E4" i="7"/>
  <c r="E5" i="7"/>
  <c r="E7" i="7"/>
  <c r="E9" i="7"/>
  <c r="E11" i="7"/>
  <c r="E13" i="7"/>
  <c r="E15" i="7"/>
  <c r="E19" i="7"/>
  <c r="H10" i="7"/>
  <c r="H12" i="7"/>
  <c r="H14" i="7"/>
  <c r="E16" i="7"/>
  <c r="H17" i="7"/>
  <c r="G18" i="7"/>
  <c r="E20" i="7"/>
  <c r="H21" i="7"/>
  <c r="G22" i="7"/>
  <c r="H6" i="7"/>
  <c r="G7" i="7"/>
  <c r="E8" i="7"/>
  <c r="G9" i="7"/>
  <c r="E10" i="7"/>
  <c r="G11" i="7"/>
  <c r="E12" i="7"/>
  <c r="G13" i="7"/>
  <c r="E14" i="7"/>
  <c r="G15" i="7"/>
  <c r="E17" i="7"/>
  <c r="G19" i="7"/>
  <c r="E21" i="7"/>
  <c r="G4" i="7"/>
  <c r="G5" i="7"/>
  <c r="E6" i="7"/>
  <c r="E18" i="7"/>
  <c r="P5" i="5"/>
  <c r="E12" i="5"/>
  <c r="F12" i="5" s="1"/>
  <c r="G12" i="5" s="1"/>
  <c r="E11" i="5"/>
  <c r="E10" i="5"/>
  <c r="F10" i="5" s="1"/>
  <c r="G10" i="5" s="1"/>
  <c r="P9" i="5"/>
  <c r="E9" i="5"/>
  <c r="P8" i="5"/>
  <c r="E8" i="5"/>
  <c r="F8" i="5" s="1"/>
  <c r="G8" i="5" s="1"/>
  <c r="P7" i="5"/>
  <c r="E7" i="5"/>
  <c r="E6" i="5"/>
  <c r="E5" i="5"/>
  <c r="F5" i="5" s="1"/>
  <c r="G5" i="5" s="1"/>
  <c r="E4" i="5"/>
  <c r="F4" i="5" s="1"/>
  <c r="G4" i="5" s="1"/>
  <c r="E3" i="5"/>
  <c r="F3" i="5" s="1"/>
  <c r="G3" i="5" s="1"/>
  <c r="W12" i="7" l="1"/>
  <c r="O10" i="7"/>
  <c r="H9" i="7"/>
  <c r="H11" i="7"/>
  <c r="H18" i="7"/>
  <c r="H5" i="7"/>
  <c r="H13" i="7"/>
  <c r="H22" i="7"/>
  <c r="H4" i="7"/>
  <c r="H19" i="7"/>
  <c r="H15" i="7"/>
  <c r="H7" i="7"/>
  <c r="D4" i="5"/>
  <c r="D5" i="5"/>
  <c r="D6" i="5"/>
  <c r="D8" i="5"/>
  <c r="D3" i="5"/>
  <c r="D7" i="5"/>
  <c r="D10" i="5"/>
  <c r="D12" i="5"/>
  <c r="F6" i="5"/>
  <c r="G6" i="5" s="1"/>
  <c r="F9" i="5"/>
  <c r="G9" i="5" s="1"/>
  <c r="D11" i="5"/>
  <c r="F7" i="5"/>
  <c r="G7" i="5" s="1"/>
  <c r="D9" i="5"/>
  <c r="F11" i="5"/>
  <c r="G11" i="5" s="1"/>
  <c r="P14" i="3"/>
  <c r="P13" i="3"/>
  <c r="P11" i="3"/>
  <c r="P9" i="3"/>
  <c r="P8" i="3"/>
  <c r="P5" i="3"/>
  <c r="E4" i="3"/>
  <c r="E5" i="3"/>
  <c r="F5" i="3" s="1"/>
  <c r="G5" i="3" s="1"/>
  <c r="E6" i="3"/>
  <c r="F6" i="3" s="1"/>
  <c r="G6" i="3" s="1"/>
  <c r="E7" i="3"/>
  <c r="F7" i="3" s="1"/>
  <c r="G7" i="3" s="1"/>
  <c r="E8" i="3"/>
  <c r="E9" i="3"/>
  <c r="F9" i="3" s="1"/>
  <c r="G9" i="3" s="1"/>
  <c r="E10" i="3"/>
  <c r="F10" i="3" s="1"/>
  <c r="G10" i="3" s="1"/>
  <c r="E11" i="3"/>
  <c r="F11" i="3" s="1"/>
  <c r="G11" i="3" s="1"/>
  <c r="E12" i="3"/>
  <c r="E13" i="3"/>
  <c r="F13" i="3" s="1"/>
  <c r="G13" i="3" s="1"/>
  <c r="E14" i="3"/>
  <c r="F14" i="3" s="1"/>
  <c r="G14" i="3" s="1"/>
  <c r="E15" i="3"/>
  <c r="F15" i="3" s="1"/>
  <c r="G15" i="3" s="1"/>
  <c r="E16" i="3"/>
  <c r="E17" i="3"/>
  <c r="F17" i="3" s="1"/>
  <c r="G17" i="3" s="1"/>
  <c r="E18" i="3"/>
  <c r="E19" i="3"/>
  <c r="F19" i="3" s="1"/>
  <c r="G19" i="3" s="1"/>
  <c r="E20" i="3"/>
  <c r="E21" i="3"/>
  <c r="F21" i="3" s="1"/>
  <c r="G21" i="3" s="1"/>
  <c r="E22" i="3"/>
  <c r="F22" i="3" s="1"/>
  <c r="G22" i="3" s="1"/>
  <c r="E3" i="3"/>
  <c r="F3" i="3" s="1"/>
  <c r="G3" i="3" s="1"/>
  <c r="F4" i="3"/>
  <c r="G4" i="3" s="1"/>
  <c r="F12" i="3"/>
  <c r="G12" i="3" s="1"/>
  <c r="F18" i="3"/>
  <c r="G18" i="3" s="1"/>
  <c r="F20" i="3"/>
  <c r="G20" i="3" s="1"/>
  <c r="P7" i="3"/>
  <c r="D7" i="3" s="1"/>
  <c r="W14" i="7" l="1"/>
  <c r="W15" i="7" s="1"/>
  <c r="O9" i="7"/>
  <c r="P11" i="5"/>
  <c r="P10" i="5"/>
  <c r="H6" i="5" s="1"/>
  <c r="D22" i="3"/>
  <c r="D18" i="3"/>
  <c r="D14" i="3"/>
  <c r="D10" i="3"/>
  <c r="D6" i="3"/>
  <c r="D21" i="3"/>
  <c r="D17" i="3"/>
  <c r="D13" i="3"/>
  <c r="D9" i="3"/>
  <c r="D5" i="3"/>
  <c r="D20" i="3"/>
  <c r="D16" i="3"/>
  <c r="D12" i="3"/>
  <c r="D8" i="3"/>
  <c r="D4" i="3"/>
  <c r="D3" i="3"/>
  <c r="D19" i="3"/>
  <c r="D15" i="3"/>
  <c r="D11" i="3"/>
  <c r="F16" i="3"/>
  <c r="G16" i="3" s="1"/>
  <c r="P10" i="3" s="1"/>
  <c r="F8" i="3"/>
  <c r="G8" i="3" s="1"/>
  <c r="W16" i="7" l="1"/>
  <c r="I22" i="7"/>
  <c r="I18" i="7"/>
  <c r="O11" i="7"/>
  <c r="I6" i="7"/>
  <c r="I3" i="7"/>
  <c r="I21" i="7"/>
  <c r="I17" i="7"/>
  <c r="I14" i="7"/>
  <c r="I12" i="7"/>
  <c r="I10" i="7"/>
  <c r="I8" i="7"/>
  <c r="I20" i="7"/>
  <c r="I16" i="7"/>
  <c r="I5" i="7"/>
  <c r="I19" i="7"/>
  <c r="I15" i="7"/>
  <c r="I13" i="7"/>
  <c r="I11" i="7"/>
  <c r="I9" i="7"/>
  <c r="I7" i="7"/>
  <c r="I4" i="7"/>
  <c r="H10" i="5"/>
  <c r="H9" i="5"/>
  <c r="K11" i="5"/>
  <c r="H12" i="5"/>
  <c r="I12" i="5" s="1"/>
  <c r="H3" i="5"/>
  <c r="I3" i="5" s="1"/>
  <c r="K12" i="5"/>
  <c r="L12" i="5" s="1"/>
  <c r="K10" i="5"/>
  <c r="L10" i="5" s="1"/>
  <c r="K6" i="5"/>
  <c r="L6" i="5" s="1"/>
  <c r="H8" i="5"/>
  <c r="J8" i="5" s="1"/>
  <c r="H11" i="5"/>
  <c r="I11" i="5" s="1"/>
  <c r="K3" i="5"/>
  <c r="M3" i="5" s="1"/>
  <c r="H5" i="5"/>
  <c r="J5" i="5" s="1"/>
  <c r="H7" i="5"/>
  <c r="J7" i="5" s="1"/>
  <c r="P12" i="5"/>
  <c r="P13" i="5" s="1"/>
  <c r="K5" i="5"/>
  <c r="L5" i="5" s="1"/>
  <c r="K7" i="5"/>
  <c r="M7" i="5" s="1"/>
  <c r="K4" i="5"/>
  <c r="L4" i="5" s="1"/>
  <c r="K9" i="5"/>
  <c r="M9" i="5" s="1"/>
  <c r="H4" i="5"/>
  <c r="J4" i="5" s="1"/>
  <c r="K8" i="5"/>
  <c r="M8" i="5" s="1"/>
  <c r="I8" i="5"/>
  <c r="L3" i="5"/>
  <c r="I9" i="5"/>
  <c r="J9" i="5"/>
  <c r="J3" i="5"/>
  <c r="M12" i="5"/>
  <c r="M10" i="5"/>
  <c r="J10" i="5"/>
  <c r="I10" i="5"/>
  <c r="L11" i="5"/>
  <c r="M11" i="5"/>
  <c r="J12" i="5"/>
  <c r="I7" i="5"/>
  <c r="I6" i="5"/>
  <c r="J6" i="5"/>
  <c r="P12" i="3"/>
  <c r="K4" i="3"/>
  <c r="K6" i="3"/>
  <c r="K11" i="3"/>
  <c r="K13" i="3"/>
  <c r="K16" i="3"/>
  <c r="K20" i="3"/>
  <c r="K3" i="3"/>
  <c r="K7" i="3"/>
  <c r="K9" i="3"/>
  <c r="K12" i="3"/>
  <c r="K18" i="3"/>
  <c r="K22" i="3"/>
  <c r="K5" i="3"/>
  <c r="K8" i="3"/>
  <c r="K14" i="3"/>
  <c r="K19" i="3"/>
  <c r="K10" i="3"/>
  <c r="K15" i="3"/>
  <c r="K17" i="3"/>
  <c r="K21" i="3"/>
  <c r="H6" i="3"/>
  <c r="H10" i="3"/>
  <c r="H14" i="3"/>
  <c r="H18" i="3"/>
  <c r="H22" i="3"/>
  <c r="H3" i="3"/>
  <c r="H7" i="3"/>
  <c r="H11" i="3"/>
  <c r="H15" i="3"/>
  <c r="H19" i="3"/>
  <c r="H4" i="3"/>
  <c r="H8" i="3"/>
  <c r="H12" i="3"/>
  <c r="H16" i="3"/>
  <c r="H20" i="3"/>
  <c r="H5" i="3"/>
  <c r="H9" i="3"/>
  <c r="H13" i="3"/>
  <c r="H17" i="3"/>
  <c r="H21" i="3"/>
  <c r="W17" i="7" l="1"/>
  <c r="W18" i="7" s="1"/>
  <c r="W19" i="7" s="1"/>
  <c r="W20" i="7" s="1"/>
  <c r="W21" i="7" s="1"/>
  <c r="W22" i="7" s="1"/>
  <c r="J4" i="7"/>
  <c r="K4" i="7" s="1"/>
  <c r="L4" i="7" s="1"/>
  <c r="J11" i="7"/>
  <c r="K11" i="7" s="1"/>
  <c r="L11" i="7" s="1"/>
  <c r="J5" i="7"/>
  <c r="K5" i="7" s="1"/>
  <c r="L5" i="7" s="1"/>
  <c r="J20" i="7"/>
  <c r="K20" i="7" s="1"/>
  <c r="L20" i="7" s="1"/>
  <c r="J10" i="7"/>
  <c r="K10" i="7" s="1"/>
  <c r="L10" i="7" s="1"/>
  <c r="J3" i="7"/>
  <c r="K3" i="7" s="1"/>
  <c r="L3" i="7" s="1"/>
  <c r="J13" i="7"/>
  <c r="K13" i="7" s="1"/>
  <c r="L13" i="7" s="1"/>
  <c r="J19" i="7"/>
  <c r="K19" i="7" s="1"/>
  <c r="L19" i="7" s="1"/>
  <c r="J12" i="7"/>
  <c r="K12" i="7" s="1"/>
  <c r="L12" i="7" s="1"/>
  <c r="J21" i="7"/>
  <c r="K21" i="7" s="1"/>
  <c r="L21" i="7" s="1"/>
  <c r="J18" i="7"/>
  <c r="K18" i="7" s="1"/>
  <c r="L18" i="7" s="1"/>
  <c r="J7" i="7"/>
  <c r="K7" i="7" s="1"/>
  <c r="L7" i="7" s="1"/>
  <c r="J15" i="7"/>
  <c r="K15" i="7" s="1"/>
  <c r="L15" i="7" s="1"/>
  <c r="J16" i="7"/>
  <c r="K16" i="7" s="1"/>
  <c r="L16" i="7" s="1"/>
  <c r="J14" i="7"/>
  <c r="K14" i="7" s="1"/>
  <c r="L14" i="7" s="1"/>
  <c r="J6" i="7"/>
  <c r="K6" i="7" s="1"/>
  <c r="L6" i="7" s="1"/>
  <c r="O13" i="7"/>
  <c r="O12" i="7"/>
  <c r="J9" i="7"/>
  <c r="K9" i="7" s="1"/>
  <c r="L9" i="7" s="1"/>
  <c r="J8" i="7"/>
  <c r="K8" i="7" s="1"/>
  <c r="L8" i="7" s="1"/>
  <c r="J17" i="7"/>
  <c r="K17" i="7" s="1"/>
  <c r="L17" i="7" s="1"/>
  <c r="J22" i="7"/>
  <c r="K22" i="7" s="1"/>
  <c r="L22" i="7" s="1"/>
  <c r="M6" i="5"/>
  <c r="I5" i="5"/>
  <c r="L7" i="5"/>
  <c r="M4" i="5"/>
  <c r="M5" i="5"/>
  <c r="P14" i="5"/>
  <c r="L9" i="5"/>
  <c r="J11" i="5"/>
  <c r="I4" i="5"/>
  <c r="L8" i="5"/>
  <c r="M10" i="3"/>
  <c r="L10" i="3"/>
  <c r="L9" i="3"/>
  <c r="M9" i="3"/>
  <c r="M16" i="3"/>
  <c r="L16" i="3"/>
  <c r="M4" i="3"/>
  <c r="L4" i="3"/>
  <c r="L21" i="3"/>
  <c r="M21" i="3"/>
  <c r="M19" i="3"/>
  <c r="L19" i="3"/>
  <c r="M22" i="3"/>
  <c r="L22" i="3"/>
  <c r="L7" i="3"/>
  <c r="M7" i="3"/>
  <c r="L13" i="3"/>
  <c r="M13" i="3"/>
  <c r="L17" i="3"/>
  <c r="M17" i="3"/>
  <c r="M14" i="3"/>
  <c r="L14" i="3"/>
  <c r="M18" i="3"/>
  <c r="L18" i="3"/>
  <c r="L3" i="3"/>
  <c r="M3" i="3"/>
  <c r="L11" i="3"/>
  <c r="M11" i="3"/>
  <c r="L15" i="3"/>
  <c r="M15" i="3"/>
  <c r="L8" i="3"/>
  <c r="M8" i="3"/>
  <c r="L12" i="3"/>
  <c r="M12" i="3"/>
  <c r="L20" i="3"/>
  <c r="M20" i="3"/>
  <c r="M6" i="3"/>
  <c r="L6" i="3"/>
  <c r="L5" i="3"/>
  <c r="M5" i="3"/>
  <c r="I17" i="3"/>
  <c r="J17" i="3"/>
  <c r="I20" i="3"/>
  <c r="J20" i="3"/>
  <c r="I14" i="3"/>
  <c r="J14" i="3"/>
  <c r="J16" i="3"/>
  <c r="I16" i="3"/>
  <c r="I19" i="3"/>
  <c r="J19" i="3"/>
  <c r="J3" i="3"/>
  <c r="I3" i="3"/>
  <c r="J10" i="3"/>
  <c r="I10" i="3"/>
  <c r="I21" i="3"/>
  <c r="J21" i="3"/>
  <c r="I4" i="3"/>
  <c r="J4" i="3"/>
  <c r="I7" i="3"/>
  <c r="J7" i="3"/>
  <c r="J13" i="3"/>
  <c r="I13" i="3"/>
  <c r="J9" i="3"/>
  <c r="I9" i="3"/>
  <c r="J12" i="3"/>
  <c r="I12" i="3"/>
  <c r="I15" i="3"/>
  <c r="J15" i="3"/>
  <c r="J22" i="3"/>
  <c r="I22" i="3"/>
  <c r="J6" i="3"/>
  <c r="I6" i="3"/>
  <c r="J5" i="3"/>
  <c r="I5" i="3"/>
  <c r="I8" i="3"/>
  <c r="J8" i="3"/>
  <c r="I11" i="3"/>
  <c r="J11" i="3"/>
  <c r="I18" i="3"/>
  <c r="J18" i="3"/>
</calcChain>
</file>

<file path=xl/sharedStrings.xml><?xml version="1.0" encoding="utf-8"?>
<sst xmlns="http://schemas.openxmlformats.org/spreadsheetml/2006/main" count="233" uniqueCount="97">
  <si>
    <t>county</t>
  </si>
  <si>
    <t>Smith</t>
  </si>
  <si>
    <t>Johnson</t>
  </si>
  <si>
    <t>Williams</t>
  </si>
  <si>
    <t>Brown</t>
  </si>
  <si>
    <t>Jones</t>
  </si>
  <si>
    <t>Garcia</t>
  </si>
  <si>
    <t>Miller</t>
  </si>
  <si>
    <t>Davis</t>
  </si>
  <si>
    <t>Rodriguez</t>
  </si>
  <si>
    <t>Martinez</t>
  </si>
  <si>
    <t>Hernandez</t>
  </si>
  <si>
    <t>Lopez</t>
  </si>
  <si>
    <t>Gonzalez</t>
  </si>
  <si>
    <t>Wilson</t>
  </si>
  <si>
    <t>Anderson</t>
  </si>
  <si>
    <t>Thomas</t>
  </si>
  <si>
    <t>Taylor</t>
  </si>
  <si>
    <t>Moore</t>
  </si>
  <si>
    <t>Jackson</t>
  </si>
  <si>
    <t>Martin</t>
  </si>
  <si>
    <t>population (10K) (pop)</t>
  </si>
  <si>
    <t>avg call Length 
one month (CL)</t>
  </si>
  <si>
    <t>cl</t>
  </si>
  <si>
    <t>pop</t>
  </si>
  <si>
    <t>n</t>
  </si>
  <si>
    <t>col1</t>
  </si>
  <si>
    <t>col2</t>
  </si>
  <si>
    <t>ε̂</t>
  </si>
  <si>
    <r>
      <t>y</t>
    </r>
    <r>
      <rPr>
        <b/>
        <sz val="11"/>
        <color theme="1"/>
        <rFont val="Calibri"/>
        <family val="2"/>
      </rPr>
      <t>̂</t>
    </r>
  </si>
  <si>
    <r>
      <t>ε̂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</si>
  <si>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LB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</si>
  <si>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Ub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</si>
  <si>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Ub</t>
    </r>
    <r>
      <rPr>
        <b/>
        <vertAlign val="subscript"/>
        <sz val="11"/>
        <color theme="1"/>
        <rFont val="Calibri"/>
        <family val="2"/>
        <scheme val="minor"/>
      </rPr>
      <t>p</t>
    </r>
  </si>
  <si>
    <r>
      <t>LB</t>
    </r>
    <r>
      <rPr>
        <b/>
        <vertAlign val="subscript"/>
        <sz val="11"/>
        <color theme="1"/>
        <rFont val="Calibri"/>
        <family val="2"/>
        <scheme val="minor"/>
      </rPr>
      <t>p</t>
    </r>
  </si>
  <si>
    <t>Name</t>
  </si>
  <si>
    <t>pop (x)</t>
  </si>
  <si>
    <r>
      <t>β̂</t>
    </r>
    <r>
      <rPr>
        <b/>
        <vertAlign val="subscript"/>
        <sz val="9.9"/>
        <color theme="1"/>
        <rFont val="Calibri"/>
        <family val="2"/>
      </rPr>
      <t>1</t>
    </r>
  </si>
  <si>
    <r>
      <t>β̂</t>
    </r>
    <r>
      <rPr>
        <b/>
        <vertAlign val="subscript"/>
        <sz val="11"/>
        <color theme="1"/>
        <rFont val="Calibri"/>
        <family val="2"/>
      </rPr>
      <t>0</t>
    </r>
  </si>
  <si>
    <r>
      <t>t</t>
    </r>
    <r>
      <rPr>
        <b/>
        <i/>
        <vertAlign val="subscript"/>
        <sz val="11"/>
        <color theme="1"/>
        <rFont val="Times New Roman"/>
        <family val="1"/>
      </rPr>
      <t>c</t>
    </r>
    <r>
      <rPr>
        <b/>
        <i/>
        <sz val="11"/>
        <color theme="1"/>
        <rFont val="Times New Roman"/>
        <family val="1"/>
      </rPr>
      <t xml:space="preserve"> = t</t>
    </r>
    <r>
      <rPr>
        <b/>
        <i/>
        <vertAlign val="subscript"/>
        <sz val="11"/>
        <color theme="1"/>
        <rFont val="Times New Roman"/>
        <family val="1"/>
      </rPr>
      <t>0.025,18</t>
    </r>
  </si>
  <si>
    <t>x̅</t>
  </si>
  <si>
    <r>
      <t>s</t>
    </r>
    <r>
      <rPr>
        <b/>
        <i/>
        <vertAlign val="subscript"/>
        <sz val="11"/>
        <color theme="1"/>
        <rFont val="Times New Roman"/>
        <family val="1"/>
      </rPr>
      <t>x</t>
    </r>
    <r>
      <rPr>
        <b/>
        <i/>
        <vertAlign val="superscript"/>
        <sz val="11"/>
        <color theme="1"/>
        <rFont val="Times New Roman"/>
        <family val="1"/>
      </rPr>
      <t>2</t>
    </r>
  </si>
  <si>
    <r>
      <t>SE(Y</t>
    </r>
    <r>
      <rPr>
        <b/>
        <i/>
        <vertAlign val="subscript"/>
        <sz val="11"/>
        <color theme="1"/>
        <rFont val="Times New Roman"/>
        <family val="1"/>
      </rPr>
      <t>i</t>
    </r>
    <r>
      <rPr>
        <b/>
        <i/>
        <sz val="11"/>
        <color theme="1"/>
        <rFont val="Times New Roman"/>
        <family val="1"/>
      </rPr>
      <t>|X</t>
    </r>
    <r>
      <rPr>
        <b/>
        <i/>
        <vertAlign val="subscript"/>
        <sz val="11"/>
        <color theme="1"/>
        <rFont val="Times New Roman"/>
        <family val="1"/>
      </rPr>
      <t>i</t>
    </r>
    <r>
      <rPr>
        <b/>
        <i/>
        <sz val="11"/>
        <color theme="1"/>
        <rFont val="Times New Roman"/>
        <family val="1"/>
      </rPr>
      <t>)</t>
    </r>
  </si>
  <si>
    <r>
      <t>y</t>
    </r>
    <r>
      <rPr>
        <b/>
        <sz val="11"/>
        <color theme="1"/>
        <rFont val="Calibri"/>
        <family val="2"/>
      </rPr>
      <t>̅</t>
    </r>
  </si>
  <si>
    <t>col3</t>
  </si>
  <si>
    <r>
      <t xml:space="preserve">col4 =
</t>
    </r>
    <r>
      <rPr>
        <b/>
        <sz val="12"/>
        <color theme="1"/>
        <rFont val="Calibri"/>
        <family val="2"/>
      </rPr>
      <t>β̂</t>
    </r>
    <r>
      <rPr>
        <b/>
        <vertAlign val="subscript"/>
        <sz val="12"/>
        <color theme="1"/>
        <rFont val="Times New Roman"/>
        <family val="1"/>
      </rPr>
      <t>1</t>
    </r>
    <r>
      <rPr>
        <b/>
        <i/>
        <sz val="12"/>
        <color theme="1"/>
        <rFont val="Times New Roman"/>
        <family val="1"/>
      </rPr>
      <t xml:space="preserve">col2 + </t>
    </r>
    <r>
      <rPr>
        <b/>
        <sz val="12"/>
        <color theme="1"/>
        <rFont val="Calibri"/>
        <family val="2"/>
      </rPr>
      <t>β̂</t>
    </r>
    <r>
      <rPr>
        <b/>
        <vertAlign val="subscript"/>
        <sz val="12"/>
        <color theme="1"/>
        <rFont val="Times New Roman"/>
        <family val="1"/>
      </rPr>
      <t>0</t>
    </r>
  </si>
  <si>
    <t>col5 =
col1 -col4</t>
  </si>
  <si>
    <r>
      <t>col6 =
(col5)</t>
    </r>
    <r>
      <rPr>
        <b/>
        <i/>
        <vertAlign val="superscript"/>
        <sz val="12"/>
        <color theme="1"/>
        <rFont val="Times New Roman"/>
        <family val="1"/>
      </rPr>
      <t>2</t>
    </r>
  </si>
  <si>
    <r>
      <t>col8=
col4-t</t>
    </r>
    <r>
      <rPr>
        <b/>
        <i/>
        <vertAlign val="subscript"/>
        <sz val="12"/>
        <color theme="1"/>
        <rFont val="Times New Roman"/>
        <family val="1"/>
      </rPr>
      <t>c</t>
    </r>
    <r>
      <rPr>
        <b/>
        <i/>
        <sz val="12"/>
        <color theme="1"/>
        <rFont val="Times New Roman"/>
        <family val="1"/>
      </rPr>
      <t>col7</t>
    </r>
  </si>
  <si>
    <r>
      <t>col10=
col4+t</t>
    </r>
    <r>
      <rPr>
        <b/>
        <i/>
        <vertAlign val="subscript"/>
        <sz val="12"/>
        <color theme="1"/>
        <rFont val="Times New Roman"/>
        <family val="1"/>
      </rPr>
      <t>c</t>
    </r>
    <r>
      <rPr>
        <b/>
        <i/>
        <sz val="12"/>
        <color theme="1"/>
        <rFont val="Times New Roman"/>
        <family val="1"/>
      </rPr>
      <t>col7</t>
    </r>
  </si>
  <si>
    <t>col7</t>
  </si>
  <si>
    <t>col10</t>
  </si>
  <si>
    <r>
      <t>SE(Y̅</t>
    </r>
    <r>
      <rPr>
        <b/>
        <i/>
        <vertAlign val="subscript"/>
        <sz val="11"/>
        <color theme="1"/>
        <rFont val="Times New Roman"/>
        <family val="1"/>
      </rPr>
      <t>i</t>
    </r>
    <r>
      <rPr>
        <b/>
        <i/>
        <sz val="11"/>
        <color theme="1"/>
        <rFont val="Times New Roman"/>
        <family val="1"/>
      </rPr>
      <t>|X</t>
    </r>
    <r>
      <rPr>
        <b/>
        <i/>
        <vertAlign val="subscript"/>
        <sz val="11"/>
        <color theme="1"/>
        <rFont val="Times New Roman"/>
        <family val="1"/>
      </rPr>
      <t>i</t>
    </r>
    <r>
      <rPr>
        <b/>
        <i/>
        <sz val="11"/>
        <color theme="1"/>
        <rFont val="Times New Roman"/>
        <family val="1"/>
      </rPr>
      <t>)</t>
    </r>
  </si>
  <si>
    <t>MS Model</t>
  </si>
  <si>
    <r>
      <t>(y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-y</t>
    </r>
    <r>
      <rPr>
        <b/>
        <sz val="11"/>
        <color theme="1"/>
        <rFont val="Calibri"/>
        <family val="2"/>
      </rPr>
      <t>̅)</t>
    </r>
    <r>
      <rPr>
        <b/>
        <vertAlign val="superscript"/>
        <sz val="11"/>
        <color theme="1"/>
        <rFont val="Calibri"/>
        <family val="2"/>
      </rPr>
      <t>2</t>
    </r>
  </si>
  <si>
    <r>
      <t>σ</t>
    </r>
    <r>
      <rPr>
        <b/>
        <sz val="11"/>
        <color theme="1"/>
        <rFont val="Calibri"/>
        <family val="2"/>
      </rPr>
      <t>̂</t>
    </r>
    <r>
      <rPr>
        <b/>
        <i/>
        <vertAlign val="superscript"/>
        <sz val="9.9"/>
        <color theme="1"/>
        <rFont val="Times New Roman"/>
        <family val="1"/>
      </rPr>
      <t xml:space="preserve">2 </t>
    </r>
    <r>
      <rPr>
        <b/>
        <i/>
        <sz val="9.9"/>
        <color theme="1"/>
        <rFont val="Times New Roman"/>
        <family val="1"/>
      </rPr>
      <t>(MS Error)</t>
    </r>
  </si>
  <si>
    <t>CallLen  (y)</t>
  </si>
  <si>
    <r>
      <t>col4-t</t>
    </r>
    <r>
      <rPr>
        <b/>
        <i/>
        <vertAlign val="subscript"/>
        <sz val="12"/>
        <color theme="1"/>
        <rFont val="Times New Roman"/>
        <family val="1"/>
      </rPr>
      <t>c</t>
    </r>
    <r>
      <rPr>
        <b/>
        <i/>
        <sz val="12"/>
        <color theme="1"/>
        <rFont val="Times New Roman"/>
        <family val="1"/>
      </rPr>
      <t>col10</t>
    </r>
  </si>
  <si>
    <r>
      <t>col4+t</t>
    </r>
    <r>
      <rPr>
        <b/>
        <i/>
        <vertAlign val="subscript"/>
        <sz val="12"/>
        <color theme="1"/>
        <rFont val="Times New Roman"/>
        <family val="1"/>
      </rPr>
      <t>c</t>
    </r>
    <r>
      <rPr>
        <b/>
        <i/>
        <sz val="12"/>
        <color theme="1"/>
        <rFont val="Times New Roman"/>
        <family val="1"/>
      </rPr>
      <t>col10</t>
    </r>
  </si>
  <si>
    <t>TSS</t>
  </si>
  <si>
    <r>
      <t>F</t>
    </r>
    <r>
      <rPr>
        <b/>
        <i/>
        <vertAlign val="subscript"/>
        <sz val="11"/>
        <color theme="1"/>
        <rFont val="Times New Roman"/>
        <family val="1"/>
      </rPr>
      <t>18,1</t>
    </r>
  </si>
  <si>
    <r>
      <t>r</t>
    </r>
    <r>
      <rPr>
        <b/>
        <i/>
        <vertAlign val="superscript"/>
        <sz val="11"/>
        <color theme="1"/>
        <rFont val="Times New Roman"/>
        <family val="1"/>
      </rPr>
      <t>2</t>
    </r>
  </si>
  <si>
    <t>Col O</t>
  </si>
  <si>
    <t>Col P</t>
  </si>
  <si>
    <t>Green</t>
  </si>
  <si>
    <t>Watkins</t>
  </si>
  <si>
    <t>Sally's</t>
  </si>
  <si>
    <t>Chats</t>
  </si>
  <si>
    <t>Goose</t>
  </si>
  <si>
    <t>Duck</t>
  </si>
  <si>
    <t>Timber</t>
  </si>
  <si>
    <t>Mountain</t>
  </si>
  <si>
    <t>Madison</t>
  </si>
  <si>
    <t>Sorel</t>
  </si>
  <si>
    <t>algae</t>
  </si>
  <si>
    <t>pond</t>
  </si>
  <si>
    <t>nitro</t>
  </si>
  <si>
    <t>algae  (y)</t>
  </si>
  <si>
    <t>nitro (x)</t>
  </si>
  <si>
    <r>
      <t>F</t>
    </r>
    <r>
      <rPr>
        <b/>
        <i/>
        <vertAlign val="subscript"/>
        <sz val="11"/>
        <color theme="1"/>
        <rFont val="Times New Roman"/>
        <family val="1"/>
      </rPr>
      <t>8,1</t>
    </r>
  </si>
  <si>
    <t>Mass</t>
  </si>
  <si>
    <t>Tcell</t>
  </si>
  <si>
    <t>Leverage</t>
  </si>
  <si>
    <t>Studentized Resid</t>
  </si>
  <si>
    <t>Cook's D</t>
  </si>
  <si>
    <r>
      <t>h</t>
    </r>
    <r>
      <rPr>
        <b/>
        <i/>
        <vertAlign val="subscript"/>
        <sz val="12"/>
        <color theme="1"/>
        <rFont val="Times New Roman"/>
        <family val="1"/>
      </rPr>
      <t xml:space="preserve">i </t>
    </r>
    <r>
      <rPr>
        <b/>
        <i/>
        <sz val="12"/>
        <color theme="1"/>
        <rFont val="Times New Roman"/>
        <family val="1"/>
      </rPr>
      <t>= [col7/</t>
    </r>
    <r>
      <rPr>
        <b/>
        <sz val="12"/>
        <color theme="1"/>
        <rFont val="Calibri"/>
        <family val="2"/>
      </rPr>
      <t>̂σ̂</t>
    </r>
    <r>
      <rPr>
        <b/>
        <i/>
        <sz val="12"/>
        <color theme="1"/>
        <rFont val="Calibri"/>
        <family val="2"/>
      </rPr>
      <t>]</t>
    </r>
    <r>
      <rPr>
        <b/>
        <i/>
        <vertAlign val="superscript"/>
        <sz val="12"/>
        <color theme="1"/>
        <rFont val="Calibri"/>
        <family val="2"/>
      </rPr>
      <t>2</t>
    </r>
  </si>
  <si>
    <r>
      <t xml:space="preserve"> col5/σ̂</t>
    </r>
    <r>
      <rPr>
        <b/>
        <i/>
        <sz val="9.6"/>
        <color theme="1"/>
        <rFont val="Times New Roman"/>
        <family val="1"/>
      </rPr>
      <t>√(1-h</t>
    </r>
    <r>
      <rPr>
        <b/>
        <i/>
        <vertAlign val="subscript"/>
        <sz val="9.6"/>
        <color theme="1"/>
        <rFont val="Times New Roman"/>
        <family val="1"/>
      </rPr>
      <t>i</t>
    </r>
    <r>
      <rPr>
        <b/>
        <i/>
        <sz val="9.6"/>
        <color theme="1"/>
        <rFont val="Times New Roman"/>
        <family val="1"/>
      </rPr>
      <t>)</t>
    </r>
  </si>
  <si>
    <t>Estimates</t>
  </si>
  <si>
    <r>
      <t>σ</t>
    </r>
    <r>
      <rPr>
        <b/>
        <sz val="10"/>
        <color theme="1"/>
        <rFont val="Calibri"/>
        <family val="2"/>
      </rPr>
      <t>̂</t>
    </r>
    <r>
      <rPr>
        <b/>
        <vertAlign val="superscript"/>
        <sz val="10"/>
        <color theme="1"/>
        <rFont val="Times New Roman"/>
        <family val="1"/>
      </rPr>
      <t xml:space="preserve">2 </t>
    </r>
    <r>
      <rPr>
        <b/>
        <sz val="10"/>
        <color theme="1"/>
        <rFont val="Times New Roman"/>
        <family val="1"/>
      </rPr>
      <t>(MS Error)</t>
    </r>
  </si>
  <si>
    <t>p = Num Est.</t>
  </si>
  <si>
    <r>
      <t>(1/p)(studRes</t>
    </r>
    <r>
      <rPr>
        <b/>
        <i/>
        <vertAlign val="subscript"/>
        <sz val="12"/>
        <color theme="1"/>
        <rFont val="Times New Roman"/>
        <family val="1"/>
      </rPr>
      <t>i</t>
    </r>
    <r>
      <rPr>
        <b/>
        <i/>
        <sz val="12"/>
        <color theme="1"/>
        <rFont val="Times New Roman"/>
        <family val="1"/>
      </rPr>
      <t>)</t>
    </r>
    <r>
      <rPr>
        <b/>
        <i/>
        <vertAlign val="superscript"/>
        <sz val="12"/>
        <color theme="1"/>
        <rFont val="Times New Roman"/>
        <family val="1"/>
      </rPr>
      <t>2</t>
    </r>
    <r>
      <rPr>
        <b/>
        <i/>
        <sz val="12"/>
        <color theme="1"/>
        <rFont val="Times New Roman"/>
        <family val="1"/>
      </rPr>
      <t>(h</t>
    </r>
    <r>
      <rPr>
        <b/>
        <i/>
        <vertAlign val="subscript"/>
        <sz val="12"/>
        <color theme="1"/>
        <rFont val="Times New Roman"/>
        <family val="1"/>
      </rPr>
      <t>i</t>
    </r>
    <r>
      <rPr>
        <b/>
        <i/>
        <sz val="12"/>
        <color theme="1"/>
        <rFont val="Times New Roman"/>
        <family val="1"/>
      </rPr>
      <t>/(1-h</t>
    </r>
    <r>
      <rPr>
        <b/>
        <i/>
        <vertAlign val="subscript"/>
        <sz val="12"/>
        <color theme="1"/>
        <rFont val="Times New Roman"/>
        <family val="1"/>
      </rPr>
      <t>i</t>
    </r>
    <r>
      <rPr>
        <b/>
        <i/>
        <sz val="12"/>
        <color theme="1"/>
        <rFont val="Times New Roman"/>
        <family val="1"/>
      </rPr>
      <t>))</t>
    </r>
  </si>
  <si>
    <t>obs</t>
  </si>
  <si>
    <t>Count Obs</t>
  </si>
  <si>
    <t>County Name</t>
  </si>
  <si>
    <r>
      <t>y</t>
    </r>
    <r>
      <rPr>
        <b/>
        <sz val="11"/>
        <color theme="1"/>
        <rFont val="Calibri"/>
        <family val="2"/>
      </rPr>
      <t>̂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-ȳ</t>
    </r>
  </si>
  <si>
    <t>Proportion Less</t>
  </si>
  <si>
    <r>
      <t xml:space="preserve">Normalize  </t>
    </r>
    <r>
      <rPr>
        <b/>
        <sz val="11"/>
        <color theme="1"/>
        <rFont val="Calibri"/>
        <family val="2"/>
      </rPr>
      <t>ε̂ (Quantile Axis)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</si>
</sst>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i/>
      <vertAlign val="superscript"/>
      <sz val="11"/>
      <color theme="1"/>
      <name val="Times New Roman"/>
      <family val="1"/>
    </font>
    <font>
      <b/>
      <i/>
      <vertAlign val="subscript"/>
      <sz val="11"/>
      <color theme="1"/>
      <name val="Times New Roman"/>
      <family val="1"/>
    </font>
    <font>
      <b/>
      <vertAlign val="subscript"/>
      <sz val="9.9"/>
      <color theme="1"/>
      <name val="Calibri"/>
      <family val="2"/>
    </font>
    <font>
      <b/>
      <vertAlign val="subscript"/>
      <sz val="11"/>
      <color theme="1"/>
      <name val="Calibri"/>
      <family val="2"/>
    </font>
    <font>
      <b/>
      <i/>
      <vertAlign val="superscript"/>
      <sz val="9.9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Calibri"/>
      <family val="2"/>
    </font>
    <font>
      <b/>
      <vertAlign val="subscript"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i/>
      <vertAlign val="superscript"/>
      <sz val="12"/>
      <color theme="1"/>
      <name val="Times New Roman"/>
      <family val="1"/>
    </font>
    <font>
      <b/>
      <i/>
      <vertAlign val="subscript"/>
      <sz val="12"/>
      <color theme="1"/>
      <name val="Times New Roman"/>
      <family val="1"/>
    </font>
    <font>
      <b/>
      <i/>
      <sz val="9.9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sz val="12"/>
      <color theme="1"/>
      <name val="Times New Roman"/>
      <family val="1"/>
    </font>
    <font>
      <b/>
      <i/>
      <sz val="12"/>
      <color theme="1"/>
      <name val="Calibri"/>
      <family val="2"/>
    </font>
    <font>
      <b/>
      <i/>
      <vertAlign val="superscript"/>
      <sz val="12"/>
      <color theme="1"/>
      <name val="Calibri"/>
      <family val="2"/>
    </font>
    <font>
      <b/>
      <i/>
      <sz val="9.6"/>
      <color theme="1"/>
      <name val="Times New Roman"/>
      <family val="1"/>
    </font>
    <font>
      <b/>
      <i/>
      <vertAlign val="subscript"/>
      <sz val="9.6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vertAlign val="superscript"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2" xfId="0" applyBorder="1"/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2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11" fillId="0" borderId="1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2" fontId="1" fillId="0" borderId="5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1" fillId="0" borderId="5" xfId="0" applyNumberFormat="1" applyFont="1" applyFill="1" applyBorder="1" applyAlignment="1">
      <alignment horizontal="center"/>
    </xf>
    <xf numFmtId="2" fontId="1" fillId="0" borderId="6" xfId="0" applyNumberFormat="1" applyFont="1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1" fillId="0" borderId="15" xfId="0" applyFont="1" applyBorder="1" applyAlignment="1">
      <alignment horizontal="center" wrapText="1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14" fillId="0" borderId="1" xfId="0" applyFont="1" applyBorder="1" applyAlignment="1">
      <alignment horizontal="center"/>
    </xf>
    <xf numFmtId="2" fontId="11" fillId="0" borderId="1" xfId="0" applyNumberFormat="1" applyFont="1" applyBorder="1" applyAlignment="1">
      <alignment horizontal="center" wrapText="1"/>
    </xf>
    <xf numFmtId="165" fontId="11" fillId="0" borderId="1" xfId="0" applyNumberFormat="1" applyFont="1" applyBorder="1" applyAlignment="1">
      <alignment horizontal="center" wrapText="1"/>
    </xf>
    <xf numFmtId="0" fontId="11" fillId="0" borderId="1" xfId="0" applyFont="1" applyFill="1" applyBorder="1" applyAlignment="1">
      <alignment horizontal="center" wrapText="1"/>
    </xf>
    <xf numFmtId="2" fontId="11" fillId="0" borderId="1" xfId="0" applyNumberFormat="1" applyFont="1" applyFill="1" applyBorder="1" applyAlignment="1">
      <alignment horizontal="center" wrapText="1"/>
    </xf>
    <xf numFmtId="164" fontId="0" fillId="0" borderId="10" xfId="0" applyNumberForma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1" fontId="0" fillId="0" borderId="10" xfId="0" applyNumberFormat="1" applyBorder="1" applyAlignment="1">
      <alignment horizontal="right"/>
    </xf>
    <xf numFmtId="2" fontId="0" fillId="0" borderId="14" xfId="0" applyNumberFormat="1" applyBorder="1" applyAlignment="1">
      <alignment horizontal="right"/>
    </xf>
    <xf numFmtId="0" fontId="2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164" fontId="0" fillId="0" borderId="8" xfId="0" applyNumberFormat="1" applyBorder="1" applyAlignment="1">
      <alignment horizontal="right"/>
    </xf>
    <xf numFmtId="0" fontId="19" fillId="2" borderId="19" xfId="0" applyFont="1" applyFill="1" applyBorder="1" applyAlignment="1">
      <alignment horizontal="center" wrapText="1"/>
    </xf>
    <xf numFmtId="2" fontId="19" fillId="2" borderId="20" xfId="0" applyNumberFormat="1" applyFont="1" applyFill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2" fontId="0" fillId="0" borderId="3" xfId="0" applyNumberFormat="1" applyBorder="1"/>
    <xf numFmtId="2" fontId="1" fillId="0" borderId="21" xfId="0" applyNumberFormat="1" applyFont="1" applyFill="1" applyBorder="1" applyAlignment="1">
      <alignment horizontal="center"/>
    </xf>
    <xf numFmtId="2" fontId="1" fillId="0" borderId="5" xfId="0" applyNumberFormat="1" applyFont="1" applyFill="1" applyBorder="1" applyAlignment="1">
      <alignment horizontal="center" wrapText="1"/>
    </xf>
    <xf numFmtId="2" fontId="1" fillId="0" borderId="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2" fontId="11" fillId="0" borderId="22" xfId="0" applyNumberFormat="1" applyFont="1" applyFill="1" applyBorder="1" applyAlignment="1">
      <alignment horizontal="center" wrapText="1"/>
    </xf>
    <xf numFmtId="2" fontId="11" fillId="0" borderId="23" xfId="0" applyNumberFormat="1" applyFont="1" applyFill="1" applyBorder="1" applyAlignment="1">
      <alignment horizontal="center" wrapText="1"/>
    </xf>
    <xf numFmtId="0" fontId="19" fillId="2" borderId="24" xfId="0" applyFont="1" applyFill="1" applyBorder="1" applyAlignment="1">
      <alignment horizontal="center" wrapText="1"/>
    </xf>
    <xf numFmtId="0" fontId="19" fillId="2" borderId="25" xfId="0" applyFont="1" applyFill="1" applyBorder="1" applyAlignment="1">
      <alignment horizontal="center" wrapText="1"/>
    </xf>
    <xf numFmtId="164" fontId="0" fillId="0" borderId="26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24" fillId="0" borderId="9" xfId="0" applyFont="1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15" xfId="0" applyFont="1" applyBorder="1" applyAlignment="1">
      <alignment horizontal="center"/>
    </xf>
    <xf numFmtId="0" fontId="14" fillId="0" borderId="31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 vertical="top"/>
    </xf>
    <xf numFmtId="164" fontId="0" fillId="0" borderId="0" xfId="0" applyNumberFormat="1" applyAlignment="1">
      <alignment horizontal="center"/>
    </xf>
    <xf numFmtId="0" fontId="1" fillId="0" borderId="34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sqref="A1:C1048576"/>
    </sheetView>
  </sheetViews>
  <sheetFormatPr defaultRowHeight="15" x14ac:dyDescent="0.25"/>
  <cols>
    <col min="1" max="1" width="13.42578125" customWidth="1"/>
    <col min="2" max="2" width="15.5703125" customWidth="1"/>
    <col min="3" max="3" width="16.28515625" customWidth="1"/>
  </cols>
  <sheetData>
    <row r="1" spans="1:3" ht="33.75" customHeight="1" thickBot="1" x14ac:dyDescent="0.3">
      <c r="A1" s="1" t="s">
        <v>0</v>
      </c>
      <c r="B1" s="2" t="s">
        <v>22</v>
      </c>
      <c r="C1" s="2" t="s">
        <v>21</v>
      </c>
    </row>
    <row r="2" spans="1:3" ht="15.75" thickTop="1" x14ac:dyDescent="0.25">
      <c r="A2" s="3" t="s">
        <v>1</v>
      </c>
      <c r="B2" s="4">
        <v>5.2673603104348743</v>
      </c>
      <c r="C2" s="5">
        <v>3</v>
      </c>
    </row>
    <row r="3" spans="1:3" x14ac:dyDescent="0.25">
      <c r="A3" s="6" t="s">
        <v>2</v>
      </c>
      <c r="B3" s="7">
        <v>5.8160087985898228</v>
      </c>
      <c r="C3" s="8">
        <v>7</v>
      </c>
    </row>
    <row r="4" spans="1:3" x14ac:dyDescent="0.25">
      <c r="A4" s="6" t="s">
        <v>3</v>
      </c>
      <c r="B4" s="7">
        <v>5.4211774564432096</v>
      </c>
      <c r="C4" s="8">
        <v>5</v>
      </c>
    </row>
    <row r="5" spans="1:3" x14ac:dyDescent="0.25">
      <c r="A5" s="6" t="s">
        <v>4</v>
      </c>
      <c r="B5" s="7">
        <v>6.2902048676049613</v>
      </c>
      <c r="C5" s="8">
        <v>7</v>
      </c>
    </row>
    <row r="6" spans="1:3" x14ac:dyDescent="0.25">
      <c r="A6" s="6" t="s">
        <v>5</v>
      </c>
      <c r="B6" s="7">
        <v>5.5421692712076869</v>
      </c>
      <c r="C6" s="8">
        <v>5</v>
      </c>
    </row>
    <row r="7" spans="1:3" x14ac:dyDescent="0.25">
      <c r="A7" s="6" t="s">
        <v>6</v>
      </c>
      <c r="B7" s="7">
        <v>5.1052609940526441</v>
      </c>
      <c r="C7" s="8">
        <v>1</v>
      </c>
    </row>
    <row r="8" spans="1:3" x14ac:dyDescent="0.25">
      <c r="A8" s="6" t="s">
        <v>7</v>
      </c>
      <c r="B8" s="7">
        <v>5.6083254812338694</v>
      </c>
      <c r="C8" s="8">
        <v>6</v>
      </c>
    </row>
    <row r="9" spans="1:3" x14ac:dyDescent="0.25">
      <c r="A9" s="6" t="s">
        <v>8</v>
      </c>
      <c r="B9" s="7">
        <v>5.6968834658080061</v>
      </c>
      <c r="C9" s="8">
        <v>4</v>
      </c>
    </row>
    <row r="10" spans="1:3" x14ac:dyDescent="0.25">
      <c r="A10" s="6" t="s">
        <v>9</v>
      </c>
      <c r="B10" s="7">
        <v>6.1649467479226256</v>
      </c>
      <c r="C10" s="8">
        <v>6</v>
      </c>
    </row>
    <row r="11" spans="1:3" x14ac:dyDescent="0.25">
      <c r="A11" s="6" t="s">
        <v>10</v>
      </c>
      <c r="B11" s="7">
        <v>5.1951362302983046</v>
      </c>
      <c r="C11" s="8">
        <v>1</v>
      </c>
    </row>
    <row r="12" spans="1:3" x14ac:dyDescent="0.25">
      <c r="A12" s="6" t="s">
        <v>11</v>
      </c>
      <c r="B12" s="7">
        <v>5.4614347411197155</v>
      </c>
      <c r="C12" s="8">
        <v>3</v>
      </c>
    </row>
    <row r="13" spans="1:3" x14ac:dyDescent="0.25">
      <c r="A13" s="6" t="s">
        <v>12</v>
      </c>
      <c r="B13" s="7">
        <v>4.6343357196329329</v>
      </c>
      <c r="C13" s="8">
        <v>2</v>
      </c>
    </row>
    <row r="14" spans="1:3" x14ac:dyDescent="0.25">
      <c r="A14" s="6" t="s">
        <v>13</v>
      </c>
      <c r="B14" s="7">
        <v>5.3079457846525173</v>
      </c>
      <c r="C14" s="8">
        <v>3</v>
      </c>
    </row>
    <row r="15" spans="1:3" x14ac:dyDescent="0.25">
      <c r="A15" s="6" t="s">
        <v>14</v>
      </c>
      <c r="B15" s="7">
        <v>5.9592505426438809</v>
      </c>
      <c r="C15" s="8">
        <v>9</v>
      </c>
    </row>
    <row r="16" spans="1:3" x14ac:dyDescent="0.25">
      <c r="A16" s="6" t="s">
        <v>15</v>
      </c>
      <c r="B16" s="7">
        <v>5.8467072949000256</v>
      </c>
      <c r="C16" s="8">
        <v>9</v>
      </c>
    </row>
    <row r="17" spans="1:3" x14ac:dyDescent="0.25">
      <c r="A17" s="6" t="s">
        <v>16</v>
      </c>
      <c r="B17" s="7">
        <v>5.6822747331095753</v>
      </c>
      <c r="C17" s="8">
        <v>9</v>
      </c>
    </row>
    <row r="18" spans="1:3" x14ac:dyDescent="0.25">
      <c r="A18" s="6" t="s">
        <v>17</v>
      </c>
      <c r="B18" s="7">
        <v>6.5520082164752056</v>
      </c>
      <c r="C18" s="8">
        <v>10</v>
      </c>
    </row>
    <row r="19" spans="1:3" x14ac:dyDescent="0.25">
      <c r="A19" s="6" t="s">
        <v>18</v>
      </c>
      <c r="B19" s="7">
        <v>5.923288231483923</v>
      </c>
      <c r="C19" s="8">
        <v>7</v>
      </c>
    </row>
    <row r="20" spans="1:3" x14ac:dyDescent="0.25">
      <c r="A20" s="6" t="s">
        <v>19</v>
      </c>
      <c r="B20" s="7">
        <v>5.002617320037773</v>
      </c>
      <c r="C20" s="8">
        <v>1</v>
      </c>
    </row>
    <row r="21" spans="1:3" x14ac:dyDescent="0.25">
      <c r="A21" s="6" t="s">
        <v>20</v>
      </c>
      <c r="B21" s="7">
        <v>5.5005741300649307</v>
      </c>
      <c r="C21" s="8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opLeftCell="B1" workbookViewId="0">
      <selection activeCell="I16" sqref="I16"/>
    </sheetView>
  </sheetViews>
  <sheetFormatPr defaultRowHeight="15" x14ac:dyDescent="0.25"/>
  <cols>
    <col min="1" max="1" width="13.42578125" customWidth="1"/>
    <col min="2" max="2" width="15.5703125" customWidth="1"/>
    <col min="3" max="3" width="16.28515625" customWidth="1"/>
  </cols>
  <sheetData>
    <row r="1" spans="1:3" ht="15.75" thickBot="1" x14ac:dyDescent="0.3">
      <c r="A1" s="1" t="s">
        <v>0</v>
      </c>
      <c r="B1" s="2" t="s">
        <v>23</v>
      </c>
      <c r="C1" s="2" t="s">
        <v>24</v>
      </c>
    </row>
    <row r="2" spans="1:3" ht="15.75" thickTop="1" x14ac:dyDescent="0.25">
      <c r="A2" s="3" t="s">
        <v>1</v>
      </c>
      <c r="B2" s="4">
        <v>5.2673603104348743</v>
      </c>
      <c r="C2" s="5">
        <v>3</v>
      </c>
    </row>
    <row r="3" spans="1:3" x14ac:dyDescent="0.25">
      <c r="A3" s="6" t="s">
        <v>2</v>
      </c>
      <c r="B3" s="7">
        <v>5.8160087985898228</v>
      </c>
      <c r="C3" s="8">
        <v>7</v>
      </c>
    </row>
    <row r="4" spans="1:3" x14ac:dyDescent="0.25">
      <c r="A4" s="6" t="s">
        <v>3</v>
      </c>
      <c r="B4" s="7">
        <v>5.4211774564432096</v>
      </c>
      <c r="C4" s="8">
        <v>5</v>
      </c>
    </row>
    <row r="5" spans="1:3" x14ac:dyDescent="0.25">
      <c r="A5" s="6" t="s">
        <v>4</v>
      </c>
      <c r="B5" s="7">
        <v>6.2902048676049613</v>
      </c>
      <c r="C5" s="8">
        <v>7</v>
      </c>
    </row>
    <row r="6" spans="1:3" x14ac:dyDescent="0.25">
      <c r="A6" s="6" t="s">
        <v>5</v>
      </c>
      <c r="B6" s="7">
        <v>5.5421692712076869</v>
      </c>
      <c r="C6" s="8">
        <v>5</v>
      </c>
    </row>
    <row r="7" spans="1:3" x14ac:dyDescent="0.25">
      <c r="A7" s="6" t="s">
        <v>6</v>
      </c>
      <c r="B7" s="7">
        <v>5.1052609940526441</v>
      </c>
      <c r="C7" s="8">
        <v>1</v>
      </c>
    </row>
    <row r="8" spans="1:3" x14ac:dyDescent="0.25">
      <c r="A8" s="6" t="s">
        <v>7</v>
      </c>
      <c r="B8" s="7">
        <v>5.6083254812338694</v>
      </c>
      <c r="C8" s="8">
        <v>6</v>
      </c>
    </row>
    <row r="9" spans="1:3" x14ac:dyDescent="0.25">
      <c r="A9" s="6" t="s">
        <v>8</v>
      </c>
      <c r="B9" s="7">
        <v>5.6968834658080061</v>
      </c>
      <c r="C9" s="8">
        <v>4</v>
      </c>
    </row>
    <row r="10" spans="1:3" x14ac:dyDescent="0.25">
      <c r="A10" s="6" t="s">
        <v>9</v>
      </c>
      <c r="B10" s="7">
        <v>6.1649467479226256</v>
      </c>
      <c r="C10" s="8">
        <v>6</v>
      </c>
    </row>
    <row r="11" spans="1:3" x14ac:dyDescent="0.25">
      <c r="A11" s="6" t="s">
        <v>10</v>
      </c>
      <c r="B11" s="7">
        <v>5.1951362302983046</v>
      </c>
      <c r="C11" s="8">
        <v>1</v>
      </c>
    </row>
    <row r="12" spans="1:3" x14ac:dyDescent="0.25">
      <c r="A12" s="6" t="s">
        <v>11</v>
      </c>
      <c r="B12" s="7">
        <v>5.4614347411197155</v>
      </c>
      <c r="C12" s="8">
        <v>3</v>
      </c>
    </row>
    <row r="13" spans="1:3" x14ac:dyDescent="0.25">
      <c r="A13" s="6" t="s">
        <v>12</v>
      </c>
      <c r="B13" s="7">
        <v>4.6343357196329329</v>
      </c>
      <c r="C13" s="8">
        <v>2</v>
      </c>
    </row>
    <row r="14" spans="1:3" x14ac:dyDescent="0.25">
      <c r="A14" s="6" t="s">
        <v>13</v>
      </c>
      <c r="B14" s="7">
        <v>5.3079457846525173</v>
      </c>
      <c r="C14" s="8">
        <v>3</v>
      </c>
    </row>
    <row r="15" spans="1:3" x14ac:dyDescent="0.25">
      <c r="A15" s="6" t="s">
        <v>14</v>
      </c>
      <c r="B15" s="7">
        <v>5.9592505426438809</v>
      </c>
      <c r="C15" s="8">
        <v>9</v>
      </c>
    </row>
    <row r="16" spans="1:3" x14ac:dyDescent="0.25">
      <c r="A16" s="6" t="s">
        <v>15</v>
      </c>
      <c r="B16" s="7">
        <v>5.8467072949000256</v>
      </c>
      <c r="C16" s="8">
        <v>9</v>
      </c>
    </row>
    <row r="17" spans="1:3" x14ac:dyDescent="0.25">
      <c r="A17" s="6" t="s">
        <v>16</v>
      </c>
      <c r="B17" s="7">
        <v>5.6822747331095753</v>
      </c>
      <c r="C17" s="8">
        <v>9</v>
      </c>
    </row>
    <row r="18" spans="1:3" x14ac:dyDescent="0.25">
      <c r="A18" s="6" t="s">
        <v>17</v>
      </c>
      <c r="B18" s="7">
        <v>6.5520082164752056</v>
      </c>
      <c r="C18" s="8">
        <v>10</v>
      </c>
    </row>
    <row r="19" spans="1:3" x14ac:dyDescent="0.25">
      <c r="A19" s="6" t="s">
        <v>18</v>
      </c>
      <c r="B19" s="7">
        <v>5.923288231483923</v>
      </c>
      <c r="C19" s="8">
        <v>7</v>
      </c>
    </row>
    <row r="20" spans="1:3" x14ac:dyDescent="0.25">
      <c r="A20" s="6" t="s">
        <v>19</v>
      </c>
      <c r="B20" s="7">
        <v>5.002617320037773</v>
      </c>
      <c r="C20" s="8">
        <v>1</v>
      </c>
    </row>
    <row r="21" spans="1:3" x14ac:dyDescent="0.25">
      <c r="A21" s="6" t="s">
        <v>20</v>
      </c>
      <c r="B21" s="7">
        <v>5.5005741300649307</v>
      </c>
      <c r="C21" s="8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showGridLines="0" zoomScale="90" zoomScaleNormal="90" workbookViewId="0">
      <selection activeCell="C26" sqref="C26"/>
    </sheetView>
  </sheetViews>
  <sheetFormatPr defaultRowHeight="15" x14ac:dyDescent="0.25"/>
  <cols>
    <col min="1" max="1" width="12.140625" customWidth="1"/>
    <col min="2" max="2" width="11.140625" customWidth="1"/>
    <col min="3" max="3" width="9.28515625" customWidth="1"/>
    <col min="4" max="4" width="9.85546875" customWidth="1"/>
    <col min="5" max="5" width="14.140625" style="9" customWidth="1"/>
    <col min="6" max="6" width="11.85546875" style="9" customWidth="1"/>
    <col min="7" max="7" width="13.140625" style="10" customWidth="1"/>
    <col min="8" max="8" width="13.140625" style="9" customWidth="1"/>
    <col min="9" max="10" width="14.140625" style="9" customWidth="1"/>
    <col min="11" max="11" width="11.140625" style="9" customWidth="1"/>
    <col min="12" max="12" width="13.85546875" style="9" customWidth="1"/>
    <col min="13" max="13" width="15.5703125" style="9" customWidth="1"/>
    <col min="14" max="14" width="3" customWidth="1"/>
    <col min="15" max="15" width="16.140625" customWidth="1"/>
    <col min="16" max="16" width="12.7109375" customWidth="1"/>
  </cols>
  <sheetData>
    <row r="1" spans="1:16" ht="19.5" thickBot="1" x14ac:dyDescent="0.4">
      <c r="A1" s="32" t="s">
        <v>0</v>
      </c>
      <c r="B1" s="28" t="s">
        <v>56</v>
      </c>
      <c r="C1" s="14" t="s">
        <v>36</v>
      </c>
      <c r="D1" s="14" t="s">
        <v>54</v>
      </c>
      <c r="E1" s="15" t="s">
        <v>29</v>
      </c>
      <c r="F1" s="16" t="s">
        <v>28</v>
      </c>
      <c r="G1" s="17" t="s">
        <v>30</v>
      </c>
      <c r="H1" s="18" t="s">
        <v>52</v>
      </c>
      <c r="I1" s="19" t="s">
        <v>34</v>
      </c>
      <c r="J1" s="19" t="s">
        <v>33</v>
      </c>
      <c r="K1" s="18" t="s">
        <v>42</v>
      </c>
      <c r="L1" s="19" t="s">
        <v>31</v>
      </c>
      <c r="M1" s="20" t="s">
        <v>32</v>
      </c>
    </row>
    <row r="2" spans="1:16" ht="21.75" customHeight="1" thickBot="1" x14ac:dyDescent="0.4">
      <c r="A2" s="36" t="s">
        <v>35</v>
      </c>
      <c r="B2" s="13" t="s">
        <v>26</v>
      </c>
      <c r="C2" s="13" t="s">
        <v>27</v>
      </c>
      <c r="D2" s="13" t="s">
        <v>44</v>
      </c>
      <c r="E2" s="37" t="s">
        <v>45</v>
      </c>
      <c r="F2" s="37" t="s">
        <v>46</v>
      </c>
      <c r="G2" s="38" t="s">
        <v>47</v>
      </c>
      <c r="H2" s="39" t="s">
        <v>50</v>
      </c>
      <c r="I2" s="40" t="s">
        <v>48</v>
      </c>
      <c r="J2" s="40" t="s">
        <v>49</v>
      </c>
      <c r="K2" s="40" t="s">
        <v>51</v>
      </c>
      <c r="L2" s="40" t="s">
        <v>57</v>
      </c>
      <c r="M2" s="40" t="s">
        <v>58</v>
      </c>
      <c r="O2" s="51" t="s">
        <v>62</v>
      </c>
      <c r="P2" s="52" t="s">
        <v>63</v>
      </c>
    </row>
    <row r="3" spans="1:16" ht="15.75" thickTop="1" x14ac:dyDescent="0.25">
      <c r="A3" s="33" t="s">
        <v>1</v>
      </c>
      <c r="B3" s="29">
        <v>5.2673603104348743</v>
      </c>
      <c r="C3" s="5">
        <v>3</v>
      </c>
      <c r="D3" s="4">
        <f>(B3-P$7)^2</f>
        <v>0.1099155931164742</v>
      </c>
      <c r="E3" s="4">
        <f>C3*P$3+P$4</f>
        <v>5.3078159999999999</v>
      </c>
      <c r="F3" s="4">
        <f>B3-E3</f>
        <v>-4.0455689565125574E-2</v>
      </c>
      <c r="G3" s="12">
        <f>F3^2</f>
        <v>1.6366628181898103E-3</v>
      </c>
      <c r="H3" s="4">
        <f>(P$10*((1/P$6)+ (C3-P$8)^2/((P$6-1)*P$9)))^0.5</f>
        <v>7.8099492477527357E-2</v>
      </c>
      <c r="I3" s="4">
        <f>E3-P$5*H3</f>
        <v>5.1437350549223231</v>
      </c>
      <c r="J3" s="4">
        <f>E3+P$5*H3</f>
        <v>5.4718969450776767</v>
      </c>
      <c r="K3" s="4">
        <f>(P$10*(1+(1/P$6)+ (C3-P$8)^2/((P$6-1)*P$9)))^0.5</f>
        <v>0.28419394776825008</v>
      </c>
      <c r="L3" s="4">
        <f>E3-P$5*K3</f>
        <v>4.7107466714305728</v>
      </c>
      <c r="M3" s="21">
        <f>E3+P$5*K3</f>
        <v>5.9048853285694269</v>
      </c>
      <c r="O3" s="49" t="s">
        <v>37</v>
      </c>
      <c r="P3" s="50">
        <v>0.12936700000000001</v>
      </c>
    </row>
    <row r="4" spans="1:16" ht="18" x14ac:dyDescent="0.35">
      <c r="A4" s="34" t="s">
        <v>2</v>
      </c>
      <c r="B4" s="30">
        <v>5.8160087985898228</v>
      </c>
      <c r="C4" s="8">
        <v>7</v>
      </c>
      <c r="D4" s="4">
        <f t="shared" ref="D4:D22" si="0">(B4-P$7)^2</f>
        <v>4.7138177092279694E-2</v>
      </c>
      <c r="E4" s="7">
        <f t="shared" ref="E4:E22" si="1">C4*P$3+P$4</f>
        <v>5.8252839999999999</v>
      </c>
      <c r="F4" s="7">
        <f t="shared" ref="F4:F22" si="2">B4-E4</f>
        <v>-9.2752014101771252E-3</v>
      </c>
      <c r="G4" s="11">
        <f t="shared" ref="G4:G22" si="3">F4^2</f>
        <v>8.6029361199351732E-5</v>
      </c>
      <c r="H4" s="7">
        <f t="shared" ref="H4:H22" si="4">(P$10*((1/P$6)+ (C4-P$8)^2/((P$6-1)*P$9)))^0.5</f>
        <v>7.1866102888403033E-2</v>
      </c>
      <c r="I4" s="7">
        <f t="shared" ref="I4:I22" si="5">E4-P$5*H4</f>
        <v>5.6742989204955236</v>
      </c>
      <c r="J4" s="7">
        <f t="shared" ref="J4:J22" si="6">E4+P$5*H4</f>
        <v>5.9762690795044762</v>
      </c>
      <c r="K4" s="7">
        <f t="shared" ref="K4:K22" si="7">(P$10*(1+(1/P$6)+ (C4-P$8)^2/((P$6-1)*P$9)))^0.5</f>
        <v>0.2825445203277212</v>
      </c>
      <c r="L4" s="7">
        <f t="shared" ref="L4:L22" si="8">E4-P$5*K4</f>
        <v>5.2316799898941584</v>
      </c>
      <c r="M4" s="22">
        <f t="shared" ref="M4:M22" si="9">E4+P$5*K4</f>
        <v>6.4188880101058414</v>
      </c>
      <c r="O4" s="45" t="s">
        <v>38</v>
      </c>
      <c r="P4" s="41">
        <v>4.9197150000000001</v>
      </c>
    </row>
    <row r="5" spans="1:16" ht="16.5" x14ac:dyDescent="0.3">
      <c r="A5" s="34" t="s">
        <v>3</v>
      </c>
      <c r="B5" s="30">
        <v>5.4211774564432096</v>
      </c>
      <c r="C5" s="8">
        <v>5</v>
      </c>
      <c r="D5" s="4">
        <f t="shared" si="0"/>
        <v>3.1583709007484945E-2</v>
      </c>
      <c r="E5" s="7">
        <f t="shared" si="1"/>
        <v>5.5665500000000003</v>
      </c>
      <c r="F5" s="7">
        <f t="shared" si="2"/>
        <v>-0.14537254355679075</v>
      </c>
      <c r="G5" s="11">
        <f t="shared" si="3"/>
        <v>2.1133176420171023E-2</v>
      </c>
      <c r="H5" s="7">
        <f t="shared" si="4"/>
        <v>6.133959384480224E-2</v>
      </c>
      <c r="I5" s="7">
        <f t="shared" si="5"/>
        <v>5.4376802953520222</v>
      </c>
      <c r="J5" s="7">
        <f t="shared" si="6"/>
        <v>5.6954197046479784</v>
      </c>
      <c r="K5" s="7">
        <f t="shared" si="7"/>
        <v>0.28005216477631595</v>
      </c>
      <c r="L5" s="7">
        <f t="shared" si="8"/>
        <v>4.9781822346042235</v>
      </c>
      <c r="M5" s="22">
        <f t="shared" si="9"/>
        <v>6.1549177653957772</v>
      </c>
      <c r="O5" s="46" t="s">
        <v>39</v>
      </c>
      <c r="P5" s="42">
        <f>-_xlfn.T.INV(0.025,18)</f>
        <v>2.1009220402410378</v>
      </c>
    </row>
    <row r="6" spans="1:16" x14ac:dyDescent="0.25">
      <c r="A6" s="34" t="s">
        <v>4</v>
      </c>
      <c r="B6" s="30">
        <v>6.2902048676049613</v>
      </c>
      <c r="C6" s="8">
        <v>7</v>
      </c>
      <c r="D6" s="4">
        <f t="shared" si="0"/>
        <v>0.4779086183917145</v>
      </c>
      <c r="E6" s="7">
        <f t="shared" si="1"/>
        <v>5.8252839999999999</v>
      </c>
      <c r="F6" s="7">
        <f t="shared" si="2"/>
        <v>0.46492086760496143</v>
      </c>
      <c r="G6" s="11">
        <f t="shared" si="3"/>
        <v>0.21615141313455008</v>
      </c>
      <c r="H6" s="7">
        <f t="shared" si="4"/>
        <v>7.1866102888403033E-2</v>
      </c>
      <c r="I6" s="7">
        <f t="shared" si="5"/>
        <v>5.6742989204955236</v>
      </c>
      <c r="J6" s="7">
        <f t="shared" si="6"/>
        <v>5.9762690795044762</v>
      </c>
      <c r="K6" s="7">
        <f t="shared" si="7"/>
        <v>0.2825445203277212</v>
      </c>
      <c r="L6" s="7">
        <f t="shared" si="8"/>
        <v>5.2316799898941584</v>
      </c>
      <c r="M6" s="22">
        <f t="shared" si="9"/>
        <v>6.4188880101058414</v>
      </c>
      <c r="O6" s="46" t="s">
        <v>25</v>
      </c>
      <c r="P6" s="43">
        <v>20</v>
      </c>
    </row>
    <row r="7" spans="1:16" x14ac:dyDescent="0.25">
      <c r="A7" s="34" t="s">
        <v>5</v>
      </c>
      <c r="B7" s="30">
        <v>5.5421692712076869</v>
      </c>
      <c r="C7" s="8">
        <v>5</v>
      </c>
      <c r="D7" s="4">
        <f t="shared" si="0"/>
        <v>3.2178669487364321E-3</v>
      </c>
      <c r="E7" s="7">
        <f t="shared" si="1"/>
        <v>5.5665500000000003</v>
      </c>
      <c r="F7" s="7">
        <f t="shared" si="2"/>
        <v>-2.4380728792313455E-2</v>
      </c>
      <c r="G7" s="11">
        <f t="shared" si="3"/>
        <v>5.9441993644434232E-4</v>
      </c>
      <c r="H7" s="7">
        <f t="shared" si="4"/>
        <v>6.133959384480224E-2</v>
      </c>
      <c r="I7" s="7">
        <f t="shared" si="5"/>
        <v>5.4376802953520222</v>
      </c>
      <c r="J7" s="7">
        <f t="shared" si="6"/>
        <v>5.6954197046479784</v>
      </c>
      <c r="K7" s="7">
        <f t="shared" si="7"/>
        <v>0.28005216477631595</v>
      </c>
      <c r="L7" s="7">
        <f t="shared" si="8"/>
        <v>4.9781822346042235</v>
      </c>
      <c r="M7" s="22">
        <f t="shared" si="9"/>
        <v>6.1549177653957772</v>
      </c>
      <c r="O7" s="46" t="s">
        <v>43</v>
      </c>
      <c r="P7" s="41">
        <f>AVERAGE(B3:B22)</f>
        <v>5.5988955168858245</v>
      </c>
    </row>
    <row r="8" spans="1:16" x14ac:dyDescent="0.25">
      <c r="A8" s="34" t="s">
        <v>6</v>
      </c>
      <c r="B8" s="30">
        <v>5.1052609940526441</v>
      </c>
      <c r="C8" s="8">
        <v>1</v>
      </c>
      <c r="D8" s="4">
        <f t="shared" si="0"/>
        <v>0.24367504213274174</v>
      </c>
      <c r="E8" s="7">
        <f t="shared" si="1"/>
        <v>5.0490820000000003</v>
      </c>
      <c r="F8" s="7">
        <f t="shared" si="2"/>
        <v>5.6178994052643816E-2</v>
      </c>
      <c r="G8" s="11">
        <f t="shared" si="3"/>
        <v>3.1560793727669892E-3</v>
      </c>
      <c r="H8" s="7">
        <f t="shared" si="4"/>
        <v>0.11034351635222017</v>
      </c>
      <c r="I8" s="7">
        <f t="shared" si="5"/>
        <v>4.8172588744979237</v>
      </c>
      <c r="J8" s="7">
        <f t="shared" si="6"/>
        <v>5.2809051255020769</v>
      </c>
      <c r="K8" s="7">
        <f t="shared" si="7"/>
        <v>0.2946902794864944</v>
      </c>
      <c r="L8" s="7">
        <f t="shared" si="8"/>
        <v>4.4299606967820324</v>
      </c>
      <c r="M8" s="22">
        <f t="shared" si="9"/>
        <v>5.6682033032179682</v>
      </c>
      <c r="O8" s="46" t="s">
        <v>40</v>
      </c>
      <c r="P8" s="41">
        <f>AVERAGE(C3:C22)</f>
        <v>5.25</v>
      </c>
    </row>
    <row r="9" spans="1:16" ht="17.25" x14ac:dyDescent="0.3">
      <c r="A9" s="34" t="s">
        <v>7</v>
      </c>
      <c r="B9" s="30">
        <v>5.6083254812338694</v>
      </c>
      <c r="C9" s="8">
        <v>6</v>
      </c>
      <c r="D9" s="4">
        <f t="shared" si="0"/>
        <v>8.892422760539756E-5</v>
      </c>
      <c r="E9" s="7">
        <f t="shared" si="1"/>
        <v>5.6959169999999997</v>
      </c>
      <c r="F9" s="7">
        <f t="shared" si="2"/>
        <v>-8.759151876613025E-2</v>
      </c>
      <c r="G9" s="11">
        <f t="shared" si="3"/>
        <v>7.6722741597573477E-3</v>
      </c>
      <c r="H9" s="7">
        <f t="shared" si="4"/>
        <v>6.3215854564068863E-2</v>
      </c>
      <c r="I9" s="7">
        <f t="shared" si="5"/>
        <v>5.5631054178536754</v>
      </c>
      <c r="J9" s="7">
        <f t="shared" si="6"/>
        <v>5.8287285821463239</v>
      </c>
      <c r="K9" s="7">
        <f t="shared" si="7"/>
        <v>0.28046909542964094</v>
      </c>
      <c r="L9" s="7">
        <f t="shared" si="8"/>
        <v>5.1066732958054004</v>
      </c>
      <c r="M9" s="22">
        <f t="shared" si="9"/>
        <v>6.2851607041945989</v>
      </c>
      <c r="O9" s="46" t="s">
        <v>41</v>
      </c>
      <c r="P9" s="41">
        <f>_xlfn.VAR.S(C3:C22)</f>
        <v>8.4078947368421044</v>
      </c>
    </row>
    <row r="10" spans="1:16" ht="15.75" x14ac:dyDescent="0.25">
      <c r="A10" s="34" t="s">
        <v>8</v>
      </c>
      <c r="B10" s="30">
        <v>5.6968834658080061</v>
      </c>
      <c r="C10" s="8">
        <v>4</v>
      </c>
      <c r="D10" s="4">
        <f t="shared" si="0"/>
        <v>9.6016381339760586E-3</v>
      </c>
      <c r="E10" s="7">
        <f t="shared" si="1"/>
        <v>5.4371830000000001</v>
      </c>
      <c r="F10" s="7">
        <f t="shared" si="2"/>
        <v>0.25970046580800599</v>
      </c>
      <c r="G10" s="11">
        <f t="shared" si="3"/>
        <v>6.7444331940895288E-2</v>
      </c>
      <c r="H10" s="7">
        <f t="shared" si="4"/>
        <v>6.6810487640084737E-2</v>
      </c>
      <c r="I10" s="7">
        <f t="shared" si="5"/>
        <v>5.2968193739976943</v>
      </c>
      <c r="J10" s="7">
        <f t="shared" si="6"/>
        <v>5.5775466260023059</v>
      </c>
      <c r="K10" s="7">
        <f t="shared" si="7"/>
        <v>0.28130110288010146</v>
      </c>
      <c r="L10" s="7">
        <f t="shared" si="8"/>
        <v>4.8461913130150833</v>
      </c>
      <c r="M10" s="22">
        <f t="shared" si="9"/>
        <v>6.0281746869849169</v>
      </c>
      <c r="O10" s="46" t="s">
        <v>55</v>
      </c>
      <c r="P10" s="41">
        <f>SUM(G3:G22)/(P6-2)</f>
        <v>7.4666669222855503E-2</v>
      </c>
    </row>
    <row r="11" spans="1:16" x14ac:dyDescent="0.25">
      <c r="A11" s="34" t="s">
        <v>9</v>
      </c>
      <c r="B11" s="30">
        <v>6.1649467479226256</v>
      </c>
      <c r="C11" s="8">
        <v>6</v>
      </c>
      <c r="D11" s="4">
        <f t="shared" si="0"/>
        <v>0.32041399615827798</v>
      </c>
      <c r="E11" s="7">
        <f t="shared" si="1"/>
        <v>5.6959169999999997</v>
      </c>
      <c r="F11" s="7">
        <f t="shared" si="2"/>
        <v>0.46902974792262597</v>
      </c>
      <c r="G11" s="11">
        <f t="shared" si="3"/>
        <v>0.21998890443636207</v>
      </c>
      <c r="H11" s="7">
        <f t="shared" si="4"/>
        <v>6.3215854564068863E-2</v>
      </c>
      <c r="I11" s="7">
        <f t="shared" si="5"/>
        <v>5.5631054178536754</v>
      </c>
      <c r="J11" s="7">
        <f t="shared" si="6"/>
        <v>5.8287285821463239</v>
      </c>
      <c r="K11" s="7">
        <f t="shared" si="7"/>
        <v>0.28046909542964094</v>
      </c>
      <c r="L11" s="7">
        <f t="shared" si="8"/>
        <v>5.1066732958054004</v>
      </c>
      <c r="M11" s="22">
        <f t="shared" si="9"/>
        <v>6.2851607041945989</v>
      </c>
      <c r="O11" s="47" t="s">
        <v>59</v>
      </c>
      <c r="P11" s="42">
        <f>SUM(D3:D22)</f>
        <v>4.0175756909077123</v>
      </c>
    </row>
    <row r="12" spans="1:16" x14ac:dyDescent="0.25">
      <c r="A12" s="34" t="s">
        <v>10</v>
      </c>
      <c r="B12" s="30">
        <v>5.1951362302983046</v>
      </c>
      <c r="C12" s="8">
        <v>1</v>
      </c>
      <c r="D12" s="4">
        <f t="shared" si="0"/>
        <v>0.16302156150566305</v>
      </c>
      <c r="E12" s="7">
        <f t="shared" si="1"/>
        <v>5.0490820000000003</v>
      </c>
      <c r="F12" s="7">
        <f t="shared" si="2"/>
        <v>0.14605423029830433</v>
      </c>
      <c r="G12" s="11">
        <f t="shared" si="3"/>
        <v>2.1331838188030118E-2</v>
      </c>
      <c r="H12" s="7">
        <f t="shared" si="4"/>
        <v>0.11034351635222017</v>
      </c>
      <c r="I12" s="7">
        <f t="shared" si="5"/>
        <v>4.8172588744979237</v>
      </c>
      <c r="J12" s="7">
        <f t="shared" si="6"/>
        <v>5.2809051255020769</v>
      </c>
      <c r="K12" s="7">
        <f t="shared" si="7"/>
        <v>0.2946902794864944</v>
      </c>
      <c r="L12" s="7">
        <f t="shared" si="8"/>
        <v>4.4299606967820324</v>
      </c>
      <c r="M12" s="22">
        <f t="shared" si="9"/>
        <v>5.6682033032179682</v>
      </c>
      <c r="O12" s="47" t="s">
        <v>53</v>
      </c>
      <c r="P12" s="42">
        <f>SUM(D3:D22)-P10*(P6-2)</f>
        <v>2.6735756448963133</v>
      </c>
    </row>
    <row r="13" spans="1:16" ht="16.5" x14ac:dyDescent="0.3">
      <c r="A13" s="34" t="s">
        <v>11</v>
      </c>
      <c r="B13" s="30">
        <v>5.4614347411197155</v>
      </c>
      <c r="C13" s="8">
        <v>3</v>
      </c>
      <c r="D13" s="4">
        <f t="shared" si="0"/>
        <v>1.8895464874220513E-2</v>
      </c>
      <c r="E13" s="7">
        <f t="shared" si="1"/>
        <v>5.3078159999999999</v>
      </c>
      <c r="F13" s="7">
        <f t="shared" si="2"/>
        <v>0.15361874111971563</v>
      </c>
      <c r="G13" s="11">
        <f t="shared" si="3"/>
        <v>2.3598717623206211E-2</v>
      </c>
      <c r="H13" s="7">
        <f t="shared" si="4"/>
        <v>7.8099492477527357E-2</v>
      </c>
      <c r="I13" s="7">
        <f t="shared" si="5"/>
        <v>5.1437350549223231</v>
      </c>
      <c r="J13" s="7">
        <f t="shared" si="6"/>
        <v>5.4718969450776767</v>
      </c>
      <c r="K13" s="7">
        <f t="shared" si="7"/>
        <v>0.28419394776825008</v>
      </c>
      <c r="L13" s="7">
        <f t="shared" si="8"/>
        <v>4.7107466714305728</v>
      </c>
      <c r="M13" s="22">
        <f t="shared" si="9"/>
        <v>5.9048853285694269</v>
      </c>
      <c r="O13" s="47" t="s">
        <v>60</v>
      </c>
      <c r="P13" s="42">
        <f>P12/P10</f>
        <v>35.806815446883903</v>
      </c>
    </row>
    <row r="14" spans="1:16" ht="17.25" thickBot="1" x14ac:dyDescent="0.3">
      <c r="A14" s="34" t="s">
        <v>12</v>
      </c>
      <c r="B14" s="30">
        <v>4.6343357196329329</v>
      </c>
      <c r="C14" s="8">
        <v>2</v>
      </c>
      <c r="D14" s="4">
        <f t="shared" si="0"/>
        <v>0.9303756024765395</v>
      </c>
      <c r="E14" s="7">
        <f t="shared" si="1"/>
        <v>5.1784490000000005</v>
      </c>
      <c r="F14" s="7">
        <f t="shared" si="2"/>
        <v>-0.54411328036706763</v>
      </c>
      <c r="G14" s="11">
        <f t="shared" si="3"/>
        <v>0.29605926187181114</v>
      </c>
      <c r="H14" s="7">
        <f t="shared" si="4"/>
        <v>9.3113984839387084E-2</v>
      </c>
      <c r="I14" s="7">
        <f t="shared" si="5"/>
        <v>4.9828237769962627</v>
      </c>
      <c r="J14" s="7">
        <f t="shared" si="6"/>
        <v>5.3740742230037384</v>
      </c>
      <c r="K14" s="7">
        <f t="shared" si="7"/>
        <v>0.28868128341741361</v>
      </c>
      <c r="L14" s="7">
        <f t="shared" si="8"/>
        <v>4.5719521290632867</v>
      </c>
      <c r="M14" s="22">
        <f t="shared" si="9"/>
        <v>5.7849458709367143</v>
      </c>
      <c r="O14" s="48" t="s">
        <v>61</v>
      </c>
      <c r="P14" s="44">
        <f>P12/P11</f>
        <v>0.66546988795928774</v>
      </c>
    </row>
    <row r="15" spans="1:16" x14ac:dyDescent="0.25">
      <c r="A15" s="34" t="s">
        <v>13</v>
      </c>
      <c r="B15" s="30">
        <v>5.3079457846525173</v>
      </c>
      <c r="C15" s="8">
        <v>3</v>
      </c>
      <c r="D15" s="4">
        <f t="shared" si="0"/>
        <v>8.4651746686633167E-2</v>
      </c>
      <c r="E15" s="7">
        <f t="shared" si="1"/>
        <v>5.3078159999999999</v>
      </c>
      <c r="F15" s="7">
        <f t="shared" si="2"/>
        <v>1.2978465251745064E-4</v>
      </c>
      <c r="G15" s="11">
        <f t="shared" si="3"/>
        <v>1.6844056029075405E-8</v>
      </c>
      <c r="H15" s="7">
        <f t="shared" si="4"/>
        <v>7.8099492477527357E-2</v>
      </c>
      <c r="I15" s="7">
        <f t="shared" si="5"/>
        <v>5.1437350549223231</v>
      </c>
      <c r="J15" s="7">
        <f t="shared" si="6"/>
        <v>5.4718969450776767</v>
      </c>
      <c r="K15" s="7">
        <f t="shared" si="7"/>
        <v>0.28419394776825008</v>
      </c>
      <c r="L15" s="7">
        <f t="shared" si="8"/>
        <v>4.7107466714305728</v>
      </c>
      <c r="M15" s="22">
        <f t="shared" si="9"/>
        <v>5.9048853285694269</v>
      </c>
    </row>
    <row r="16" spans="1:16" x14ac:dyDescent="0.25">
      <c r="A16" s="34" t="s">
        <v>14</v>
      </c>
      <c r="B16" s="30">
        <v>5.9592505426438809</v>
      </c>
      <c r="C16" s="8">
        <v>9</v>
      </c>
      <c r="D16" s="4">
        <f t="shared" si="0"/>
        <v>0.12985574458908944</v>
      </c>
      <c r="E16" s="7">
        <f t="shared" si="1"/>
        <v>6.0840180000000004</v>
      </c>
      <c r="F16" s="7">
        <f t="shared" si="2"/>
        <v>-0.12476745735611949</v>
      </c>
      <c r="G16" s="11">
        <f t="shared" si="3"/>
        <v>1.5566918415111096E-2</v>
      </c>
      <c r="H16" s="7">
        <f t="shared" si="4"/>
        <v>0.10151898166949393</v>
      </c>
      <c r="I16" s="7">
        <f t="shared" si="5"/>
        <v>5.8707345339077346</v>
      </c>
      <c r="J16" s="7">
        <f t="shared" si="6"/>
        <v>6.2973014660922662</v>
      </c>
      <c r="K16" s="7">
        <f t="shared" si="7"/>
        <v>0.29150089684607583</v>
      </c>
      <c r="L16" s="7">
        <f t="shared" si="8"/>
        <v>5.4715973410660501</v>
      </c>
      <c r="M16" s="22">
        <f t="shared" si="9"/>
        <v>6.6964386589339506</v>
      </c>
    </row>
    <row r="17" spans="1:13" x14ac:dyDescent="0.25">
      <c r="A17" s="34" t="s">
        <v>15</v>
      </c>
      <c r="B17" s="30">
        <v>5.8467072949000256</v>
      </c>
      <c r="C17" s="8">
        <v>9</v>
      </c>
      <c r="D17" s="4">
        <f t="shared" si="0"/>
        <v>6.141067732255967E-2</v>
      </c>
      <c r="E17" s="7">
        <f t="shared" si="1"/>
        <v>6.0840180000000004</v>
      </c>
      <c r="F17" s="7">
        <f t="shared" si="2"/>
        <v>-0.23731070509997476</v>
      </c>
      <c r="G17" s="11">
        <f t="shared" si="3"/>
        <v>5.6316370755047189E-2</v>
      </c>
      <c r="H17" s="7">
        <f t="shared" si="4"/>
        <v>0.10151898166949393</v>
      </c>
      <c r="I17" s="7">
        <f t="shared" si="5"/>
        <v>5.8707345339077346</v>
      </c>
      <c r="J17" s="7">
        <f t="shared" si="6"/>
        <v>6.2973014660922662</v>
      </c>
      <c r="K17" s="7">
        <f t="shared" si="7"/>
        <v>0.29150089684607583</v>
      </c>
      <c r="L17" s="7">
        <f t="shared" si="8"/>
        <v>5.4715973410660501</v>
      </c>
      <c r="M17" s="22">
        <f t="shared" si="9"/>
        <v>6.6964386589339506</v>
      </c>
    </row>
    <row r="18" spans="1:13" x14ac:dyDescent="0.25">
      <c r="A18" s="34" t="s">
        <v>16</v>
      </c>
      <c r="B18" s="30">
        <v>5.6822747331095753</v>
      </c>
      <c r="C18" s="8">
        <v>9</v>
      </c>
      <c r="D18" s="4">
        <f t="shared" si="0"/>
        <v>6.9520936980869844E-3</v>
      </c>
      <c r="E18" s="7">
        <f t="shared" si="1"/>
        <v>6.0840180000000004</v>
      </c>
      <c r="F18" s="7">
        <f t="shared" si="2"/>
        <v>-0.40174326689042505</v>
      </c>
      <c r="G18" s="11">
        <f t="shared" si="3"/>
        <v>0.1613976524917913</v>
      </c>
      <c r="H18" s="7">
        <f t="shared" si="4"/>
        <v>0.10151898166949393</v>
      </c>
      <c r="I18" s="7">
        <f t="shared" si="5"/>
        <v>5.8707345339077346</v>
      </c>
      <c r="J18" s="7">
        <f t="shared" si="6"/>
        <v>6.2973014660922662</v>
      </c>
      <c r="K18" s="7">
        <f t="shared" si="7"/>
        <v>0.29150089684607583</v>
      </c>
      <c r="L18" s="7">
        <f t="shared" si="8"/>
        <v>5.4715973410660501</v>
      </c>
      <c r="M18" s="22">
        <f t="shared" si="9"/>
        <v>6.6964386589339506</v>
      </c>
    </row>
    <row r="19" spans="1:13" x14ac:dyDescent="0.25">
      <c r="A19" s="34" t="s">
        <v>17</v>
      </c>
      <c r="B19" s="30">
        <v>6.5520082164752056</v>
      </c>
      <c r="C19" s="8">
        <v>10</v>
      </c>
      <c r="D19" s="4">
        <f t="shared" si="0"/>
        <v>0.90842381811855777</v>
      </c>
      <c r="E19" s="7">
        <f t="shared" si="1"/>
        <v>6.2133850000000006</v>
      </c>
      <c r="F19" s="7">
        <f t="shared" si="2"/>
        <v>0.33862321647520499</v>
      </c>
      <c r="G19" s="11">
        <f t="shared" si="3"/>
        <v>0.11466568273601355</v>
      </c>
      <c r="H19" s="7">
        <f t="shared" si="4"/>
        <v>0.11949467794824391</v>
      </c>
      <c r="I19" s="7">
        <f t="shared" si="5"/>
        <v>5.9623359974070302</v>
      </c>
      <c r="J19" s="7">
        <f t="shared" si="6"/>
        <v>6.464434002592971</v>
      </c>
      <c r="K19" s="7">
        <f t="shared" si="7"/>
        <v>0.29823756852685418</v>
      </c>
      <c r="L19" s="7">
        <f t="shared" si="8"/>
        <v>5.5868111190540359</v>
      </c>
      <c r="M19" s="22">
        <f t="shared" si="9"/>
        <v>6.8399588809459653</v>
      </c>
    </row>
    <row r="20" spans="1:13" x14ac:dyDescent="0.25">
      <c r="A20" s="34" t="s">
        <v>18</v>
      </c>
      <c r="B20" s="30">
        <v>5.923288231483923</v>
      </c>
      <c r="C20" s="8">
        <v>7</v>
      </c>
      <c r="D20" s="4">
        <f t="shared" si="0"/>
        <v>0.10523063328432337</v>
      </c>
      <c r="E20" s="7">
        <f t="shared" si="1"/>
        <v>5.8252839999999999</v>
      </c>
      <c r="F20" s="7">
        <f t="shared" si="2"/>
        <v>9.8004231483923121E-2</v>
      </c>
      <c r="G20" s="11">
        <f t="shared" si="3"/>
        <v>9.6048293887543885E-3</v>
      </c>
      <c r="H20" s="7">
        <f t="shared" si="4"/>
        <v>7.1866102888403033E-2</v>
      </c>
      <c r="I20" s="7">
        <f t="shared" si="5"/>
        <v>5.6742989204955236</v>
      </c>
      <c r="J20" s="7">
        <f t="shared" si="6"/>
        <v>5.9762690795044762</v>
      </c>
      <c r="K20" s="7">
        <f t="shared" si="7"/>
        <v>0.2825445203277212</v>
      </c>
      <c r="L20" s="7">
        <f t="shared" si="8"/>
        <v>5.2316799898941584</v>
      </c>
      <c r="M20" s="22">
        <f t="shared" si="9"/>
        <v>6.4188880101058414</v>
      </c>
    </row>
    <row r="21" spans="1:13" x14ac:dyDescent="0.25">
      <c r="A21" s="34" t="s">
        <v>19</v>
      </c>
      <c r="B21" s="30">
        <v>5.002617320037773</v>
      </c>
      <c r="C21" s="8">
        <v>1</v>
      </c>
      <c r="D21" s="4">
        <f t="shared" si="0"/>
        <v>0.35554768803636366</v>
      </c>
      <c r="E21" s="7">
        <f t="shared" si="1"/>
        <v>5.0490820000000003</v>
      </c>
      <c r="F21" s="7">
        <f t="shared" si="2"/>
        <v>-4.6464679962227251E-2</v>
      </c>
      <c r="G21" s="11">
        <f t="shared" si="3"/>
        <v>2.1589664839922027E-3</v>
      </c>
      <c r="H21" s="7">
        <f t="shared" si="4"/>
        <v>0.11034351635222017</v>
      </c>
      <c r="I21" s="7">
        <f t="shared" si="5"/>
        <v>4.8172588744979237</v>
      </c>
      <c r="J21" s="7">
        <f t="shared" si="6"/>
        <v>5.2809051255020769</v>
      </c>
      <c r="K21" s="7">
        <f t="shared" si="7"/>
        <v>0.2946902794864944</v>
      </c>
      <c r="L21" s="7">
        <f t="shared" si="8"/>
        <v>4.4299606967820324</v>
      </c>
      <c r="M21" s="22">
        <f t="shared" si="9"/>
        <v>5.6682033032179682</v>
      </c>
    </row>
    <row r="22" spans="1:13" ht="15.75" thickBot="1" x14ac:dyDescent="0.3">
      <c r="A22" s="35" t="s">
        <v>20</v>
      </c>
      <c r="B22" s="31">
        <v>5.5005741300649307</v>
      </c>
      <c r="C22" s="23">
        <v>7</v>
      </c>
      <c r="D22" s="24">
        <f t="shared" si="0"/>
        <v>9.6670951063838415E-3</v>
      </c>
      <c r="E22" s="25">
        <f t="shared" si="1"/>
        <v>5.8252839999999999</v>
      </c>
      <c r="F22" s="25">
        <f t="shared" si="2"/>
        <v>-0.32470986993506923</v>
      </c>
      <c r="G22" s="26">
        <f t="shared" si="3"/>
        <v>0.10543649963324958</v>
      </c>
      <c r="H22" s="25">
        <f t="shared" si="4"/>
        <v>7.1866102888403033E-2</v>
      </c>
      <c r="I22" s="25">
        <f t="shared" si="5"/>
        <v>5.6742989204955236</v>
      </c>
      <c r="J22" s="25">
        <f t="shared" si="6"/>
        <v>5.9762690795044762</v>
      </c>
      <c r="K22" s="25">
        <f t="shared" si="7"/>
        <v>0.2825445203277212</v>
      </c>
      <c r="L22" s="25">
        <f t="shared" si="8"/>
        <v>5.2316799898941584</v>
      </c>
      <c r="M22" s="27">
        <f t="shared" si="9"/>
        <v>6.4188880101058414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16" sqref="G16"/>
    </sheetView>
  </sheetViews>
  <sheetFormatPr defaultRowHeight="15" x14ac:dyDescent="0.25"/>
  <sheetData>
    <row r="1" spans="1:3" x14ac:dyDescent="0.25">
      <c r="A1" s="53" t="s">
        <v>75</v>
      </c>
      <c r="B1" s="53" t="s">
        <v>76</v>
      </c>
      <c r="C1" s="53" t="s">
        <v>74</v>
      </c>
    </row>
    <row r="2" spans="1:3" x14ac:dyDescent="0.25">
      <c r="A2" s="6" t="s">
        <v>64</v>
      </c>
      <c r="B2" s="54">
        <v>1.986</v>
      </c>
      <c r="C2" s="54">
        <v>11.296427594457489</v>
      </c>
    </row>
    <row r="3" spans="1:3" x14ac:dyDescent="0.25">
      <c r="A3" s="6" t="s">
        <v>65</v>
      </c>
      <c r="B3" s="54">
        <v>0.92200000000000004</v>
      </c>
      <c r="C3" s="54">
        <v>8.6402534179109178</v>
      </c>
    </row>
    <row r="4" spans="1:3" x14ac:dyDescent="0.25">
      <c r="A4" s="6" t="s">
        <v>66</v>
      </c>
      <c r="B4" s="54">
        <v>1.7270000000000001</v>
      </c>
      <c r="C4" s="54">
        <v>11.013265576547681</v>
      </c>
    </row>
    <row r="5" spans="1:3" x14ac:dyDescent="0.25">
      <c r="A5" s="6" t="s">
        <v>67</v>
      </c>
      <c r="B5" s="54">
        <v>1.032</v>
      </c>
      <c r="C5" s="54">
        <v>9.0012000000000008</v>
      </c>
    </row>
    <row r="6" spans="1:3" x14ac:dyDescent="0.25">
      <c r="A6" s="6" t="s">
        <v>68</v>
      </c>
      <c r="B6" s="54">
        <v>1.8779999999999999</v>
      </c>
      <c r="C6" s="54">
        <v>8.5250464695174273</v>
      </c>
    </row>
    <row r="7" spans="1:3" x14ac:dyDescent="0.25">
      <c r="A7" s="6" t="s">
        <v>69</v>
      </c>
      <c r="B7" s="54">
        <v>1.032</v>
      </c>
      <c r="C7" s="54">
        <v>8.7109831362454457</v>
      </c>
    </row>
    <row r="8" spans="1:3" x14ac:dyDescent="0.25">
      <c r="A8" s="6" t="s">
        <v>70</v>
      </c>
      <c r="B8" s="54">
        <v>1.7869999999999999</v>
      </c>
      <c r="C8" s="54">
        <v>11.646058051165923</v>
      </c>
    </row>
    <row r="9" spans="1:3" x14ac:dyDescent="0.25">
      <c r="A9" s="6" t="s">
        <v>71</v>
      </c>
      <c r="B9" s="54">
        <v>0.92900000000000005</v>
      </c>
      <c r="C9" s="54">
        <v>9.9920769338187174</v>
      </c>
    </row>
    <row r="10" spans="1:3" x14ac:dyDescent="0.25">
      <c r="A10" s="6" t="s">
        <v>72</v>
      </c>
      <c r="B10" s="54">
        <v>0.502</v>
      </c>
      <c r="C10" s="54">
        <v>8.2218710572754095</v>
      </c>
    </row>
    <row r="11" spans="1:3" x14ac:dyDescent="0.25">
      <c r="A11" s="6" t="s">
        <v>73</v>
      </c>
      <c r="B11" s="54">
        <v>1.2589999999999999</v>
      </c>
      <c r="C11" s="54">
        <v>10.107799999999999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showGridLines="0" zoomScale="90" zoomScaleNormal="90" workbookViewId="0">
      <selection activeCell="H13" sqref="H13"/>
    </sheetView>
  </sheetViews>
  <sheetFormatPr defaultRowHeight="15" x14ac:dyDescent="0.25"/>
  <cols>
    <col min="1" max="1" width="12.140625" customWidth="1"/>
    <col min="2" max="2" width="11.140625" customWidth="1"/>
    <col min="3" max="3" width="9.28515625" customWidth="1"/>
    <col min="4" max="4" width="9.85546875" customWidth="1"/>
    <col min="5" max="5" width="14.140625" style="9" customWidth="1"/>
    <col min="6" max="6" width="11.85546875" style="9" customWidth="1"/>
    <col min="7" max="7" width="13.140625" style="10" customWidth="1"/>
    <col min="8" max="8" width="13.140625" style="9" customWidth="1"/>
    <col min="9" max="10" width="14.140625" style="9" customWidth="1"/>
    <col min="11" max="11" width="11.140625" style="9" customWidth="1"/>
    <col min="12" max="12" width="13.85546875" style="9" customWidth="1"/>
    <col min="13" max="13" width="15.5703125" style="9" customWidth="1"/>
    <col min="14" max="14" width="3" customWidth="1"/>
    <col min="15" max="15" width="16.140625" customWidth="1"/>
    <col min="16" max="16" width="12.7109375" customWidth="1"/>
  </cols>
  <sheetData>
    <row r="1" spans="1:16" ht="19.5" thickBot="1" x14ac:dyDescent="0.4">
      <c r="A1" s="32" t="s">
        <v>0</v>
      </c>
      <c r="B1" s="28" t="s">
        <v>77</v>
      </c>
      <c r="C1" s="14" t="s">
        <v>78</v>
      </c>
      <c r="D1" s="14" t="s">
        <v>54</v>
      </c>
      <c r="E1" s="15" t="s">
        <v>29</v>
      </c>
      <c r="F1" s="16" t="s">
        <v>28</v>
      </c>
      <c r="G1" s="17" t="s">
        <v>30</v>
      </c>
      <c r="H1" s="18" t="s">
        <v>52</v>
      </c>
      <c r="I1" s="19" t="s">
        <v>34</v>
      </c>
      <c r="J1" s="19" t="s">
        <v>33</v>
      </c>
      <c r="K1" s="18" t="s">
        <v>42</v>
      </c>
      <c r="L1" s="19" t="s">
        <v>31</v>
      </c>
      <c r="M1" s="20" t="s">
        <v>32</v>
      </c>
    </row>
    <row r="2" spans="1:16" ht="21.75" customHeight="1" thickBot="1" x14ac:dyDescent="0.4">
      <c r="A2" s="36" t="s">
        <v>35</v>
      </c>
      <c r="B2" s="13" t="s">
        <v>26</v>
      </c>
      <c r="C2" s="13" t="s">
        <v>27</v>
      </c>
      <c r="D2" s="13" t="s">
        <v>44</v>
      </c>
      <c r="E2" s="37" t="s">
        <v>45</v>
      </c>
      <c r="F2" s="37" t="s">
        <v>46</v>
      </c>
      <c r="G2" s="38" t="s">
        <v>47</v>
      </c>
      <c r="H2" s="39" t="s">
        <v>50</v>
      </c>
      <c r="I2" s="40" t="s">
        <v>48</v>
      </c>
      <c r="J2" s="40" t="s">
        <v>49</v>
      </c>
      <c r="K2" s="40" t="s">
        <v>51</v>
      </c>
      <c r="L2" s="40" t="s">
        <v>57</v>
      </c>
      <c r="M2" s="40" t="s">
        <v>58</v>
      </c>
      <c r="O2" s="51" t="s">
        <v>62</v>
      </c>
      <c r="P2" s="52" t="s">
        <v>63</v>
      </c>
    </row>
    <row r="3" spans="1:16" ht="15.75" thickTop="1" x14ac:dyDescent="0.25">
      <c r="A3" s="6" t="s">
        <v>64</v>
      </c>
      <c r="B3" s="54">
        <v>11.296427594457489</v>
      </c>
      <c r="C3" s="54">
        <v>1.986</v>
      </c>
      <c r="D3" s="4">
        <f>(B3-P$7)^2</f>
        <v>2.4993376753429488</v>
      </c>
      <c r="E3" s="4">
        <f>C3*P$3+P$4</f>
        <v>10.855843</v>
      </c>
      <c r="F3" s="4">
        <f>B3-E3</f>
        <v>0.44058459445748888</v>
      </c>
      <c r="G3" s="12">
        <f>F3^2</f>
        <v>0.19411478487326994</v>
      </c>
      <c r="H3" s="4">
        <f>(P$10*((1/P$6)+ (C3-P$8)^2/((P$6-1)*P$9)))^0.5</f>
        <v>0.55164212734539475</v>
      </c>
      <c r="I3" s="4">
        <f>E3-P$5*H3</f>
        <v>9.5837539731886956</v>
      </c>
      <c r="J3" s="4">
        <f>E3+P$5*H3</f>
        <v>12.127932026811305</v>
      </c>
      <c r="K3" s="4">
        <f>(P$10*(1+(1/P$6)+ (C3-P$8)^2/((P$6-1)*P$9)))^0.5</f>
        <v>1.1445573100911217</v>
      </c>
      <c r="L3" s="4">
        <f>E3-P$5*K3</f>
        <v>8.2164891099517163</v>
      </c>
      <c r="M3" s="21">
        <f>E3+P$5*K3</f>
        <v>13.495196890048284</v>
      </c>
      <c r="O3" s="49" t="s">
        <v>37</v>
      </c>
      <c r="P3" s="50">
        <v>1.6755</v>
      </c>
    </row>
    <row r="4" spans="1:16" ht="18" x14ac:dyDescent="0.35">
      <c r="A4" s="6" t="s">
        <v>65</v>
      </c>
      <c r="B4" s="54">
        <v>8.6402534179109178</v>
      </c>
      <c r="C4" s="54">
        <v>0.92200000000000004</v>
      </c>
      <c r="D4" s="4">
        <f t="shared" ref="D4:D12" si="0">(B4-P$7)^2</f>
        <v>1.1561513923632889</v>
      </c>
      <c r="E4" s="7">
        <f t="shared" ref="E4:E12" si="1">C4*P$3+P$4</f>
        <v>9.0731110000000008</v>
      </c>
      <c r="F4" s="7">
        <f t="shared" ref="F4:F12" si="2">B4-E4</f>
        <v>-0.43285758208908298</v>
      </c>
      <c r="G4" s="11">
        <f t="shared" ref="G4:G12" si="3">F4^2</f>
        <v>0.18736568637200721</v>
      </c>
      <c r="H4" s="7">
        <f t="shared" ref="H4:H12" si="4">(P$10*((1/P$6)+ (C4-P$8)^2/((P$6-1)*P$9)))^0.5</f>
        <v>0.4064776024378578</v>
      </c>
      <c r="I4" s="7">
        <f t="shared" ref="I4:I12" si="5">E4-P$5*H4</f>
        <v>8.1357719679104257</v>
      </c>
      <c r="J4" s="7">
        <f t="shared" ref="J4:J12" si="6">E4+P$5*H4</f>
        <v>10.010450032089576</v>
      </c>
      <c r="K4" s="7">
        <f t="shared" ref="K4:K12" si="7">(P$10*(1+(1/P$6)+ (C4-P$8)^2/((P$6-1)*P$9)))^0.5</f>
        <v>1.0820935452651499</v>
      </c>
      <c r="L4" s="7">
        <f t="shared" ref="L4:L12" si="8">E4-P$5*K4</f>
        <v>6.5777988099408269</v>
      </c>
      <c r="M4" s="22">
        <f t="shared" ref="M4:M12" si="9">E4+P$5*K4</f>
        <v>11.568423190059175</v>
      </c>
      <c r="O4" s="45" t="s">
        <v>38</v>
      </c>
      <c r="P4" s="41">
        <v>7.5282999999999998</v>
      </c>
    </row>
    <row r="5" spans="1:16" ht="16.5" x14ac:dyDescent="0.3">
      <c r="A5" s="6" t="s">
        <v>66</v>
      </c>
      <c r="B5" s="54">
        <v>11.013265576547681</v>
      </c>
      <c r="C5" s="54">
        <v>1.7270000000000001</v>
      </c>
      <c r="D5" s="4">
        <f t="shared" si="0"/>
        <v>1.6842001021331037</v>
      </c>
      <c r="E5" s="7">
        <f t="shared" si="1"/>
        <v>10.4218885</v>
      </c>
      <c r="F5" s="7">
        <f t="shared" si="2"/>
        <v>0.59137707654768157</v>
      </c>
      <c r="G5" s="11">
        <f t="shared" si="3"/>
        <v>0.34972684666608245</v>
      </c>
      <c r="H5" s="7">
        <f t="shared" si="4"/>
        <v>0.42278766454936967</v>
      </c>
      <c r="I5" s="7">
        <f t="shared" si="5"/>
        <v>9.4469383972358401</v>
      </c>
      <c r="J5" s="7">
        <f t="shared" si="6"/>
        <v>11.396838602764159</v>
      </c>
      <c r="K5" s="7">
        <f t="shared" si="7"/>
        <v>1.0883252311308336</v>
      </c>
      <c r="L5" s="7">
        <f t="shared" si="8"/>
        <v>7.9122060165652659</v>
      </c>
      <c r="M5" s="22">
        <f t="shared" si="9"/>
        <v>12.931570983434733</v>
      </c>
      <c r="O5" s="46" t="s">
        <v>39</v>
      </c>
      <c r="P5" s="42">
        <f>-_xlfn.T.INV(0.025,8)</f>
        <v>2.3060041352041671</v>
      </c>
    </row>
    <row r="6" spans="1:16" x14ac:dyDescent="0.25">
      <c r="A6" s="6" t="s">
        <v>67</v>
      </c>
      <c r="B6" s="54">
        <v>9.0012000000000008</v>
      </c>
      <c r="C6" s="54">
        <v>1.032</v>
      </c>
      <c r="D6" s="4">
        <f t="shared" si="0"/>
        <v>0.51022195237226353</v>
      </c>
      <c r="E6" s="7">
        <f t="shared" si="1"/>
        <v>9.2574159999999992</v>
      </c>
      <c r="F6" s="7">
        <f t="shared" si="2"/>
        <v>-0.25621599999999844</v>
      </c>
      <c r="G6" s="11">
        <f t="shared" si="3"/>
        <v>6.5646638655999207E-2</v>
      </c>
      <c r="H6" s="7">
        <f t="shared" si="4"/>
        <v>0.36530376083124866</v>
      </c>
      <c r="I6" s="7">
        <f t="shared" si="5"/>
        <v>8.4150240169175063</v>
      </c>
      <c r="J6" s="7">
        <f t="shared" si="6"/>
        <v>10.099807983082492</v>
      </c>
      <c r="K6" s="7">
        <f t="shared" si="7"/>
        <v>1.0673093446130442</v>
      </c>
      <c r="L6" s="7">
        <f t="shared" si="8"/>
        <v>6.7961962377802703</v>
      </c>
      <c r="M6" s="22">
        <f t="shared" si="9"/>
        <v>11.718635762219728</v>
      </c>
      <c r="O6" s="46" t="s">
        <v>25</v>
      </c>
      <c r="P6" s="43">
        <v>10</v>
      </c>
    </row>
    <row r="7" spans="1:16" x14ac:dyDescent="0.25">
      <c r="A7" s="6" t="s">
        <v>68</v>
      </c>
      <c r="B7" s="54">
        <v>8.5250464695174273</v>
      </c>
      <c r="C7" s="54">
        <v>1.8779999999999999</v>
      </c>
      <c r="D7" s="4">
        <f t="shared" si="0"/>
        <v>1.4171753790218475</v>
      </c>
      <c r="E7" s="7">
        <f t="shared" si="1"/>
        <v>10.674889</v>
      </c>
      <c r="F7" s="7">
        <f t="shared" si="2"/>
        <v>-2.149842530482573</v>
      </c>
      <c r="G7" s="11">
        <f t="shared" si="3"/>
        <v>4.6218229058717126</v>
      </c>
      <c r="H7" s="7">
        <f t="shared" si="4"/>
        <v>0.49475175210104561</v>
      </c>
      <c r="I7" s="7">
        <f t="shared" si="5"/>
        <v>9.5339894137554815</v>
      </c>
      <c r="J7" s="7">
        <f t="shared" si="6"/>
        <v>11.815788586244519</v>
      </c>
      <c r="K7" s="7">
        <f t="shared" si="7"/>
        <v>1.1182493888341394</v>
      </c>
      <c r="L7" s="7">
        <f t="shared" si="8"/>
        <v>8.0962012851589424</v>
      </c>
      <c r="M7" s="22">
        <f t="shared" si="9"/>
        <v>13.253576714841058</v>
      </c>
      <c r="O7" s="46" t="s">
        <v>43</v>
      </c>
      <c r="P7" s="41">
        <f>AVERAGE(B3:B12)</f>
        <v>9.7154982236939027</v>
      </c>
    </row>
    <row r="8" spans="1:16" x14ac:dyDescent="0.25">
      <c r="A8" s="6" t="s">
        <v>69</v>
      </c>
      <c r="B8" s="54">
        <v>8.7109831362454457</v>
      </c>
      <c r="C8" s="54">
        <v>1.032</v>
      </c>
      <c r="D8" s="4">
        <f t="shared" si="0"/>
        <v>1.0090505609115812</v>
      </c>
      <c r="E8" s="7">
        <f t="shared" si="1"/>
        <v>9.2574159999999992</v>
      </c>
      <c r="F8" s="7">
        <f t="shared" si="2"/>
        <v>-0.54643286375455347</v>
      </c>
      <c r="G8" s="11">
        <f t="shared" si="3"/>
        <v>0.29858887459100242</v>
      </c>
      <c r="H8" s="7">
        <f t="shared" si="4"/>
        <v>0.36530376083124866</v>
      </c>
      <c r="I8" s="7">
        <f t="shared" si="5"/>
        <v>8.4150240169175063</v>
      </c>
      <c r="J8" s="7">
        <f t="shared" si="6"/>
        <v>10.099807983082492</v>
      </c>
      <c r="K8" s="7">
        <f t="shared" si="7"/>
        <v>1.0673093446130442</v>
      </c>
      <c r="L8" s="7">
        <f t="shared" si="8"/>
        <v>6.7961962377802703</v>
      </c>
      <c r="M8" s="22">
        <f t="shared" si="9"/>
        <v>11.718635762219728</v>
      </c>
      <c r="O8" s="46" t="s">
        <v>40</v>
      </c>
      <c r="P8" s="41">
        <f>AVERAGE(C3:C12)</f>
        <v>1.3054000000000001</v>
      </c>
    </row>
    <row r="9" spans="1:16" ht="17.25" x14ac:dyDescent="0.3">
      <c r="A9" s="6" t="s">
        <v>70</v>
      </c>
      <c r="B9" s="54">
        <v>11.646058051165923</v>
      </c>
      <c r="C9" s="54">
        <v>1.7869999999999999</v>
      </c>
      <c r="D9" s="4">
        <f t="shared" si="0"/>
        <v>3.727061247448797</v>
      </c>
      <c r="E9" s="7">
        <f t="shared" si="1"/>
        <v>10.522418500000001</v>
      </c>
      <c r="F9" s="7">
        <f t="shared" si="2"/>
        <v>1.1236395511659225</v>
      </c>
      <c r="G9" s="11">
        <f t="shared" si="3"/>
        <v>1.2625658409443559</v>
      </c>
      <c r="H9" s="7">
        <f t="shared" si="4"/>
        <v>0.45009438011390168</v>
      </c>
      <c r="I9" s="7">
        <f t="shared" si="5"/>
        <v>9.4844989982251864</v>
      </c>
      <c r="J9" s="7">
        <f t="shared" si="6"/>
        <v>11.560338001774815</v>
      </c>
      <c r="K9" s="7">
        <f t="shared" si="7"/>
        <v>1.0992212472614369</v>
      </c>
      <c r="L9" s="7">
        <f t="shared" si="8"/>
        <v>7.9876097583108443</v>
      </c>
      <c r="M9" s="22">
        <f t="shared" si="9"/>
        <v>13.057227241689157</v>
      </c>
      <c r="O9" s="46" t="s">
        <v>41</v>
      </c>
      <c r="P9" s="41">
        <f>_xlfn.VAR.S(C3:C12)</f>
        <v>0.25406048888888777</v>
      </c>
    </row>
    <row r="10" spans="1:16" ht="15.75" x14ac:dyDescent="0.25">
      <c r="A10" s="6" t="s">
        <v>71</v>
      </c>
      <c r="B10" s="54">
        <v>9.9920769338187174</v>
      </c>
      <c r="C10" s="54">
        <v>0.92900000000000005</v>
      </c>
      <c r="D10" s="4">
        <f t="shared" si="0"/>
        <v>7.6495782894306294E-2</v>
      </c>
      <c r="E10" s="7">
        <f t="shared" si="1"/>
        <v>9.0848394999999993</v>
      </c>
      <c r="F10" s="7">
        <f t="shared" si="2"/>
        <v>0.90723743381871813</v>
      </c>
      <c r="G10" s="11">
        <f t="shared" si="3"/>
        <v>0.82307976132197291</v>
      </c>
      <c r="H10" s="7">
        <f t="shared" si="4"/>
        <v>0.40358980973189951</v>
      </c>
      <c r="I10" s="7">
        <f t="shared" si="5"/>
        <v>8.1541597298319761</v>
      </c>
      <c r="J10" s="7">
        <f t="shared" si="6"/>
        <v>10.015519270168022</v>
      </c>
      <c r="K10" s="7">
        <f t="shared" si="7"/>
        <v>1.0810120877863958</v>
      </c>
      <c r="L10" s="7">
        <f t="shared" si="8"/>
        <v>6.5920211553588803</v>
      </c>
      <c r="M10" s="22">
        <f t="shared" si="9"/>
        <v>11.577657844641118</v>
      </c>
      <c r="O10" s="46" t="s">
        <v>55</v>
      </c>
      <c r="P10" s="41">
        <f>SUM(G3:G12)/(P6-2)</f>
        <v>1.0057023994208716</v>
      </c>
    </row>
    <row r="11" spans="1:16" x14ac:dyDescent="0.25">
      <c r="A11" s="6" t="s">
        <v>72</v>
      </c>
      <c r="B11" s="54">
        <v>8.2218710572754095</v>
      </c>
      <c r="C11" s="54">
        <v>0.502</v>
      </c>
      <c r="D11" s="4">
        <f t="shared" si="0"/>
        <v>2.2309221122633374</v>
      </c>
      <c r="E11" s="7">
        <f t="shared" si="1"/>
        <v>8.3694009999999999</v>
      </c>
      <c r="F11" s="7">
        <f t="shared" si="2"/>
        <v>-0.14752994272459041</v>
      </c>
      <c r="G11" s="11">
        <f t="shared" si="3"/>
        <v>2.1765084000320928E-2</v>
      </c>
      <c r="H11" s="7">
        <f t="shared" si="4"/>
        <v>0.62005037478480662</v>
      </c>
      <c r="I11" s="7">
        <f t="shared" si="5"/>
        <v>6.9395622717113419</v>
      </c>
      <c r="J11" s="7">
        <f t="shared" si="6"/>
        <v>9.7992397282886579</v>
      </c>
      <c r="K11" s="7">
        <f t="shared" si="7"/>
        <v>1.1790525292333887</v>
      </c>
      <c r="L11" s="7">
        <f t="shared" si="8"/>
        <v>5.6505009919648739</v>
      </c>
      <c r="M11" s="22">
        <f t="shared" si="9"/>
        <v>11.088301008035126</v>
      </c>
      <c r="O11" s="47" t="s">
        <v>59</v>
      </c>
      <c r="P11" s="42">
        <f>SUM(D3:D12)</f>
        <v>14.464516888444393</v>
      </c>
    </row>
    <row r="12" spans="1:16" x14ac:dyDescent="0.25">
      <c r="A12" s="6" t="s">
        <v>73</v>
      </c>
      <c r="B12" s="54">
        <v>10.107799999999999</v>
      </c>
      <c r="C12" s="54">
        <v>1.2589999999999999</v>
      </c>
      <c r="D12" s="4">
        <f t="shared" si="0"/>
        <v>0.15390068369291859</v>
      </c>
      <c r="E12" s="7">
        <f t="shared" si="1"/>
        <v>9.6377544999999998</v>
      </c>
      <c r="F12" s="7">
        <f t="shared" si="2"/>
        <v>0.47004549999999945</v>
      </c>
      <c r="G12" s="11">
        <f t="shared" si="3"/>
        <v>0.22094277207024948</v>
      </c>
      <c r="H12" s="7">
        <f t="shared" si="4"/>
        <v>0.3186176191590247</v>
      </c>
      <c r="I12" s="7">
        <f t="shared" si="5"/>
        <v>8.9030209526703832</v>
      </c>
      <c r="J12" s="7">
        <f t="shared" si="6"/>
        <v>10.372488047329616</v>
      </c>
      <c r="K12" s="7">
        <f t="shared" si="7"/>
        <v>1.0522450221594954</v>
      </c>
      <c r="L12" s="7">
        <f t="shared" si="8"/>
        <v>7.2112731276522029</v>
      </c>
      <c r="M12" s="22">
        <f t="shared" si="9"/>
        <v>12.064235872347798</v>
      </c>
      <c r="O12" s="47" t="s">
        <v>53</v>
      </c>
      <c r="P12" s="42">
        <f>SUM(D3:D12)-P10*(P6-2)</f>
        <v>6.4188976930774206</v>
      </c>
    </row>
    <row r="13" spans="1:16" ht="16.5" x14ac:dyDescent="0.3">
      <c r="O13" s="47" t="s">
        <v>79</v>
      </c>
      <c r="P13" s="42">
        <f>P12/P10</f>
        <v>6.382502116703419</v>
      </c>
    </row>
    <row r="14" spans="1:16" ht="17.25" thickBot="1" x14ac:dyDescent="0.3">
      <c r="O14" s="48" t="s">
        <v>61</v>
      </c>
      <c r="P14" s="44">
        <f>P12/P11</f>
        <v>0.44376855048684244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F16" sqref="F16"/>
    </sheetView>
  </sheetViews>
  <sheetFormatPr defaultRowHeight="15" x14ac:dyDescent="0.25"/>
  <sheetData>
    <row r="1" spans="1:2" x14ac:dyDescent="0.25">
      <c r="A1" t="s">
        <v>80</v>
      </c>
      <c r="B1" t="s">
        <v>81</v>
      </c>
    </row>
    <row r="2" spans="1:2" x14ac:dyDescent="0.25">
      <c r="A2">
        <v>3.33</v>
      </c>
      <c r="B2">
        <v>0.252</v>
      </c>
    </row>
    <row r="3" spans="1:2" x14ac:dyDescent="0.25">
      <c r="A3">
        <v>4.62</v>
      </c>
      <c r="B3">
        <v>0.26300000000000001</v>
      </c>
    </row>
    <row r="4" spans="1:2" x14ac:dyDescent="0.25">
      <c r="A4">
        <v>5.43</v>
      </c>
      <c r="B4">
        <v>0.251</v>
      </c>
    </row>
    <row r="5" spans="1:2" x14ac:dyDescent="0.25">
      <c r="A5">
        <v>5.73</v>
      </c>
      <c r="B5">
        <v>0.251</v>
      </c>
    </row>
    <row r="6" spans="1:2" x14ac:dyDescent="0.25">
      <c r="A6">
        <v>6.12</v>
      </c>
      <c r="B6">
        <v>0.183</v>
      </c>
    </row>
    <row r="7" spans="1:2" x14ac:dyDescent="0.25">
      <c r="A7">
        <v>6.29</v>
      </c>
      <c r="B7">
        <v>0.21299999999999999</v>
      </c>
    </row>
    <row r="8" spans="1:2" x14ac:dyDescent="0.25">
      <c r="A8">
        <v>6.45</v>
      </c>
      <c r="B8">
        <v>0.33200000000000002</v>
      </c>
    </row>
    <row r="9" spans="1:2" x14ac:dyDescent="0.25">
      <c r="A9">
        <v>6.51</v>
      </c>
      <c r="B9">
        <v>0.20300000000000001</v>
      </c>
    </row>
    <row r="10" spans="1:2" x14ac:dyDescent="0.25">
      <c r="A10">
        <v>6.65</v>
      </c>
      <c r="B10">
        <v>0.252</v>
      </c>
    </row>
    <row r="11" spans="1:2" x14ac:dyDescent="0.25">
      <c r="A11">
        <v>6.75</v>
      </c>
      <c r="B11">
        <v>0.34200000000000003</v>
      </c>
    </row>
    <row r="12" spans="1:2" x14ac:dyDescent="0.25">
      <c r="A12">
        <v>6.81</v>
      </c>
      <c r="B12">
        <v>0.47099999999999997</v>
      </c>
    </row>
    <row r="13" spans="1:2" x14ac:dyDescent="0.25">
      <c r="A13">
        <v>7.56</v>
      </c>
      <c r="B13">
        <v>0.43099999999999999</v>
      </c>
    </row>
    <row r="14" spans="1:2" x14ac:dyDescent="0.25">
      <c r="A14">
        <v>7.83</v>
      </c>
      <c r="B14">
        <v>0.312</v>
      </c>
    </row>
    <row r="15" spans="1:2" x14ac:dyDescent="0.25">
      <c r="A15">
        <v>8.02</v>
      </c>
      <c r="B15">
        <v>0.30399999999999999</v>
      </c>
    </row>
    <row r="16" spans="1:2" x14ac:dyDescent="0.25">
      <c r="A16">
        <v>8.06</v>
      </c>
      <c r="B16">
        <v>0.37</v>
      </c>
    </row>
    <row r="17" spans="1:2" x14ac:dyDescent="0.25">
      <c r="A17">
        <v>8.18</v>
      </c>
      <c r="B17">
        <v>0.38100000000000001</v>
      </c>
    </row>
    <row r="18" spans="1:2" x14ac:dyDescent="0.25">
      <c r="A18">
        <v>9.08</v>
      </c>
      <c r="B18">
        <v>0.43</v>
      </c>
    </row>
    <row r="19" spans="1:2" x14ac:dyDescent="0.25">
      <c r="A19">
        <v>9.15</v>
      </c>
      <c r="B19">
        <v>0.43</v>
      </c>
    </row>
    <row r="20" spans="1:2" x14ac:dyDescent="0.25">
      <c r="A20">
        <v>9.35</v>
      </c>
      <c r="B20">
        <v>0.21299999999999999</v>
      </c>
    </row>
    <row r="21" spans="1:2" x14ac:dyDescent="0.25">
      <c r="A21">
        <v>9.42</v>
      </c>
      <c r="B21">
        <v>0.50800000000000001</v>
      </c>
    </row>
    <row r="22" spans="1:2" x14ac:dyDescent="0.25">
      <c r="A22">
        <v>9.9499999999999993</v>
      </c>
      <c r="B22">
        <v>0.41099999999999998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showGridLines="0" tabSelected="1" zoomScale="80" zoomScaleNormal="80" workbookViewId="0">
      <selection activeCell="H1" sqref="H1:I22"/>
    </sheetView>
  </sheetViews>
  <sheetFormatPr defaultRowHeight="15" x14ac:dyDescent="0.25"/>
  <cols>
    <col min="2" max="2" width="12" customWidth="1"/>
    <col min="6" max="6" width="15" customWidth="1"/>
    <col min="7" max="7" width="13.5703125" customWidth="1"/>
    <col min="8" max="8" width="13.28515625" customWidth="1"/>
    <col min="9" max="9" width="14.7109375" customWidth="1"/>
    <col min="10" max="10" width="15.85546875" customWidth="1"/>
    <col min="11" max="11" width="19.140625" customWidth="1"/>
    <col min="12" max="12" width="30.5703125" customWidth="1"/>
    <col min="13" max="13" width="1.7109375" customWidth="1"/>
    <col min="14" max="14" width="13.28515625" customWidth="1"/>
    <col min="18" max="18" width="11.28515625" customWidth="1"/>
    <col min="19" max="19" width="15" customWidth="1"/>
    <col min="20" max="20" width="15.28515625" customWidth="1"/>
    <col min="21" max="21" width="15.7109375" style="9" customWidth="1"/>
    <col min="22" max="22" width="9.140625" style="81"/>
    <col min="23" max="23" width="11.85546875" style="58" customWidth="1"/>
  </cols>
  <sheetData>
    <row r="1" spans="1:23" ht="32.25" thickBot="1" x14ac:dyDescent="0.4">
      <c r="A1" s="79"/>
      <c r="B1" s="75" t="s">
        <v>0</v>
      </c>
      <c r="C1" s="28" t="s">
        <v>56</v>
      </c>
      <c r="D1" s="14" t="s">
        <v>36</v>
      </c>
      <c r="E1" s="14" t="s">
        <v>54</v>
      </c>
      <c r="F1" s="15" t="s">
        <v>29</v>
      </c>
      <c r="G1" s="16" t="s">
        <v>28</v>
      </c>
      <c r="H1" s="17" t="s">
        <v>30</v>
      </c>
      <c r="I1" s="18" t="s">
        <v>52</v>
      </c>
      <c r="J1" s="55" t="s">
        <v>82</v>
      </c>
      <c r="K1" s="56" t="s">
        <v>83</v>
      </c>
      <c r="L1" s="57" t="s">
        <v>84</v>
      </c>
      <c r="N1" s="61" t="s">
        <v>87</v>
      </c>
      <c r="O1" s="62"/>
      <c r="S1" s="82"/>
    </row>
    <row r="2" spans="1:23" ht="37.5" thickTop="1" thickBot="1" x14ac:dyDescent="0.4">
      <c r="A2" s="80" t="s">
        <v>91</v>
      </c>
      <c r="B2" s="76" t="s">
        <v>35</v>
      </c>
      <c r="C2" s="13" t="s">
        <v>26</v>
      </c>
      <c r="D2" s="13" t="s">
        <v>27</v>
      </c>
      <c r="E2" s="13" t="s">
        <v>44</v>
      </c>
      <c r="F2" s="37" t="s">
        <v>45</v>
      </c>
      <c r="G2" s="37" t="s">
        <v>46</v>
      </c>
      <c r="H2" s="38" t="s">
        <v>47</v>
      </c>
      <c r="I2" s="39" t="s">
        <v>50</v>
      </c>
      <c r="J2" s="59" t="s">
        <v>85</v>
      </c>
      <c r="K2" s="60" t="s">
        <v>86</v>
      </c>
      <c r="L2" s="60" t="s">
        <v>90</v>
      </c>
      <c r="N2" s="49" t="s">
        <v>37</v>
      </c>
      <c r="O2" s="64">
        <v>0.12936700000000001</v>
      </c>
      <c r="R2" s="1" t="s">
        <v>92</v>
      </c>
      <c r="S2" s="36" t="s">
        <v>93</v>
      </c>
      <c r="T2" s="85" t="str">
        <f>G1</f>
        <v>ε̂</v>
      </c>
      <c r="U2" s="87" t="s">
        <v>96</v>
      </c>
      <c r="V2" s="86" t="s">
        <v>94</v>
      </c>
      <c r="W2" s="2" t="s">
        <v>95</v>
      </c>
    </row>
    <row r="3" spans="1:23" ht="18.75" thickTop="1" x14ac:dyDescent="0.35">
      <c r="A3" s="71">
        <v>1</v>
      </c>
      <c r="B3" s="72" t="s">
        <v>6</v>
      </c>
      <c r="C3" s="29">
        <v>5.1052609940526441</v>
      </c>
      <c r="D3" s="5">
        <v>1</v>
      </c>
      <c r="E3" s="4">
        <f>(C3-O$6)^2</f>
        <v>0.24367504213274085</v>
      </c>
      <c r="F3" s="4">
        <f>D3*O$2+O$3</f>
        <v>5.0490820000000003</v>
      </c>
      <c r="G3" s="4">
        <f>C3-F3</f>
        <v>5.6178994052643816E-2</v>
      </c>
      <c r="H3" s="12">
        <f>G3^2</f>
        <v>3.1560793727669892E-3</v>
      </c>
      <c r="I3" s="4">
        <f>(O$9*((1/O$5)+ (D3-O$7)^2/((O$5-1)*O$8)))^0.5</f>
        <v>0.11034351635222017</v>
      </c>
      <c r="J3" s="63">
        <f>(I3/SQRT(O$9))^2</f>
        <v>0.16306729264475739</v>
      </c>
      <c r="K3" s="4">
        <f>G3/SQRT(O$9*(1-J3))</f>
        <v>0.22473219774692912</v>
      </c>
      <c r="L3" s="64">
        <f>(1/O$14)*K3^2*(J3/(1-J3))</f>
        <v>4.9201339055478461E-3</v>
      </c>
      <c r="N3" s="45" t="s">
        <v>38</v>
      </c>
      <c r="O3" s="65">
        <v>4.9197150000000001</v>
      </c>
      <c r="R3" s="5">
        <v>1</v>
      </c>
      <c r="S3" s="3" t="str">
        <f>B3</f>
        <v>Garcia</v>
      </c>
      <c r="T3" s="4">
        <v>-0.54411328036706763</v>
      </c>
      <c r="U3" s="4">
        <f>(T3-AVERAGE(T$3:T$22))/_xlfn.STDEV.P(T$3:T$22)</f>
        <v>-2.0989770433577837</v>
      </c>
      <c r="V3" s="84">
        <f>F3-AVERAGE(C$3:C$22)</f>
        <v>-0.54981351688582336</v>
      </c>
      <c r="W3" s="5">
        <f>0.05*3</f>
        <v>0.15000000000000002</v>
      </c>
    </row>
    <row r="4" spans="1:23" ht="16.5" x14ac:dyDescent="0.3">
      <c r="A4" s="77">
        <v>2</v>
      </c>
      <c r="B4" s="73" t="s">
        <v>10</v>
      </c>
      <c r="C4" s="30">
        <v>5.1951362302983046</v>
      </c>
      <c r="D4" s="8">
        <v>1</v>
      </c>
      <c r="E4" s="4">
        <f>(C4-O$6)^2</f>
        <v>0.16302156150566233</v>
      </c>
      <c r="F4" s="7">
        <f>D4*O$2+O$3</f>
        <v>5.0490820000000003</v>
      </c>
      <c r="G4" s="7">
        <f>C4-F4</f>
        <v>0.14605423029830433</v>
      </c>
      <c r="H4" s="11">
        <f>G4^2</f>
        <v>2.1331838188030118E-2</v>
      </c>
      <c r="I4" s="7">
        <f>(O$9*((1/O$5)+ (D4-O$7)^2/((O$5-1)*O$8)))^0.5</f>
        <v>0.11034351635222017</v>
      </c>
      <c r="J4" s="63">
        <f>(I4/SQRT(O$9))^2</f>
        <v>0.16306729264475739</v>
      </c>
      <c r="K4" s="4">
        <f>G4/SQRT(O$9*(1-J4))</f>
        <v>0.58425909396698039</v>
      </c>
      <c r="L4" s="65">
        <f>(1/O$14)*K4^2*(J4/(1-J4))</f>
        <v>3.3255025599869821E-2</v>
      </c>
      <c r="N4" s="46" t="s">
        <v>39</v>
      </c>
      <c r="O4" s="22">
        <f>-_xlfn.T.INV(0.025,18)</f>
        <v>2.1009220402410378</v>
      </c>
      <c r="R4" s="8">
        <f>R3+1</f>
        <v>2</v>
      </c>
      <c r="S4" s="6" t="str">
        <f>B4</f>
        <v>Martinez</v>
      </c>
      <c r="T4" s="7">
        <v>-0.40174326689042505</v>
      </c>
      <c r="U4" s="7">
        <f t="shared" ref="U4:U22" si="0">(T4-AVERAGE(T$3:T$22))/_xlfn.STDEV.P(T$3:T$22)</f>
        <v>-1.549772802360861</v>
      </c>
      <c r="V4" s="83">
        <f t="shared" ref="V4:V22" si="1">F4-AVERAGE(C$3:C$22)</f>
        <v>-0.54981351688582336</v>
      </c>
      <c r="W4" s="8">
        <f t="shared" ref="W4:W5" si="2">0.05*3</f>
        <v>0.15000000000000002</v>
      </c>
    </row>
    <row r="5" spans="1:23" x14ac:dyDescent="0.25">
      <c r="A5" s="77">
        <v>3</v>
      </c>
      <c r="B5" s="73" t="s">
        <v>19</v>
      </c>
      <c r="C5" s="30">
        <v>5.002617320037773</v>
      </c>
      <c r="D5" s="8">
        <v>1</v>
      </c>
      <c r="E5" s="4">
        <f>(C5-O$6)^2</f>
        <v>0.35554768803636261</v>
      </c>
      <c r="F5" s="7">
        <f>D5*O$2+O$3</f>
        <v>5.0490820000000003</v>
      </c>
      <c r="G5" s="7">
        <f>C5-F5</f>
        <v>-4.6464679962227251E-2</v>
      </c>
      <c r="H5" s="11">
        <f>G5^2</f>
        <v>2.1589664839922027E-3</v>
      </c>
      <c r="I5" s="7">
        <f>(O$9*((1/O$5)+ (D5-O$7)^2/((O$5-1)*O$8)))^0.5</f>
        <v>0.11034351635222017</v>
      </c>
      <c r="J5" s="63">
        <f>(I5/SQRT(O$9))^2</f>
        <v>0.16306729264475739</v>
      </c>
      <c r="K5" s="4">
        <f>G5/SQRT(O$9*(1-J5))</f>
        <v>-0.18587213640269193</v>
      </c>
      <c r="L5" s="65">
        <f>(1/O$14)*K5^2*(J5/(1-J5))</f>
        <v>3.3656961515256861E-3</v>
      </c>
      <c r="N5" s="46" t="s">
        <v>25</v>
      </c>
      <c r="O5" s="66">
        <v>20</v>
      </c>
      <c r="R5" s="8">
        <f t="shared" ref="R5:R22" si="3">R4+1</f>
        <v>3</v>
      </c>
      <c r="S5" s="6" t="str">
        <f>B5</f>
        <v>Jackson</v>
      </c>
      <c r="T5" s="7">
        <v>-0.32470986993506923</v>
      </c>
      <c r="U5" s="7">
        <f t="shared" si="0"/>
        <v>-1.2526100271868474</v>
      </c>
      <c r="V5" s="83">
        <f t="shared" si="1"/>
        <v>-0.54981351688582336</v>
      </c>
      <c r="W5" s="8">
        <f t="shared" si="2"/>
        <v>0.15000000000000002</v>
      </c>
    </row>
    <row r="6" spans="1:23" x14ac:dyDescent="0.25">
      <c r="A6" s="77">
        <v>4</v>
      </c>
      <c r="B6" s="73" t="s">
        <v>12</v>
      </c>
      <c r="C6" s="30">
        <v>4.6343357196329329</v>
      </c>
      <c r="D6" s="8">
        <v>2</v>
      </c>
      <c r="E6" s="4">
        <f>(C6-O$6)^2</f>
        <v>0.93037560247653772</v>
      </c>
      <c r="F6" s="7">
        <f>D6*O$2+O$3</f>
        <v>5.1784490000000005</v>
      </c>
      <c r="G6" s="7">
        <f>C6-F6</f>
        <v>-0.54411328036706763</v>
      </c>
      <c r="H6" s="11">
        <f>G6^2</f>
        <v>0.29605926187181114</v>
      </c>
      <c r="I6" s="7">
        <f>(O$9*((1/O$5)+ (D6-O$7)^2/((O$5-1)*O$8)))^0.5</f>
        <v>9.3113984839387084E-2</v>
      </c>
      <c r="J6" s="63">
        <f>(I6/SQRT(O$9))^2</f>
        <v>0.11611893583724572</v>
      </c>
      <c r="K6" s="4">
        <f>G6/SQRT(O$9*(1-J6))</f>
        <v>-2.118014952846607</v>
      </c>
      <c r="L6" s="65">
        <f>(1/O$14)*K6^2*(J6/(1-J6))</f>
        <v>0.29467091064425527</v>
      </c>
      <c r="N6" s="46" t="s">
        <v>43</v>
      </c>
      <c r="O6" s="65">
        <f>AVERAGE(C3:C22)</f>
        <v>5.5988955168858237</v>
      </c>
      <c r="R6" s="8">
        <f t="shared" si="3"/>
        <v>4</v>
      </c>
      <c r="S6" s="6" t="str">
        <f>B6</f>
        <v>Lopez</v>
      </c>
      <c r="T6" s="7">
        <v>-0.23731070509997476</v>
      </c>
      <c r="U6" s="7">
        <f t="shared" si="0"/>
        <v>-0.91546043497375162</v>
      </c>
      <c r="V6" s="83">
        <f t="shared" si="1"/>
        <v>-0.42044651688582313</v>
      </c>
      <c r="W6" s="8">
        <f>W5+0.05</f>
        <v>0.2</v>
      </c>
    </row>
    <row r="7" spans="1:23" x14ac:dyDescent="0.25">
      <c r="A7" s="77">
        <v>5</v>
      </c>
      <c r="B7" s="73" t="s">
        <v>1</v>
      </c>
      <c r="C7" s="30">
        <v>5.2673603104348743</v>
      </c>
      <c r="D7" s="8">
        <v>3</v>
      </c>
      <c r="E7" s="4">
        <f>(C7-O$6)^2</f>
        <v>0.10991559311647361</v>
      </c>
      <c r="F7" s="7">
        <f>D7*O$2+O$3</f>
        <v>5.3078159999999999</v>
      </c>
      <c r="G7" s="7">
        <f>C7-F7</f>
        <v>-4.0455689565125574E-2</v>
      </c>
      <c r="H7" s="11">
        <f>G7^2</f>
        <v>1.6366628181898103E-3</v>
      </c>
      <c r="I7" s="7">
        <f>(O$9*((1/O$5)+ (D7-O$7)^2/((O$5-1)*O$8)))^0.5</f>
        <v>7.8099492477527357E-2</v>
      </c>
      <c r="J7" s="63">
        <f>(I7/SQRT(O$9))^2</f>
        <v>8.1690140845070452E-2</v>
      </c>
      <c r="K7" s="4">
        <f>G7/SQRT(O$9*(1-J7))</f>
        <v>-0.15449754947174482</v>
      </c>
      <c r="L7" s="65">
        <f>(1/O$14)*K7^2*(J7/(1-J7))</f>
        <v>1.0616798941571366E-3</v>
      </c>
      <c r="N7" s="46" t="s">
        <v>40</v>
      </c>
      <c r="O7" s="65">
        <f>AVERAGE(D3:D22)</f>
        <v>5.25</v>
      </c>
      <c r="R7" s="8">
        <f t="shared" si="3"/>
        <v>5</v>
      </c>
      <c r="S7" s="6" t="str">
        <f>B7</f>
        <v>Smith</v>
      </c>
      <c r="T7" s="7">
        <v>-0.14537254355679075</v>
      </c>
      <c r="U7" s="7">
        <f t="shared" si="0"/>
        <v>-0.56080128312039634</v>
      </c>
      <c r="V7" s="83">
        <f t="shared" si="1"/>
        <v>-0.29107951688582379</v>
      </c>
      <c r="W7" s="8">
        <f>W6+0.05*2</f>
        <v>0.30000000000000004</v>
      </c>
    </row>
    <row r="8" spans="1:23" ht="17.25" x14ac:dyDescent="0.3">
      <c r="A8" s="77">
        <v>6</v>
      </c>
      <c r="B8" s="73" t="s">
        <v>11</v>
      </c>
      <c r="C8" s="30">
        <v>5.4614347411197155</v>
      </c>
      <c r="D8" s="8">
        <v>3</v>
      </c>
      <c r="E8" s="4">
        <f>(C8-O$6)^2</f>
        <v>1.8895464874220266E-2</v>
      </c>
      <c r="F8" s="7">
        <f>D8*O$2+O$3</f>
        <v>5.3078159999999999</v>
      </c>
      <c r="G8" s="7">
        <f>C8-F8</f>
        <v>0.15361874111971563</v>
      </c>
      <c r="H8" s="11">
        <f>G8^2</f>
        <v>2.3598717623206211E-2</v>
      </c>
      <c r="I8" s="7">
        <f>(O$9*((1/O$5)+ (D8-O$7)^2/((O$5-1)*O$8)))^0.5</f>
        <v>7.8099492477527357E-2</v>
      </c>
      <c r="J8" s="63">
        <f>(I8/SQRT(O$9))^2</f>
        <v>8.1690140845070452E-2</v>
      </c>
      <c r="K8" s="4">
        <f>G8/SQRT(O$9*(1-J8))</f>
        <v>0.58665960983618581</v>
      </c>
      <c r="L8" s="65">
        <f>(1/O$14)*K8^2*(J8/(1-J8))</f>
        <v>1.5308152510093912E-2</v>
      </c>
      <c r="N8" s="46" t="s">
        <v>41</v>
      </c>
      <c r="O8" s="65">
        <f>_xlfn.VAR.S(D3:D22)</f>
        <v>8.4078947368421044</v>
      </c>
      <c r="R8" s="8">
        <f t="shared" si="3"/>
        <v>6</v>
      </c>
      <c r="S8" s="6" t="str">
        <f>B8</f>
        <v>Hernandez</v>
      </c>
      <c r="T8" s="7">
        <v>-0.12476745735611949</v>
      </c>
      <c r="U8" s="7">
        <f t="shared" si="0"/>
        <v>-0.48131543879705924</v>
      </c>
      <c r="V8" s="83">
        <f t="shared" si="1"/>
        <v>-0.29107951688582379</v>
      </c>
      <c r="W8" s="8">
        <f>W7</f>
        <v>0.30000000000000004</v>
      </c>
    </row>
    <row r="9" spans="1:23" ht="16.5" x14ac:dyDescent="0.25">
      <c r="A9" s="77">
        <v>7</v>
      </c>
      <c r="B9" s="73" t="s">
        <v>13</v>
      </c>
      <c r="C9" s="30">
        <v>5.3079457846525173</v>
      </c>
      <c r="D9" s="8">
        <v>3</v>
      </c>
      <c r="E9" s="4">
        <f>(C9-O$6)^2</f>
        <v>8.4651746686632653E-2</v>
      </c>
      <c r="F9" s="7">
        <f>D9*O$2+O$3</f>
        <v>5.3078159999999999</v>
      </c>
      <c r="G9" s="7">
        <f>C9-F9</f>
        <v>1.2978465251745064E-4</v>
      </c>
      <c r="H9" s="11">
        <f>G9^2</f>
        <v>1.6844056029075405E-8</v>
      </c>
      <c r="I9" s="7">
        <f>(O$9*((1/O$5)+ (D9-O$7)^2/((O$5-1)*O$8)))^0.5</f>
        <v>7.8099492477527357E-2</v>
      </c>
      <c r="J9" s="63">
        <f>(I9/SQRT(O$9))^2</f>
        <v>8.1690140845070452E-2</v>
      </c>
      <c r="K9" s="4">
        <f>G9/SQRT(O$9*(1-J9))</f>
        <v>4.9563883321551781E-4</v>
      </c>
      <c r="L9" s="65">
        <f>(1/O$14)*K9^2*(J9/(1-J9))</f>
        <v>1.0926499596236133E-8</v>
      </c>
      <c r="N9" s="67" t="s">
        <v>88</v>
      </c>
      <c r="O9" s="65">
        <f>SUM(H3:H22)/(O5-2)</f>
        <v>7.4666669222855503E-2</v>
      </c>
      <c r="R9" s="8">
        <f t="shared" si="3"/>
        <v>7</v>
      </c>
      <c r="S9" s="6" t="str">
        <f>B9</f>
        <v>Gonzalez</v>
      </c>
      <c r="T9" s="7">
        <v>-8.759151876613025E-2</v>
      </c>
      <c r="U9" s="7">
        <f t="shared" si="0"/>
        <v>-0.33790614467619495</v>
      </c>
      <c r="V9" s="83">
        <f t="shared" si="1"/>
        <v>-0.29107951688582379</v>
      </c>
      <c r="W9" s="8">
        <f t="shared" ref="W5:W22" si="4">W8+0.05</f>
        <v>0.35000000000000003</v>
      </c>
    </row>
    <row r="10" spans="1:23" x14ac:dyDescent="0.25">
      <c r="A10" s="77">
        <v>8</v>
      </c>
      <c r="B10" s="73" t="s">
        <v>8</v>
      </c>
      <c r="C10" s="30">
        <v>5.6968834658080061</v>
      </c>
      <c r="D10" s="8">
        <v>4</v>
      </c>
      <c r="E10" s="4">
        <f>(C10-O$6)^2</f>
        <v>9.6016381339762338E-3</v>
      </c>
      <c r="F10" s="7">
        <f>D10*O$2+O$3</f>
        <v>5.4371830000000001</v>
      </c>
      <c r="G10" s="7">
        <f>C10-F10</f>
        <v>0.25970046580800599</v>
      </c>
      <c r="H10" s="11">
        <f>G10^2</f>
        <v>6.7444331940895288E-2</v>
      </c>
      <c r="I10" s="7">
        <f>(O$9*((1/O$5)+ (D10-O$7)^2/((O$5-1)*O$8)))^0.5</f>
        <v>6.6810487640084737E-2</v>
      </c>
      <c r="J10" s="63">
        <f>(I10/SQRT(O$9))^2</f>
        <v>5.9780907668231603E-2</v>
      </c>
      <c r="K10" s="4">
        <f>G10/SQRT(O$9*(1-J10))</f>
        <v>0.98015510549072715</v>
      </c>
      <c r="L10" s="65">
        <f>(1/O$14)*K10^2*(J10/(1-J10))</f>
        <v>3.0541689395228333E-2</v>
      </c>
      <c r="N10" s="47" t="s">
        <v>59</v>
      </c>
      <c r="O10" s="22">
        <f>SUM(E3:E22)</f>
        <v>4.0175756909077123</v>
      </c>
      <c r="R10" s="8">
        <f t="shared" si="3"/>
        <v>8</v>
      </c>
      <c r="S10" s="6" t="str">
        <f>B10</f>
        <v>Davis</v>
      </c>
      <c r="T10" s="7">
        <v>-4.6464679962227251E-2</v>
      </c>
      <c r="U10" s="7">
        <f t="shared" si="0"/>
        <v>-0.17925592235528476</v>
      </c>
      <c r="V10" s="83">
        <f t="shared" si="1"/>
        <v>-0.16171251688582355</v>
      </c>
      <c r="W10" s="8">
        <f t="shared" si="4"/>
        <v>0.4</v>
      </c>
    </row>
    <row r="11" spans="1:23" x14ac:dyDescent="0.25">
      <c r="A11" s="77">
        <v>9</v>
      </c>
      <c r="B11" s="73" t="s">
        <v>3</v>
      </c>
      <c r="C11" s="30">
        <v>5.4211774564432096</v>
      </c>
      <c r="D11" s="8">
        <v>5</v>
      </c>
      <c r="E11" s="4">
        <f>(C11-O$6)^2</f>
        <v>3.1583709007484626E-2</v>
      </c>
      <c r="F11" s="7">
        <f>D11*O$2+O$3</f>
        <v>5.5665500000000003</v>
      </c>
      <c r="G11" s="7">
        <f>C11-F11</f>
        <v>-0.14537254355679075</v>
      </c>
      <c r="H11" s="11">
        <f>G11^2</f>
        <v>2.1133176420171023E-2</v>
      </c>
      <c r="I11" s="7">
        <f>(O$9*((1/O$5)+ (D11-O$7)^2/((O$5-1)*O$8)))^0.5</f>
        <v>6.133959384480224E-2</v>
      </c>
      <c r="J11" s="63">
        <f>(I11/SQRT(O$9))^2</f>
        <v>5.0391236306729266E-2</v>
      </c>
      <c r="K11" s="4">
        <f>G11/SQRT(O$9*(1-J11))</f>
        <v>-0.5459421717773838</v>
      </c>
      <c r="L11" s="65">
        <f>(1/O$14)*K11^2*(J11/(1-J11))</f>
        <v>7.9081261771466772E-3</v>
      </c>
      <c r="N11" s="47" t="s">
        <v>53</v>
      </c>
      <c r="O11" s="22">
        <f>SUM(E3:E22)-O9*(O5-2)</f>
        <v>2.6735756448963133</v>
      </c>
      <c r="R11" s="8">
        <f t="shared" si="3"/>
        <v>9</v>
      </c>
      <c r="S11" s="6" t="str">
        <f>B11</f>
        <v>Williams</v>
      </c>
      <c r="T11" s="7">
        <v>-4.0455689565125574E-2</v>
      </c>
      <c r="U11" s="7">
        <f t="shared" si="0"/>
        <v>-0.15607573904554972</v>
      </c>
      <c r="V11" s="83">
        <f t="shared" si="1"/>
        <v>-3.2345516885823322E-2</v>
      </c>
      <c r="W11" s="8">
        <f>W10+0.05*2</f>
        <v>0.5</v>
      </c>
    </row>
    <row r="12" spans="1:23" ht="16.5" x14ac:dyDescent="0.3">
      <c r="A12" s="77">
        <v>10</v>
      </c>
      <c r="B12" s="73" t="s">
        <v>5</v>
      </c>
      <c r="C12" s="30">
        <v>5.5421692712076869</v>
      </c>
      <c r="D12" s="8">
        <v>5</v>
      </c>
      <c r="E12" s="4">
        <f>(C12-O$6)^2</f>
        <v>3.2178669487363315E-3</v>
      </c>
      <c r="F12" s="7">
        <f>D12*O$2+O$3</f>
        <v>5.5665500000000003</v>
      </c>
      <c r="G12" s="7">
        <f>C12-F12</f>
        <v>-2.4380728792313455E-2</v>
      </c>
      <c r="H12" s="11">
        <f>G12^2</f>
        <v>5.9441993644434232E-4</v>
      </c>
      <c r="I12" s="7">
        <f>(O$9*((1/O$5)+ (D12-O$7)^2/((O$5-1)*O$8)))^0.5</f>
        <v>6.133959384480224E-2</v>
      </c>
      <c r="J12" s="63">
        <f>(I12/SQRT(O$9))^2</f>
        <v>5.0391236306729266E-2</v>
      </c>
      <c r="K12" s="4">
        <f>G12/SQRT(O$9*(1-J12))</f>
        <v>-9.156108643852115E-2</v>
      </c>
      <c r="L12" s="65">
        <f>(1/O$14)*K12^2*(J12/(1-J12))</f>
        <v>2.2243451557649592E-4</v>
      </c>
      <c r="N12" s="47" t="s">
        <v>60</v>
      </c>
      <c r="O12" s="22">
        <f>O11/O9</f>
        <v>35.806815446883903</v>
      </c>
      <c r="R12" s="8">
        <f t="shared" si="3"/>
        <v>10</v>
      </c>
      <c r="S12" s="6" t="str">
        <f>B12</f>
        <v>Jones</v>
      </c>
      <c r="T12" s="7">
        <v>-2.4380728792313455E-2</v>
      </c>
      <c r="U12" s="7">
        <f t="shared" si="0"/>
        <v>-9.4065232656604339E-2</v>
      </c>
      <c r="V12" s="83">
        <f t="shared" si="1"/>
        <v>-3.2345516885823322E-2</v>
      </c>
      <c r="W12" s="8">
        <f>W11</f>
        <v>0.5</v>
      </c>
    </row>
    <row r="13" spans="1:23" ht="16.5" x14ac:dyDescent="0.25">
      <c r="A13" s="77">
        <v>11</v>
      </c>
      <c r="B13" s="73" t="s">
        <v>7</v>
      </c>
      <c r="C13" s="30">
        <v>5.6083254812338694</v>
      </c>
      <c r="D13" s="8">
        <v>6</v>
      </c>
      <c r="E13" s="4">
        <f>(C13-O$6)^2</f>
        <v>8.8924227605414311E-5</v>
      </c>
      <c r="F13" s="7">
        <f>D13*O$2+O$3</f>
        <v>5.6959169999999997</v>
      </c>
      <c r="G13" s="7">
        <f>C13-F13</f>
        <v>-8.759151876613025E-2</v>
      </c>
      <c r="H13" s="11">
        <f>G13^2</f>
        <v>7.6722741597573477E-3</v>
      </c>
      <c r="I13" s="7">
        <f>(O$9*((1/O$5)+ (D13-O$7)^2/((O$5-1)*O$8)))^0.5</f>
        <v>6.3215854564068863E-2</v>
      </c>
      <c r="J13" s="63">
        <f>(I13/SQRT(O$9))^2</f>
        <v>5.3521126760563378E-2</v>
      </c>
      <c r="K13" s="4">
        <f>G13/SQRT(O$9*(1-J13))</f>
        <v>-0.32949073363830056</v>
      </c>
      <c r="L13" s="65">
        <f>(1/O$14)*K13^2*(J13/(1-J13))</f>
        <v>3.0695219159473288E-3</v>
      </c>
      <c r="N13" s="47" t="s">
        <v>61</v>
      </c>
      <c r="O13" s="22">
        <f>O11/O10</f>
        <v>0.66546988795928774</v>
      </c>
      <c r="R13" s="8">
        <f t="shared" si="3"/>
        <v>11</v>
      </c>
      <c r="S13" s="6" t="str">
        <f>B13</f>
        <v>Miller</v>
      </c>
      <c r="T13" s="7">
        <v>-9.2752014101771252E-3</v>
      </c>
      <c r="U13" s="7">
        <f t="shared" si="0"/>
        <v>-3.5794396697700175E-2</v>
      </c>
      <c r="V13" s="83">
        <f t="shared" si="1"/>
        <v>9.7021483114176021E-2</v>
      </c>
      <c r="W13" s="8">
        <f>W12+0.05*2</f>
        <v>0.6</v>
      </c>
    </row>
    <row r="14" spans="1:23" ht="15.75" thickBot="1" x14ac:dyDescent="0.3">
      <c r="A14" s="77">
        <v>12</v>
      </c>
      <c r="B14" s="73" t="s">
        <v>9</v>
      </c>
      <c r="C14" s="30">
        <v>6.1649467479226256</v>
      </c>
      <c r="D14" s="8">
        <v>6</v>
      </c>
      <c r="E14" s="4">
        <f>(C14-O$6)^2</f>
        <v>0.32041399615827898</v>
      </c>
      <c r="F14" s="7">
        <f>D14*O$2+O$3</f>
        <v>5.6959169999999997</v>
      </c>
      <c r="G14" s="7">
        <f>C14-F14</f>
        <v>0.46902974792262597</v>
      </c>
      <c r="H14" s="11">
        <f>G14^2</f>
        <v>0.21998890443636207</v>
      </c>
      <c r="I14" s="7">
        <f>(O$9*((1/O$5)+ (D14-O$7)^2/((O$5-1)*O$8)))^0.5</f>
        <v>6.3215854564068863E-2</v>
      </c>
      <c r="J14" s="63">
        <f>(I14/SQRT(O$9))^2</f>
        <v>5.3521126760563378E-2</v>
      </c>
      <c r="K14" s="4">
        <f>G14/SQRT(O$9*(1-J14))</f>
        <v>1.7643369805453228</v>
      </c>
      <c r="L14" s="65">
        <f>(1/O$14)*K14^2*(J14/(1-J14))</f>
        <v>8.8013117020053502E-2</v>
      </c>
      <c r="N14" s="48" t="s">
        <v>89</v>
      </c>
      <c r="O14" s="68">
        <v>2</v>
      </c>
      <c r="R14" s="8">
        <f t="shared" si="3"/>
        <v>12</v>
      </c>
      <c r="S14" s="6" t="str">
        <f>B14</f>
        <v>Rodriguez</v>
      </c>
      <c r="T14" s="7">
        <v>1.2978465251745064E-4</v>
      </c>
      <c r="U14" s="7">
        <f t="shared" si="0"/>
        <v>4.8612408061827648E-4</v>
      </c>
      <c r="V14" s="83">
        <f t="shared" si="1"/>
        <v>9.7021483114176021E-2</v>
      </c>
      <c r="W14" s="8">
        <f>W13</f>
        <v>0.6</v>
      </c>
    </row>
    <row r="15" spans="1:23" x14ac:dyDescent="0.25">
      <c r="A15" s="77">
        <v>13</v>
      </c>
      <c r="B15" s="73" t="s">
        <v>2</v>
      </c>
      <c r="C15" s="30">
        <v>5.8160087985898228</v>
      </c>
      <c r="D15" s="8">
        <v>7</v>
      </c>
      <c r="E15" s="4">
        <f>(C15-O$6)^2</f>
        <v>4.7138177092280083E-2</v>
      </c>
      <c r="F15" s="7">
        <f>D15*O$2+O$3</f>
        <v>5.8252839999999999</v>
      </c>
      <c r="G15" s="7">
        <f>C15-F15</f>
        <v>-9.2752014101771252E-3</v>
      </c>
      <c r="H15" s="11">
        <f>G15^2</f>
        <v>8.6029361199351732E-5</v>
      </c>
      <c r="I15" s="7">
        <f>(O$9*((1/O$5)+ (D15-O$7)^2/((O$5-1)*O$8)))^0.5</f>
        <v>7.1866102888403033E-2</v>
      </c>
      <c r="J15" s="63">
        <f>(I15/SQRT(O$9))^2</f>
        <v>6.9170579029733961E-2</v>
      </c>
      <c r="K15" s="4">
        <f>G15/SQRT(O$9*(1-J15))</f>
        <v>-3.5182355204191385E-2</v>
      </c>
      <c r="L15" s="65">
        <f>(1/O$14)*K15^2*(J15/(1-J15))</f>
        <v>4.5990817756350088E-5</v>
      </c>
      <c r="R15" s="8">
        <f t="shared" si="3"/>
        <v>13</v>
      </c>
      <c r="S15" s="6" t="str">
        <f>B15</f>
        <v>Johnson</v>
      </c>
      <c r="T15" s="7">
        <v>5.6178994052643816E-2</v>
      </c>
      <c r="U15" s="7">
        <f t="shared" si="0"/>
        <v>0.21670063973158568</v>
      </c>
      <c r="V15" s="83">
        <f t="shared" si="1"/>
        <v>0.22638848311417625</v>
      </c>
      <c r="W15" s="8">
        <f>W14+0.05*2</f>
        <v>0.7</v>
      </c>
    </row>
    <row r="16" spans="1:23" x14ac:dyDescent="0.25">
      <c r="A16" s="77">
        <v>14</v>
      </c>
      <c r="B16" s="73" t="s">
        <v>4</v>
      </c>
      <c r="C16" s="30">
        <v>6.2902048676049613</v>
      </c>
      <c r="D16" s="8">
        <v>7</v>
      </c>
      <c r="E16" s="4">
        <f>(C16-O$6)^2</f>
        <v>0.47790861839171572</v>
      </c>
      <c r="F16" s="7">
        <f>D16*O$2+O$3</f>
        <v>5.8252839999999999</v>
      </c>
      <c r="G16" s="7">
        <f>C16-F16</f>
        <v>0.46492086760496143</v>
      </c>
      <c r="H16" s="11">
        <f>G16^2</f>
        <v>0.21615141313455008</v>
      </c>
      <c r="I16" s="7">
        <f>(O$9*((1/O$5)+ (D16-O$7)^2/((O$5-1)*O$8)))^0.5</f>
        <v>7.1866102888403033E-2</v>
      </c>
      <c r="J16" s="63">
        <f>(I16/SQRT(O$9))^2</f>
        <v>6.9170579029733961E-2</v>
      </c>
      <c r="K16" s="4">
        <f>G16/SQRT(O$9*(1-J16))</f>
        <v>1.7635208533553801</v>
      </c>
      <c r="L16" s="65">
        <f>(1/O$14)*K16^2*(J16/(1-J16))</f>
        <v>0.11555334261070323</v>
      </c>
      <c r="O16" s="58"/>
      <c r="R16" s="8">
        <f t="shared" si="3"/>
        <v>14</v>
      </c>
      <c r="S16" s="6" t="str">
        <f>B16</f>
        <v>Brown</v>
      </c>
      <c r="T16" s="7">
        <v>9.8004231483923121E-2</v>
      </c>
      <c r="U16" s="7">
        <f t="shared" si="0"/>
        <v>0.37804499320199125</v>
      </c>
      <c r="V16" s="83">
        <f t="shared" si="1"/>
        <v>0.22638848311417625</v>
      </c>
      <c r="W16" s="8">
        <f>W15</f>
        <v>0.7</v>
      </c>
    </row>
    <row r="17" spans="1:23" x14ac:dyDescent="0.25">
      <c r="A17" s="77">
        <v>15</v>
      </c>
      <c r="B17" s="73" t="s">
        <v>18</v>
      </c>
      <c r="C17" s="30">
        <v>5.923288231483923</v>
      </c>
      <c r="D17" s="8">
        <v>7</v>
      </c>
      <c r="E17" s="4">
        <f>(C17-O$6)^2</f>
        <v>0.10523063328432396</v>
      </c>
      <c r="F17" s="7">
        <f>D17*O$2+O$3</f>
        <v>5.8252839999999999</v>
      </c>
      <c r="G17" s="7">
        <f>C17-F17</f>
        <v>9.8004231483923121E-2</v>
      </c>
      <c r="H17" s="11">
        <f>G17^2</f>
        <v>9.6048293887543885E-3</v>
      </c>
      <c r="I17" s="7">
        <f>(O$9*((1/O$5)+ (D17-O$7)^2/((O$5-1)*O$8)))^0.5</f>
        <v>7.1866102888403033E-2</v>
      </c>
      <c r="J17" s="63">
        <f>(I17/SQRT(O$9))^2</f>
        <v>6.9170579029733961E-2</v>
      </c>
      <c r="K17" s="4">
        <f>G17/SQRT(O$9*(1-J17))</f>
        <v>0.37174607117403119</v>
      </c>
      <c r="L17" s="65">
        <f>(1/O$14)*K17^2*(J17/(1-J17))</f>
        <v>5.1346883417561304E-3</v>
      </c>
      <c r="O17" s="58"/>
      <c r="R17" s="8">
        <f t="shared" si="3"/>
        <v>15</v>
      </c>
      <c r="S17" s="6" t="str">
        <f>B17</f>
        <v>Moore</v>
      </c>
      <c r="T17" s="7">
        <v>0.14605423029830433</v>
      </c>
      <c r="U17" s="7">
        <f t="shared" si="0"/>
        <v>0.56340188461708363</v>
      </c>
      <c r="V17" s="83">
        <f t="shared" si="1"/>
        <v>0.22638848311417625</v>
      </c>
      <c r="W17" s="8">
        <f>W16+0.05*2</f>
        <v>0.79999999999999993</v>
      </c>
    </row>
    <row r="18" spans="1:23" x14ac:dyDescent="0.25">
      <c r="A18" s="77">
        <v>16</v>
      </c>
      <c r="B18" s="73" t="s">
        <v>20</v>
      </c>
      <c r="C18" s="30">
        <v>5.5005741300649307</v>
      </c>
      <c r="D18" s="8">
        <v>7</v>
      </c>
      <c r="E18" s="4">
        <f>(C18-O$6)^2</f>
        <v>9.6670951063836663E-3</v>
      </c>
      <c r="F18" s="7">
        <f>D18*O$2+O$3</f>
        <v>5.8252839999999999</v>
      </c>
      <c r="G18" s="7">
        <f>C18-F18</f>
        <v>-0.32470986993506923</v>
      </c>
      <c r="H18" s="11">
        <f>G18^2</f>
        <v>0.10543649963324958</v>
      </c>
      <c r="I18" s="7">
        <f>(O$9*((1/O$5)+ (D18-O$7)^2/((O$5-1)*O$8)))^0.5</f>
        <v>7.1866102888403033E-2</v>
      </c>
      <c r="J18" s="63">
        <f>(I18/SQRT(O$9))^2</f>
        <v>6.9170579029733961E-2</v>
      </c>
      <c r="K18" s="4">
        <f>G18/SQRT(O$9*(1-J18))</f>
        <v>-1.2316776183240026</v>
      </c>
      <c r="L18" s="65">
        <f>(1/O$14)*K18^2*(J18/(1-J18))</f>
        <v>5.6365765965222525E-2</v>
      </c>
      <c r="O18" s="58"/>
      <c r="R18" s="8">
        <f t="shared" si="3"/>
        <v>16</v>
      </c>
      <c r="S18" s="6" t="str">
        <f>B18</f>
        <v>Martin</v>
      </c>
      <c r="T18" s="7">
        <v>0.15361874111971563</v>
      </c>
      <c r="U18" s="7">
        <f t="shared" si="0"/>
        <v>0.59258261813487445</v>
      </c>
      <c r="V18" s="83">
        <f t="shared" si="1"/>
        <v>0.22638848311417625</v>
      </c>
      <c r="W18" s="8">
        <f>W17</f>
        <v>0.79999999999999993</v>
      </c>
    </row>
    <row r="19" spans="1:23" x14ac:dyDescent="0.25">
      <c r="A19" s="77">
        <v>17</v>
      </c>
      <c r="B19" s="73" t="s">
        <v>14</v>
      </c>
      <c r="C19" s="30">
        <v>5.9592505426438809</v>
      </c>
      <c r="D19" s="8">
        <v>9</v>
      </c>
      <c r="E19" s="4">
        <f>(C19-O$6)^2</f>
        <v>0.12985574458909008</v>
      </c>
      <c r="F19" s="7">
        <f>D19*O$2+O$3</f>
        <v>6.0840180000000004</v>
      </c>
      <c r="G19" s="7">
        <f>C19-F19</f>
        <v>-0.12476745735611949</v>
      </c>
      <c r="H19" s="11">
        <f>G19^2</f>
        <v>1.5566918415111096E-2</v>
      </c>
      <c r="I19" s="7">
        <f>(O$9*((1/O$5)+ (D19-O$7)^2/((O$5-1)*O$8)))^0.5</f>
        <v>0.10151898166949393</v>
      </c>
      <c r="J19" s="63">
        <f>(I19/SQRT(O$9))^2</f>
        <v>0.13802816901408455</v>
      </c>
      <c r="K19" s="4">
        <f>G19/SQRT(O$9*(1-J19))</f>
        <v>-0.49180325490409765</v>
      </c>
      <c r="L19" s="65">
        <f>(1/O$14)*K19^2*(J19/(1-J19))</f>
        <v>1.9365443848331668E-2</v>
      </c>
      <c r="O19" s="58"/>
      <c r="R19" s="8">
        <f t="shared" si="3"/>
        <v>17</v>
      </c>
      <c r="S19" s="6" t="str">
        <f>B19</f>
        <v>Wilson</v>
      </c>
      <c r="T19" s="7">
        <v>0.25970046580800599</v>
      </c>
      <c r="U19" s="7">
        <f t="shared" si="0"/>
        <v>1.0018017484023258</v>
      </c>
      <c r="V19" s="83">
        <f t="shared" si="1"/>
        <v>0.48512248311417672</v>
      </c>
      <c r="W19" s="8">
        <f>W18+0.05*3</f>
        <v>0.95</v>
      </c>
    </row>
    <row r="20" spans="1:23" x14ac:dyDescent="0.25">
      <c r="A20" s="77">
        <v>18</v>
      </c>
      <c r="B20" s="73" t="s">
        <v>15</v>
      </c>
      <c r="C20" s="30">
        <v>5.8467072949000256</v>
      </c>
      <c r="D20" s="8">
        <v>9</v>
      </c>
      <c r="E20" s="4">
        <f>(C20-O$6)^2</f>
        <v>6.1410677322560107E-2</v>
      </c>
      <c r="F20" s="7">
        <f>D20*O$2+O$3</f>
        <v>6.0840180000000004</v>
      </c>
      <c r="G20" s="7">
        <f>C20-F20</f>
        <v>-0.23731070509997476</v>
      </c>
      <c r="H20" s="11">
        <f>G20^2</f>
        <v>5.6316370755047189E-2</v>
      </c>
      <c r="I20" s="7">
        <f>(O$9*((1/O$5)+ (D20-O$7)^2/((O$5-1)*O$8)))^0.5</f>
        <v>0.10151898166949393</v>
      </c>
      <c r="J20" s="63">
        <f>(I20/SQRT(O$9))^2</f>
        <v>0.13802816901408455</v>
      </c>
      <c r="K20" s="4">
        <f>G20/SQRT(O$9*(1-J20))</f>
        <v>-0.93542162086891101</v>
      </c>
      <c r="L20" s="65">
        <f>(1/O$14)*K20^2*(J20/(1-J20))</f>
        <v>7.0058279135068666E-2</v>
      </c>
      <c r="O20" s="58"/>
      <c r="R20" s="8">
        <f t="shared" si="3"/>
        <v>18</v>
      </c>
      <c r="S20" s="6" t="str">
        <f>B20</f>
        <v>Anderson</v>
      </c>
      <c r="T20" s="7">
        <v>0.33862321647520499</v>
      </c>
      <c r="U20" s="7">
        <f t="shared" si="0"/>
        <v>1.3062528636273698</v>
      </c>
      <c r="V20" s="83">
        <f t="shared" si="1"/>
        <v>0.48512248311417672</v>
      </c>
      <c r="W20" s="8">
        <f>W19</f>
        <v>0.95</v>
      </c>
    </row>
    <row r="21" spans="1:23" x14ac:dyDescent="0.25">
      <c r="A21" s="77">
        <v>19</v>
      </c>
      <c r="B21" s="73" t="s">
        <v>16</v>
      </c>
      <c r="C21" s="30">
        <v>5.6822747331095753</v>
      </c>
      <c r="D21" s="8">
        <v>9</v>
      </c>
      <c r="E21" s="4">
        <f>(C21-O$6)^2</f>
        <v>6.9520936980871327E-3</v>
      </c>
      <c r="F21" s="7">
        <f>D21*O$2+O$3</f>
        <v>6.0840180000000004</v>
      </c>
      <c r="G21" s="7">
        <f>C21-F21</f>
        <v>-0.40174326689042505</v>
      </c>
      <c r="H21" s="11">
        <f>G21^2</f>
        <v>0.1613976524917913</v>
      </c>
      <c r="I21" s="7">
        <f>(O$9*((1/O$5)+ (D21-O$7)^2/((O$5-1)*O$8)))^0.5</f>
        <v>0.10151898166949393</v>
      </c>
      <c r="J21" s="63">
        <f>(I21/SQRT(O$9))^2</f>
        <v>0.13802816901408455</v>
      </c>
      <c r="K21" s="4">
        <f>G21/SQRT(O$9*(1-J21))</f>
        <v>-1.5835751603767532</v>
      </c>
      <c r="L21" s="65">
        <f>(1/O$14)*K21^2*(J21/(1-J21))</f>
        <v>0.20078072571822017</v>
      </c>
      <c r="O21" s="58"/>
      <c r="R21" s="8">
        <f t="shared" si="3"/>
        <v>19</v>
      </c>
      <c r="S21" s="6" t="str">
        <f>B21</f>
        <v>Thomas</v>
      </c>
      <c r="T21" s="7">
        <v>0.46492086760496143</v>
      </c>
      <c r="U21" s="7">
        <f t="shared" si="0"/>
        <v>1.7934566218808017</v>
      </c>
      <c r="V21" s="83">
        <f t="shared" si="1"/>
        <v>0.48512248311417672</v>
      </c>
      <c r="W21" s="8">
        <f>W20</f>
        <v>0.95</v>
      </c>
    </row>
    <row r="22" spans="1:23" ht="15.75" thickBot="1" x14ac:dyDescent="0.3">
      <c r="A22" s="78">
        <v>20</v>
      </c>
      <c r="B22" s="74" t="s">
        <v>17</v>
      </c>
      <c r="C22" s="31">
        <v>6.5520082164752056</v>
      </c>
      <c r="D22" s="23">
        <v>10</v>
      </c>
      <c r="E22" s="24">
        <f>(C22-O$6)^2</f>
        <v>0.90842381811855943</v>
      </c>
      <c r="F22" s="25">
        <f>D22*O$2+O$3</f>
        <v>6.2133850000000006</v>
      </c>
      <c r="G22" s="25">
        <f>C22-F22</f>
        <v>0.33862321647520499</v>
      </c>
      <c r="H22" s="26">
        <f>G22^2</f>
        <v>0.11466568273601355</v>
      </c>
      <c r="I22" s="25">
        <f>(O$9*((1/O$5)+ (D22-O$7)^2/((O$5-1)*O$8)))^0.5</f>
        <v>0.11949467794824391</v>
      </c>
      <c r="J22" s="69">
        <f>(I22/SQRT(O$9))^2</f>
        <v>0.19123630672926448</v>
      </c>
      <c r="K22" s="24">
        <f>G22/SQRT(O$9*(1-J22))</f>
        <v>1.3779787425727068</v>
      </c>
      <c r="L22" s="70">
        <f>(1/O$14)*K22^2*(J22/(1-J22))</f>
        <v>0.22449348462735289</v>
      </c>
      <c r="O22" s="58"/>
      <c r="R22" s="8">
        <f t="shared" si="3"/>
        <v>20</v>
      </c>
      <c r="S22" s="6" t="str">
        <f>B22</f>
        <v>Taylor</v>
      </c>
      <c r="T22" s="7">
        <v>0.46902974792262597</v>
      </c>
      <c r="U22" s="7">
        <f t="shared" si="0"/>
        <v>1.809306971551383</v>
      </c>
      <c r="V22" s="83">
        <f t="shared" si="1"/>
        <v>0.61448948311417695</v>
      </c>
      <c r="W22" s="8">
        <f t="shared" si="4"/>
        <v>1</v>
      </c>
    </row>
    <row r="23" spans="1:23" x14ac:dyDescent="0.25">
      <c r="F23" s="9"/>
      <c r="G23" s="9"/>
      <c r="H23" s="10"/>
      <c r="I23" s="9"/>
      <c r="J23" s="9"/>
      <c r="K23" s="9"/>
      <c r="L23" s="9"/>
      <c r="O23" s="58"/>
    </row>
  </sheetData>
  <sortState ref="S3:T22">
    <sortCondition ref="T3:T22"/>
  </sortState>
  <mergeCells count="1">
    <mergeCell ref="N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telecomForPP</vt:lpstr>
      <vt:lpstr>telecom</vt:lpstr>
      <vt:lpstr>telecomRegCalcs</vt:lpstr>
      <vt:lpstr>pond</vt:lpstr>
      <vt:lpstr>pondCalcs</vt:lpstr>
      <vt:lpstr>maleDisplay</vt:lpstr>
      <vt:lpstr>residualAnalysis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Selzer</dc:creator>
  <cp:lastModifiedBy>Martin Selzer</cp:lastModifiedBy>
  <dcterms:created xsi:type="dcterms:W3CDTF">2020-11-05T15:42:47Z</dcterms:created>
  <dcterms:modified xsi:type="dcterms:W3CDTF">2021-01-03T18:51:06Z</dcterms:modified>
</cp:coreProperties>
</file>