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pp soft\"/>
    </mc:Choice>
  </mc:AlternateContent>
  <xr:revisionPtr revIDLastSave="0" documentId="13_ncr:1_{0FF3956E-DAF1-4AA0-AC3B-3352664CDE40}" xr6:coauthVersionLast="47" xr6:coauthVersionMax="47" xr10:uidLastSave="{00000000-0000-0000-0000-000000000000}"/>
  <bookViews>
    <workbookView xWindow="-120" yWindow="-120" windowWidth="29040" windowHeight="15840" xr2:uid="{C90EFFCC-3ED1-4CD5-A85E-699DE2B752FD}"/>
  </bookViews>
  <sheets>
    <sheet name="WBD Problem" sheetId="1" r:id="rId1"/>
    <sheet name="speed reducer " sheetId="2" r:id="rId2"/>
    <sheet name="Cantilever Beam Design " sheetId="3" r:id="rId3"/>
    <sheet name="multiple disc clutch brake " sheetId="4" r:id="rId4"/>
  </sheets>
  <definedNames>
    <definedName name="_Hlk102736504" localSheetId="0">'WBD Problem'!$A$63</definedName>
    <definedName name="_Hlk95770403" localSheetId="2">'Cantilever Beam Design '!$A$38</definedName>
    <definedName name="_p">'multiple disc clutch brake '!$I$2</definedName>
    <definedName name="delta_r">'multiple disc clutch brake '!$F$2</definedName>
    <definedName name="E">'WBD Problem'!$E$4</definedName>
    <definedName name="G">'WBD Problem'!$E$3</definedName>
    <definedName name="L">'WBD Problem'!$E$2</definedName>
    <definedName name="Lmax">'multiple disc clutch brake '!$F$3</definedName>
    <definedName name="Lz">'multiple disc clutch brake '!$L$5</definedName>
    <definedName name="Mf">'multiple disc clutch brake '!$L$4</definedName>
    <definedName name="Ms">'multiple disc clutch brake '!$L$3</definedName>
    <definedName name="n">'multiple disc clutch brake '!$L$2</definedName>
    <definedName name="P">'WBD Problem'!$E$5</definedName>
    <definedName name="Pmax">'multiple disc clutch brake '!$F$5</definedName>
    <definedName name="s">'multiple disc clutch brake '!$I$4</definedName>
    <definedName name="Tmax">'multiple disc clutch brake '!$I$5</definedName>
    <definedName name="Vsrmax">'multiple disc clutch brake '!$I$3</definedName>
    <definedName name="δ">'multiple disc clutch brake '!$O$2</definedName>
    <definedName name="δ_max">'WBD Problem'!$G$3</definedName>
    <definedName name="μ">'multiple disc clutch brake '!$F$4</definedName>
    <definedName name="σ_max">'WBD Problem'!$G$2</definedName>
    <definedName name="τ_max">'WBD Problem'!$G$4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3" l="1"/>
  <c r="I29" i="3"/>
  <c r="J29" i="3" s="1"/>
  <c r="H28" i="3"/>
  <c r="I28" i="3"/>
  <c r="J28" i="3" s="1"/>
  <c r="AF23" i="4"/>
  <c r="AF24" i="4"/>
  <c r="AF25" i="4"/>
  <c r="AF26" i="4"/>
  <c r="AF27" i="4"/>
  <c r="AF28" i="4"/>
  <c r="AF29" i="4"/>
  <c r="AF30" i="4"/>
  <c r="AF31" i="4"/>
  <c r="AF32" i="4"/>
  <c r="AF33" i="4"/>
  <c r="AF22" i="4"/>
  <c r="AF10" i="4"/>
  <c r="AF11" i="4"/>
  <c r="AF12" i="4"/>
  <c r="AF13" i="4"/>
  <c r="AF14" i="4"/>
  <c r="AF15" i="4"/>
  <c r="AF16" i="4"/>
  <c r="AF17" i="4"/>
  <c r="AF18" i="4"/>
  <c r="AF9" i="4"/>
  <c r="G63" i="1"/>
  <c r="H63" i="1"/>
  <c r="I63" i="1"/>
  <c r="J63" i="1"/>
  <c r="K63" i="1"/>
  <c r="N63" i="1"/>
  <c r="R63" i="1" s="1"/>
  <c r="W63" i="1" s="1"/>
  <c r="O63" i="1"/>
  <c r="T63" i="1" s="1"/>
  <c r="Y63" i="1" s="1"/>
  <c r="P63" i="1"/>
  <c r="U63" i="1" s="1"/>
  <c r="Z63" i="1" s="1"/>
  <c r="S63" i="1"/>
  <c r="X63" i="1" s="1"/>
  <c r="G64" i="1"/>
  <c r="H64" i="1"/>
  <c r="I64" i="1"/>
  <c r="J64" i="1"/>
  <c r="K64" i="1"/>
  <c r="N64" i="1"/>
  <c r="R64" i="1" s="1"/>
  <c r="W64" i="1" s="1"/>
  <c r="O64" i="1"/>
  <c r="T64" i="1" s="1"/>
  <c r="Y64" i="1" s="1"/>
  <c r="P64" i="1"/>
  <c r="U64" i="1" s="1"/>
  <c r="Z64" i="1" s="1"/>
  <c r="S64" i="1"/>
  <c r="X64" i="1" s="1"/>
  <c r="J11" i="2"/>
  <c r="S60" i="1"/>
  <c r="X60" i="1" s="1"/>
  <c r="S61" i="1"/>
  <c r="X61" i="1" s="1"/>
  <c r="S62" i="1"/>
  <c r="X62" i="1" s="1"/>
  <c r="I60" i="1"/>
  <c r="J60" i="1"/>
  <c r="K60" i="1"/>
  <c r="N60" i="1"/>
  <c r="R60" i="1" s="1"/>
  <c r="W60" i="1" s="1"/>
  <c r="O60" i="1"/>
  <c r="T60" i="1" s="1"/>
  <c r="Y60" i="1" s="1"/>
  <c r="P60" i="1"/>
  <c r="U60" i="1" s="1"/>
  <c r="Z60" i="1" s="1"/>
  <c r="I61" i="1"/>
  <c r="J61" i="1"/>
  <c r="K61" i="1"/>
  <c r="N61" i="1"/>
  <c r="R61" i="1" s="1"/>
  <c r="W61" i="1" s="1"/>
  <c r="O61" i="1"/>
  <c r="T61" i="1" s="1"/>
  <c r="Y61" i="1" s="1"/>
  <c r="P61" i="1"/>
  <c r="U61" i="1" s="1"/>
  <c r="Z61" i="1" s="1"/>
  <c r="I62" i="1"/>
  <c r="J62" i="1"/>
  <c r="K62" i="1"/>
  <c r="N62" i="1"/>
  <c r="R62" i="1" s="1"/>
  <c r="W62" i="1" s="1"/>
  <c r="O62" i="1"/>
  <c r="T62" i="1" s="1"/>
  <c r="Y62" i="1" s="1"/>
  <c r="P62" i="1"/>
  <c r="U62" i="1" s="1"/>
  <c r="Z62" i="1" s="1"/>
  <c r="H60" i="1"/>
  <c r="H61" i="1"/>
  <c r="H62" i="1"/>
  <c r="G60" i="1"/>
  <c r="G61" i="1"/>
  <c r="G6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9" i="1"/>
  <c r="P22" i="4"/>
  <c r="P23" i="4"/>
  <c r="P24" i="4"/>
  <c r="X24" i="4" s="1"/>
  <c r="P25" i="4"/>
  <c r="X25" i="4" s="1"/>
  <c r="P26" i="4"/>
  <c r="P27" i="4"/>
  <c r="P28" i="4"/>
  <c r="X28" i="4" s="1"/>
  <c r="P29" i="4"/>
  <c r="X29" i="4" s="1"/>
  <c r="P30" i="4"/>
  <c r="P31" i="4"/>
  <c r="P32" i="4"/>
  <c r="X32" i="4" s="1"/>
  <c r="P33" i="4"/>
  <c r="X33" i="4" s="1"/>
  <c r="H10" i="4"/>
  <c r="I10" i="4"/>
  <c r="J10" i="4"/>
  <c r="O10" i="4" s="1"/>
  <c r="U10" i="4" s="1"/>
  <c r="AC10" i="4" s="1"/>
  <c r="K10" i="4"/>
  <c r="L10" i="4" s="1"/>
  <c r="R10" i="4" s="1"/>
  <c r="M10" i="4"/>
  <c r="N10" i="4" s="1"/>
  <c r="T10" i="4" s="1"/>
  <c r="AB10" i="4" s="1"/>
  <c r="P10" i="4"/>
  <c r="X10" i="4" s="1"/>
  <c r="Q10" i="4"/>
  <c r="Y10" i="4" s="1"/>
  <c r="V10" i="4"/>
  <c r="AD10" i="4" s="1"/>
  <c r="H11" i="4"/>
  <c r="I11" i="4"/>
  <c r="V11" i="4" s="1"/>
  <c r="AD11" i="4" s="1"/>
  <c r="J11" i="4"/>
  <c r="K11" i="4"/>
  <c r="L11" i="4" s="1"/>
  <c r="M11" i="4"/>
  <c r="N11" i="4" s="1"/>
  <c r="T11" i="4" s="1"/>
  <c r="AB11" i="4" s="1"/>
  <c r="P11" i="4"/>
  <c r="X11" i="4" s="1"/>
  <c r="Q11" i="4"/>
  <c r="Y11" i="4" s="1"/>
  <c r="H12" i="4"/>
  <c r="I12" i="4"/>
  <c r="V12" i="4" s="1"/>
  <c r="AD12" i="4" s="1"/>
  <c r="J12" i="4"/>
  <c r="K12" i="4"/>
  <c r="L12" i="4" s="1"/>
  <c r="M12" i="4"/>
  <c r="N12" i="4" s="1"/>
  <c r="T12" i="4" s="1"/>
  <c r="AB12" i="4" s="1"/>
  <c r="P12" i="4"/>
  <c r="X12" i="4" s="1"/>
  <c r="Q12" i="4"/>
  <c r="Y12" i="4" s="1"/>
  <c r="H13" i="4"/>
  <c r="I13" i="4"/>
  <c r="V13" i="4" s="1"/>
  <c r="AD13" i="4" s="1"/>
  <c r="J13" i="4"/>
  <c r="K13" i="4"/>
  <c r="L13" i="4" s="1"/>
  <c r="M13" i="4"/>
  <c r="N13" i="4" s="1"/>
  <c r="T13" i="4" s="1"/>
  <c r="AB13" i="4" s="1"/>
  <c r="P13" i="4"/>
  <c r="Q13" i="4"/>
  <c r="Y13" i="4" s="1"/>
  <c r="H14" i="4"/>
  <c r="I14" i="4"/>
  <c r="V14" i="4" s="1"/>
  <c r="AD14" i="4" s="1"/>
  <c r="J14" i="4"/>
  <c r="K14" i="4"/>
  <c r="L14" i="4" s="1"/>
  <c r="R14" i="4" s="1"/>
  <c r="M14" i="4"/>
  <c r="N14" i="4" s="1"/>
  <c r="T14" i="4" s="1"/>
  <c r="AB14" i="4" s="1"/>
  <c r="P14" i="4"/>
  <c r="X14" i="4" s="1"/>
  <c r="Q14" i="4"/>
  <c r="Y14" i="4" s="1"/>
  <c r="H15" i="4"/>
  <c r="I15" i="4"/>
  <c r="V15" i="4" s="1"/>
  <c r="AD15" i="4" s="1"/>
  <c r="J15" i="4"/>
  <c r="K15" i="4"/>
  <c r="L15" i="4" s="1"/>
  <c r="M15" i="4"/>
  <c r="N15" i="4" s="1"/>
  <c r="T15" i="4" s="1"/>
  <c r="AB15" i="4" s="1"/>
  <c r="P15" i="4"/>
  <c r="X15" i="4" s="1"/>
  <c r="Q15" i="4"/>
  <c r="Y15" i="4" s="1"/>
  <c r="H16" i="4"/>
  <c r="I16" i="4"/>
  <c r="J16" i="4"/>
  <c r="K16" i="4"/>
  <c r="L16" i="4" s="1"/>
  <c r="M16" i="4"/>
  <c r="N16" i="4" s="1"/>
  <c r="T16" i="4" s="1"/>
  <c r="AB16" i="4" s="1"/>
  <c r="P16" i="4"/>
  <c r="X16" i="4" s="1"/>
  <c r="Q16" i="4"/>
  <c r="Y16" i="4" s="1"/>
  <c r="H17" i="4"/>
  <c r="I17" i="4"/>
  <c r="V17" i="4" s="1"/>
  <c r="AD17" i="4" s="1"/>
  <c r="J17" i="4"/>
  <c r="K17" i="4"/>
  <c r="L17" i="4" s="1"/>
  <c r="M17" i="4"/>
  <c r="N17" i="4" s="1"/>
  <c r="T17" i="4" s="1"/>
  <c r="AB17" i="4" s="1"/>
  <c r="P17" i="4"/>
  <c r="X17" i="4" s="1"/>
  <c r="Q17" i="4"/>
  <c r="Y17" i="4" s="1"/>
  <c r="H18" i="4"/>
  <c r="I18" i="4"/>
  <c r="V18" i="4" s="1"/>
  <c r="AD18" i="4" s="1"/>
  <c r="J18" i="4"/>
  <c r="K18" i="4"/>
  <c r="L18" i="4" s="1"/>
  <c r="R18" i="4" s="1"/>
  <c r="Z18" i="4" s="1"/>
  <c r="M18" i="4"/>
  <c r="N18" i="4" s="1"/>
  <c r="T18" i="4" s="1"/>
  <c r="AB18" i="4" s="1"/>
  <c r="P18" i="4"/>
  <c r="X18" i="4" s="1"/>
  <c r="Q18" i="4"/>
  <c r="Y18" i="4" s="1"/>
  <c r="H22" i="4"/>
  <c r="I22" i="4"/>
  <c r="J22" i="4"/>
  <c r="K22" i="4"/>
  <c r="L22" i="4" s="1"/>
  <c r="M22" i="4"/>
  <c r="N22" i="4" s="1"/>
  <c r="T22" i="4" s="1"/>
  <c r="AB22" i="4" s="1"/>
  <c r="X22" i="4"/>
  <c r="Q22" i="4"/>
  <c r="Y22" i="4" s="1"/>
  <c r="H23" i="4"/>
  <c r="I23" i="4"/>
  <c r="V23" i="4" s="1"/>
  <c r="AD23" i="4" s="1"/>
  <c r="J23" i="4"/>
  <c r="K23" i="4"/>
  <c r="L23" i="4" s="1"/>
  <c r="M23" i="4"/>
  <c r="N23" i="4" s="1"/>
  <c r="T23" i="4" s="1"/>
  <c r="AB23" i="4" s="1"/>
  <c r="X23" i="4"/>
  <c r="Q23" i="4"/>
  <c r="Y23" i="4" s="1"/>
  <c r="H24" i="4"/>
  <c r="I24" i="4"/>
  <c r="V24" i="4" s="1"/>
  <c r="AD24" i="4" s="1"/>
  <c r="J24" i="4"/>
  <c r="K24" i="4"/>
  <c r="L24" i="4" s="1"/>
  <c r="R24" i="4" s="1"/>
  <c r="Z24" i="4" s="1"/>
  <c r="M24" i="4"/>
  <c r="N24" i="4" s="1"/>
  <c r="T24" i="4" s="1"/>
  <c r="AB24" i="4" s="1"/>
  <c r="Q24" i="4"/>
  <c r="Y24" i="4" s="1"/>
  <c r="H25" i="4"/>
  <c r="I25" i="4"/>
  <c r="V25" i="4" s="1"/>
  <c r="AD25" i="4" s="1"/>
  <c r="J25" i="4"/>
  <c r="K25" i="4"/>
  <c r="L25" i="4" s="1"/>
  <c r="R25" i="4" s="1"/>
  <c r="Z25" i="4" s="1"/>
  <c r="M25" i="4"/>
  <c r="N25" i="4" s="1"/>
  <c r="T25" i="4" s="1"/>
  <c r="AB25" i="4" s="1"/>
  <c r="Q25" i="4"/>
  <c r="Y25" i="4" s="1"/>
  <c r="H26" i="4"/>
  <c r="I26" i="4"/>
  <c r="V26" i="4" s="1"/>
  <c r="AD26" i="4" s="1"/>
  <c r="J26" i="4"/>
  <c r="K26" i="4"/>
  <c r="L26" i="4" s="1"/>
  <c r="R26" i="4" s="1"/>
  <c r="Z26" i="4" s="1"/>
  <c r="M26" i="4"/>
  <c r="N26" i="4" s="1"/>
  <c r="T26" i="4" s="1"/>
  <c r="AB26" i="4" s="1"/>
  <c r="X26" i="4"/>
  <c r="Q26" i="4"/>
  <c r="Y26" i="4" s="1"/>
  <c r="H27" i="4"/>
  <c r="I27" i="4"/>
  <c r="V27" i="4" s="1"/>
  <c r="AD27" i="4" s="1"/>
  <c r="J27" i="4"/>
  <c r="K27" i="4"/>
  <c r="L27" i="4" s="1"/>
  <c r="M27" i="4"/>
  <c r="N27" i="4" s="1"/>
  <c r="T27" i="4" s="1"/>
  <c r="AB27" i="4" s="1"/>
  <c r="X27" i="4"/>
  <c r="Q27" i="4"/>
  <c r="Y27" i="4" s="1"/>
  <c r="H28" i="4"/>
  <c r="I28" i="4"/>
  <c r="V28" i="4" s="1"/>
  <c r="AD28" i="4" s="1"/>
  <c r="J28" i="4"/>
  <c r="K28" i="4"/>
  <c r="L28" i="4" s="1"/>
  <c r="R28" i="4" s="1"/>
  <c r="Z28" i="4" s="1"/>
  <c r="M28" i="4"/>
  <c r="N28" i="4" s="1"/>
  <c r="T28" i="4" s="1"/>
  <c r="AB28" i="4" s="1"/>
  <c r="Q28" i="4"/>
  <c r="Y28" i="4" s="1"/>
  <c r="H29" i="4"/>
  <c r="I29" i="4"/>
  <c r="V29" i="4" s="1"/>
  <c r="AD29" i="4" s="1"/>
  <c r="J29" i="4"/>
  <c r="K29" i="4"/>
  <c r="L29" i="4" s="1"/>
  <c r="R29" i="4" s="1"/>
  <c r="Z29" i="4" s="1"/>
  <c r="M29" i="4"/>
  <c r="N29" i="4" s="1"/>
  <c r="T29" i="4" s="1"/>
  <c r="AB29" i="4" s="1"/>
  <c r="Q29" i="4"/>
  <c r="Y29" i="4" s="1"/>
  <c r="H30" i="4"/>
  <c r="I30" i="4"/>
  <c r="V30" i="4" s="1"/>
  <c r="AD30" i="4" s="1"/>
  <c r="J30" i="4"/>
  <c r="K30" i="4"/>
  <c r="L30" i="4" s="1"/>
  <c r="R30" i="4" s="1"/>
  <c r="Z30" i="4" s="1"/>
  <c r="M30" i="4"/>
  <c r="N30" i="4" s="1"/>
  <c r="T30" i="4" s="1"/>
  <c r="AB30" i="4" s="1"/>
  <c r="X30" i="4"/>
  <c r="Q30" i="4"/>
  <c r="Y30" i="4" s="1"/>
  <c r="H31" i="4"/>
  <c r="I31" i="4"/>
  <c r="V31" i="4" s="1"/>
  <c r="AD31" i="4" s="1"/>
  <c r="J31" i="4"/>
  <c r="K31" i="4"/>
  <c r="L31" i="4" s="1"/>
  <c r="M31" i="4"/>
  <c r="N31" i="4" s="1"/>
  <c r="T31" i="4" s="1"/>
  <c r="AB31" i="4" s="1"/>
  <c r="X31" i="4"/>
  <c r="Q31" i="4"/>
  <c r="Y31" i="4" s="1"/>
  <c r="H32" i="4"/>
  <c r="I32" i="4"/>
  <c r="V32" i="4" s="1"/>
  <c r="AD32" i="4" s="1"/>
  <c r="J32" i="4"/>
  <c r="K32" i="4"/>
  <c r="L32" i="4" s="1"/>
  <c r="R32" i="4" s="1"/>
  <c r="Z32" i="4" s="1"/>
  <c r="M32" i="4"/>
  <c r="N32" i="4" s="1"/>
  <c r="T32" i="4" s="1"/>
  <c r="AB32" i="4" s="1"/>
  <c r="Q32" i="4"/>
  <c r="Y32" i="4" s="1"/>
  <c r="H33" i="4"/>
  <c r="I33" i="4"/>
  <c r="V33" i="4" s="1"/>
  <c r="AD33" i="4" s="1"/>
  <c r="J33" i="4"/>
  <c r="K33" i="4"/>
  <c r="L33" i="4" s="1"/>
  <c r="M33" i="4"/>
  <c r="N33" i="4" s="1"/>
  <c r="T33" i="4" s="1"/>
  <c r="AB33" i="4" s="1"/>
  <c r="Q33" i="4"/>
  <c r="Y33" i="4" s="1"/>
  <c r="H48" i="3"/>
  <c r="I48" i="3"/>
  <c r="J48" i="3" s="1"/>
  <c r="H33" i="3"/>
  <c r="I33" i="3"/>
  <c r="J33" i="3" s="1"/>
  <c r="H34" i="3"/>
  <c r="I34" i="3"/>
  <c r="J34" i="3" s="1"/>
  <c r="H35" i="3"/>
  <c r="I35" i="3"/>
  <c r="J35" i="3" s="1"/>
  <c r="H36" i="3"/>
  <c r="I36" i="3"/>
  <c r="J36" i="3" s="1"/>
  <c r="H37" i="3"/>
  <c r="I37" i="3"/>
  <c r="J37" i="3" s="1"/>
  <c r="H38" i="3"/>
  <c r="I38" i="3"/>
  <c r="J38" i="3" s="1"/>
  <c r="H39" i="3"/>
  <c r="I39" i="3"/>
  <c r="J39" i="3" s="1"/>
  <c r="H40" i="3"/>
  <c r="I40" i="3"/>
  <c r="J40" i="3" s="1"/>
  <c r="H41" i="3"/>
  <c r="I41" i="3"/>
  <c r="J41" i="3" s="1"/>
  <c r="H42" i="3"/>
  <c r="I42" i="3"/>
  <c r="J42" i="3" s="1"/>
  <c r="H43" i="3"/>
  <c r="I43" i="3"/>
  <c r="J43" i="3" s="1"/>
  <c r="H44" i="3"/>
  <c r="I44" i="3"/>
  <c r="J44" i="3" s="1"/>
  <c r="H46" i="3"/>
  <c r="I46" i="3"/>
  <c r="J46" i="3" s="1"/>
  <c r="H47" i="3"/>
  <c r="I47" i="3"/>
  <c r="J47" i="3" s="1"/>
  <c r="H49" i="3"/>
  <c r="I49" i="3"/>
  <c r="J49" i="3" s="1"/>
  <c r="J8" i="2"/>
  <c r="K8" i="2"/>
  <c r="L8" i="2"/>
  <c r="M8" i="2"/>
  <c r="Y8" i="2" s="1"/>
  <c r="N8" i="2"/>
  <c r="Z8" i="2" s="1"/>
  <c r="O8" i="2"/>
  <c r="AA8" i="2" s="1"/>
  <c r="P8" i="2"/>
  <c r="Q8" i="2"/>
  <c r="AC8" i="2" s="1"/>
  <c r="R8" i="2"/>
  <c r="AD8" i="2" s="1"/>
  <c r="S8" i="2"/>
  <c r="AE8" i="2" s="1"/>
  <c r="T8" i="2"/>
  <c r="U8" i="2"/>
  <c r="AG8" i="2" s="1"/>
  <c r="X8" i="2"/>
  <c r="AB8" i="2"/>
  <c r="AF8" i="2"/>
  <c r="J9" i="2"/>
  <c r="K9" i="2"/>
  <c r="W9" i="2" s="1"/>
  <c r="L9" i="2"/>
  <c r="X9" i="2" s="1"/>
  <c r="M9" i="2"/>
  <c r="N9" i="2"/>
  <c r="Z9" i="2" s="1"/>
  <c r="O9" i="2"/>
  <c r="AA9" i="2" s="1"/>
  <c r="P9" i="2"/>
  <c r="AB9" i="2" s="1"/>
  <c r="Q9" i="2"/>
  <c r="AC9" i="2" s="1"/>
  <c r="R9" i="2"/>
  <c r="AD9" i="2" s="1"/>
  <c r="S9" i="2"/>
  <c r="AE9" i="2" s="1"/>
  <c r="T9" i="2"/>
  <c r="AF9" i="2" s="1"/>
  <c r="U9" i="2"/>
  <c r="AG9" i="2" s="1"/>
  <c r="J10" i="2"/>
  <c r="K10" i="2"/>
  <c r="W10" i="2" s="1"/>
  <c r="L10" i="2"/>
  <c r="X10" i="2" s="1"/>
  <c r="M10" i="2"/>
  <c r="Y10" i="2" s="1"/>
  <c r="N10" i="2"/>
  <c r="O10" i="2"/>
  <c r="AA10" i="2" s="1"/>
  <c r="P10" i="2"/>
  <c r="AB10" i="2" s="1"/>
  <c r="Q10" i="2"/>
  <c r="AC10" i="2" s="1"/>
  <c r="R10" i="2"/>
  <c r="S10" i="2"/>
  <c r="AE10" i="2" s="1"/>
  <c r="T10" i="2"/>
  <c r="AF10" i="2" s="1"/>
  <c r="U10" i="2"/>
  <c r="AG10" i="2" s="1"/>
  <c r="Z10" i="2"/>
  <c r="AD10" i="2"/>
  <c r="K11" i="2"/>
  <c r="W11" i="2" s="1"/>
  <c r="L11" i="2"/>
  <c r="X11" i="2" s="1"/>
  <c r="M11" i="2"/>
  <c r="Y11" i="2" s="1"/>
  <c r="N11" i="2"/>
  <c r="Z11" i="2" s="1"/>
  <c r="O11" i="2"/>
  <c r="P11" i="2"/>
  <c r="AB11" i="2" s="1"/>
  <c r="Q11" i="2"/>
  <c r="AC11" i="2" s="1"/>
  <c r="R11" i="2"/>
  <c r="AD11" i="2" s="1"/>
  <c r="S11" i="2"/>
  <c r="AE11" i="2" s="1"/>
  <c r="T11" i="2"/>
  <c r="AF11" i="2" s="1"/>
  <c r="U11" i="2"/>
  <c r="AG11" i="2" s="1"/>
  <c r="AA11" i="2"/>
  <c r="J12" i="2"/>
  <c r="K12" i="2"/>
  <c r="W12" i="2" s="1"/>
  <c r="L12" i="2"/>
  <c r="M12" i="2"/>
  <c r="Y12" i="2" s="1"/>
  <c r="N12" i="2"/>
  <c r="O12" i="2"/>
  <c r="AA12" i="2" s="1"/>
  <c r="P12" i="2"/>
  <c r="AB12" i="2" s="1"/>
  <c r="Q12" i="2"/>
  <c r="AC12" i="2" s="1"/>
  <c r="R12" i="2"/>
  <c r="AD12" i="2" s="1"/>
  <c r="S12" i="2"/>
  <c r="AE12" i="2" s="1"/>
  <c r="T12" i="2"/>
  <c r="AF12" i="2" s="1"/>
  <c r="U12" i="2"/>
  <c r="AG12" i="2" s="1"/>
  <c r="Z12" i="2"/>
  <c r="J13" i="2"/>
  <c r="K13" i="2"/>
  <c r="W13" i="2" s="1"/>
  <c r="L13" i="2"/>
  <c r="X13" i="2" s="1"/>
  <c r="M13" i="2"/>
  <c r="N13" i="2"/>
  <c r="O13" i="2"/>
  <c r="AA13" i="2" s="1"/>
  <c r="P13" i="2"/>
  <c r="AB13" i="2" s="1"/>
  <c r="Q13" i="2"/>
  <c r="AC13" i="2" s="1"/>
  <c r="R13" i="2"/>
  <c r="AD13" i="2" s="1"/>
  <c r="S13" i="2"/>
  <c r="AE13" i="2" s="1"/>
  <c r="T13" i="2"/>
  <c r="AF13" i="2" s="1"/>
  <c r="U13" i="2"/>
  <c r="AG13" i="2" s="1"/>
  <c r="Z13" i="2"/>
  <c r="J14" i="2"/>
  <c r="K14" i="2"/>
  <c r="W14" i="2" s="1"/>
  <c r="L14" i="2"/>
  <c r="X14" i="2" s="1"/>
  <c r="M14" i="2"/>
  <c r="Y14" i="2" s="1"/>
  <c r="N14" i="2"/>
  <c r="O14" i="2"/>
  <c r="AA14" i="2" s="1"/>
  <c r="P14" i="2"/>
  <c r="AB14" i="2" s="1"/>
  <c r="Q14" i="2"/>
  <c r="AC14" i="2" s="1"/>
  <c r="R14" i="2"/>
  <c r="AD14" i="2" s="1"/>
  <c r="S14" i="2"/>
  <c r="AE14" i="2" s="1"/>
  <c r="T14" i="2"/>
  <c r="AF14" i="2" s="1"/>
  <c r="U14" i="2"/>
  <c r="AG14" i="2" s="1"/>
  <c r="Z14" i="2"/>
  <c r="J15" i="2"/>
  <c r="K15" i="2"/>
  <c r="W15" i="2" s="1"/>
  <c r="L15" i="2"/>
  <c r="X15" i="2" s="1"/>
  <c r="M15" i="2"/>
  <c r="Y15" i="2" s="1"/>
  <c r="N15" i="2"/>
  <c r="O15" i="2"/>
  <c r="AA15" i="2" s="1"/>
  <c r="P15" i="2"/>
  <c r="AB15" i="2" s="1"/>
  <c r="Q15" i="2"/>
  <c r="AC15" i="2" s="1"/>
  <c r="R15" i="2"/>
  <c r="AD15" i="2" s="1"/>
  <c r="S15" i="2"/>
  <c r="AE15" i="2" s="1"/>
  <c r="T15" i="2"/>
  <c r="AF15" i="2" s="1"/>
  <c r="U15" i="2"/>
  <c r="AG15" i="2" s="1"/>
  <c r="Z15" i="2"/>
  <c r="J16" i="2"/>
  <c r="K16" i="2"/>
  <c r="L16" i="2"/>
  <c r="X16" i="2" s="1"/>
  <c r="M16" i="2"/>
  <c r="Y16" i="2" s="1"/>
  <c r="N16" i="2"/>
  <c r="Z16" i="2" s="1"/>
  <c r="O16" i="2"/>
  <c r="AA16" i="2" s="1"/>
  <c r="P16" i="2"/>
  <c r="AB16" i="2" s="1"/>
  <c r="Q16" i="2"/>
  <c r="AC16" i="2" s="1"/>
  <c r="R16" i="2"/>
  <c r="AD16" i="2" s="1"/>
  <c r="S16" i="2"/>
  <c r="T16" i="2"/>
  <c r="AF16" i="2" s="1"/>
  <c r="U16" i="2"/>
  <c r="AG16" i="2" s="1"/>
  <c r="W16" i="2"/>
  <c r="AE16" i="2"/>
  <c r="J17" i="2"/>
  <c r="K17" i="2"/>
  <c r="W17" i="2" s="1"/>
  <c r="L17" i="2"/>
  <c r="X17" i="2" s="1"/>
  <c r="M17" i="2"/>
  <c r="N17" i="2"/>
  <c r="Z17" i="2" s="1"/>
  <c r="O17" i="2"/>
  <c r="P17" i="2"/>
  <c r="AB17" i="2" s="1"/>
  <c r="Q17" i="2"/>
  <c r="AC17" i="2" s="1"/>
  <c r="R17" i="2"/>
  <c r="AD17" i="2" s="1"/>
  <c r="S17" i="2"/>
  <c r="AE17" i="2" s="1"/>
  <c r="T17" i="2"/>
  <c r="AF17" i="2" s="1"/>
  <c r="U17" i="2"/>
  <c r="AG17" i="2" s="1"/>
  <c r="AA17" i="2"/>
  <c r="J19" i="2"/>
  <c r="K19" i="2"/>
  <c r="W19" i="2" s="1"/>
  <c r="L19" i="2"/>
  <c r="X19" i="2" s="1"/>
  <c r="M19" i="2"/>
  <c r="Y19" i="2" s="1"/>
  <c r="N19" i="2"/>
  <c r="Z19" i="2" s="1"/>
  <c r="O19" i="2"/>
  <c r="AA19" i="2" s="1"/>
  <c r="P19" i="2"/>
  <c r="AB19" i="2" s="1"/>
  <c r="Q19" i="2"/>
  <c r="AC19" i="2" s="1"/>
  <c r="R19" i="2"/>
  <c r="AD19" i="2" s="1"/>
  <c r="S19" i="2"/>
  <c r="AE19" i="2" s="1"/>
  <c r="T19" i="2"/>
  <c r="U19" i="2"/>
  <c r="AG19" i="2" s="1"/>
  <c r="AF19" i="2"/>
  <c r="J21" i="2"/>
  <c r="K21" i="2"/>
  <c r="W21" i="2" s="1"/>
  <c r="L21" i="2"/>
  <c r="X21" i="2" s="1"/>
  <c r="M21" i="2"/>
  <c r="N21" i="2"/>
  <c r="Z21" i="2" s="1"/>
  <c r="O21" i="2"/>
  <c r="AA21" i="2" s="1"/>
  <c r="P21" i="2"/>
  <c r="AB21" i="2" s="1"/>
  <c r="Q21" i="2"/>
  <c r="AC21" i="2" s="1"/>
  <c r="R21" i="2"/>
  <c r="AD21" i="2" s="1"/>
  <c r="S21" i="2"/>
  <c r="AE21" i="2" s="1"/>
  <c r="T21" i="2"/>
  <c r="AF21" i="2" s="1"/>
  <c r="U21" i="2"/>
  <c r="AG21" i="2" s="1"/>
  <c r="J25" i="2"/>
  <c r="K25" i="2"/>
  <c r="W25" i="2" s="1"/>
  <c r="L25" i="2"/>
  <c r="X25" i="2" s="1"/>
  <c r="M25" i="2"/>
  <c r="Y25" i="2" s="1"/>
  <c r="N25" i="2"/>
  <c r="Z25" i="2" s="1"/>
  <c r="O25" i="2"/>
  <c r="AA25" i="2" s="1"/>
  <c r="P25" i="2"/>
  <c r="AB25" i="2" s="1"/>
  <c r="Q25" i="2"/>
  <c r="AC25" i="2" s="1"/>
  <c r="R25" i="2"/>
  <c r="AD25" i="2" s="1"/>
  <c r="S25" i="2"/>
  <c r="AE25" i="2" s="1"/>
  <c r="T25" i="2"/>
  <c r="AF25" i="2" s="1"/>
  <c r="U25" i="2"/>
  <c r="AG25" i="2" s="1"/>
  <c r="J26" i="2"/>
  <c r="K26" i="2"/>
  <c r="W26" i="2" s="1"/>
  <c r="L26" i="2"/>
  <c r="X26" i="2" s="1"/>
  <c r="M26" i="2"/>
  <c r="Y26" i="2" s="1"/>
  <c r="N26" i="2"/>
  <c r="Z26" i="2" s="1"/>
  <c r="O26" i="2"/>
  <c r="AA26" i="2" s="1"/>
  <c r="P26" i="2"/>
  <c r="AB26" i="2" s="1"/>
  <c r="Q26" i="2"/>
  <c r="AC26" i="2" s="1"/>
  <c r="R26" i="2"/>
  <c r="AD26" i="2" s="1"/>
  <c r="S26" i="2"/>
  <c r="AE26" i="2" s="1"/>
  <c r="T26" i="2"/>
  <c r="AF26" i="2" s="1"/>
  <c r="U26" i="2"/>
  <c r="AG26" i="2" s="1"/>
  <c r="J42" i="2"/>
  <c r="K42" i="2"/>
  <c r="W42" i="2" s="1"/>
  <c r="L42" i="2"/>
  <c r="X42" i="2" s="1"/>
  <c r="M42" i="2"/>
  <c r="N42" i="2"/>
  <c r="Z42" i="2" s="1"/>
  <c r="O42" i="2"/>
  <c r="AA42" i="2" s="1"/>
  <c r="P42" i="2"/>
  <c r="AB42" i="2" s="1"/>
  <c r="Q42" i="2"/>
  <c r="AC42" i="2" s="1"/>
  <c r="R42" i="2"/>
  <c r="AD42" i="2" s="1"/>
  <c r="S42" i="2"/>
  <c r="AE42" i="2" s="1"/>
  <c r="T42" i="2"/>
  <c r="U42" i="2"/>
  <c r="AG42" i="2" s="1"/>
  <c r="AF42" i="2"/>
  <c r="J27" i="2"/>
  <c r="K27" i="2"/>
  <c r="W27" i="2" s="1"/>
  <c r="L27" i="2"/>
  <c r="X27" i="2" s="1"/>
  <c r="M27" i="2"/>
  <c r="Y27" i="2" s="1"/>
  <c r="N27" i="2"/>
  <c r="Z27" i="2" s="1"/>
  <c r="O27" i="2"/>
  <c r="AA27" i="2" s="1"/>
  <c r="P27" i="2"/>
  <c r="AB27" i="2" s="1"/>
  <c r="Q27" i="2"/>
  <c r="AC27" i="2" s="1"/>
  <c r="R27" i="2"/>
  <c r="AD27" i="2" s="1"/>
  <c r="S27" i="2"/>
  <c r="AE27" i="2" s="1"/>
  <c r="T27" i="2"/>
  <c r="AF27" i="2" s="1"/>
  <c r="U27" i="2"/>
  <c r="AG27" i="2" s="1"/>
  <c r="J28" i="2"/>
  <c r="K28" i="2"/>
  <c r="W28" i="2" s="1"/>
  <c r="L28" i="2"/>
  <c r="X28" i="2" s="1"/>
  <c r="M28" i="2"/>
  <c r="Y28" i="2" s="1"/>
  <c r="N28" i="2"/>
  <c r="Z28" i="2" s="1"/>
  <c r="O28" i="2"/>
  <c r="AA28" i="2" s="1"/>
  <c r="P28" i="2"/>
  <c r="AB28" i="2" s="1"/>
  <c r="Q28" i="2"/>
  <c r="AC28" i="2" s="1"/>
  <c r="R28" i="2"/>
  <c r="AD28" i="2" s="1"/>
  <c r="S28" i="2"/>
  <c r="AE28" i="2" s="1"/>
  <c r="T28" i="2"/>
  <c r="AF28" i="2" s="1"/>
  <c r="U28" i="2"/>
  <c r="AG28" i="2" s="1"/>
  <c r="J29" i="2"/>
  <c r="K29" i="2"/>
  <c r="W29" i="2" s="1"/>
  <c r="L29" i="2"/>
  <c r="M29" i="2"/>
  <c r="Y29" i="2" s="1"/>
  <c r="N29" i="2"/>
  <c r="O29" i="2"/>
  <c r="AA29" i="2" s="1"/>
  <c r="P29" i="2"/>
  <c r="AB29" i="2" s="1"/>
  <c r="Q29" i="2"/>
  <c r="AC29" i="2" s="1"/>
  <c r="R29" i="2"/>
  <c r="AD29" i="2" s="1"/>
  <c r="S29" i="2"/>
  <c r="AE29" i="2" s="1"/>
  <c r="T29" i="2"/>
  <c r="AF29" i="2" s="1"/>
  <c r="U29" i="2"/>
  <c r="AG29" i="2" s="1"/>
  <c r="Z29" i="2"/>
  <c r="J30" i="2"/>
  <c r="K30" i="2"/>
  <c r="W30" i="2" s="1"/>
  <c r="L30" i="2"/>
  <c r="X30" i="2" s="1"/>
  <c r="M30" i="2"/>
  <c r="N30" i="2"/>
  <c r="Z30" i="2" s="1"/>
  <c r="O30" i="2"/>
  <c r="AA30" i="2" s="1"/>
  <c r="P30" i="2"/>
  <c r="AB30" i="2" s="1"/>
  <c r="Q30" i="2"/>
  <c r="AC30" i="2" s="1"/>
  <c r="R30" i="2"/>
  <c r="AD30" i="2" s="1"/>
  <c r="S30" i="2"/>
  <c r="AE30" i="2" s="1"/>
  <c r="T30" i="2"/>
  <c r="AF30" i="2" s="1"/>
  <c r="U30" i="2"/>
  <c r="AG30" i="2" s="1"/>
  <c r="J31" i="2"/>
  <c r="K31" i="2"/>
  <c r="W31" i="2" s="1"/>
  <c r="L31" i="2"/>
  <c r="X31" i="2" s="1"/>
  <c r="M31" i="2"/>
  <c r="Y31" i="2" s="1"/>
  <c r="N31" i="2"/>
  <c r="O31" i="2"/>
  <c r="AA31" i="2" s="1"/>
  <c r="P31" i="2"/>
  <c r="AB31" i="2" s="1"/>
  <c r="Q31" i="2"/>
  <c r="AC31" i="2" s="1"/>
  <c r="R31" i="2"/>
  <c r="AD31" i="2" s="1"/>
  <c r="S31" i="2"/>
  <c r="AE31" i="2" s="1"/>
  <c r="T31" i="2"/>
  <c r="AF31" i="2" s="1"/>
  <c r="U31" i="2"/>
  <c r="AG31" i="2" s="1"/>
  <c r="Z31" i="2"/>
  <c r="J32" i="2"/>
  <c r="K32" i="2"/>
  <c r="W32" i="2" s="1"/>
  <c r="L32" i="2"/>
  <c r="M32" i="2"/>
  <c r="Y32" i="2" s="1"/>
  <c r="N32" i="2"/>
  <c r="Z32" i="2" s="1"/>
  <c r="O32" i="2"/>
  <c r="AA32" i="2" s="1"/>
  <c r="P32" i="2"/>
  <c r="AB32" i="2" s="1"/>
  <c r="Q32" i="2"/>
  <c r="AC32" i="2" s="1"/>
  <c r="R32" i="2"/>
  <c r="AD32" i="2" s="1"/>
  <c r="S32" i="2"/>
  <c r="AE32" i="2" s="1"/>
  <c r="T32" i="2"/>
  <c r="AF32" i="2" s="1"/>
  <c r="U32" i="2"/>
  <c r="AG32" i="2" s="1"/>
  <c r="J33" i="2"/>
  <c r="K33" i="2"/>
  <c r="W33" i="2" s="1"/>
  <c r="L33" i="2"/>
  <c r="X33" i="2" s="1"/>
  <c r="M33" i="2"/>
  <c r="Y33" i="2" s="1"/>
  <c r="N33" i="2"/>
  <c r="Z33" i="2" s="1"/>
  <c r="O33" i="2"/>
  <c r="AA33" i="2" s="1"/>
  <c r="P33" i="2"/>
  <c r="AB33" i="2" s="1"/>
  <c r="Q33" i="2"/>
  <c r="AC33" i="2" s="1"/>
  <c r="R33" i="2"/>
  <c r="AD33" i="2" s="1"/>
  <c r="S33" i="2"/>
  <c r="T33" i="2"/>
  <c r="AF33" i="2" s="1"/>
  <c r="U33" i="2"/>
  <c r="AG33" i="2" s="1"/>
  <c r="AE33" i="2"/>
  <c r="J34" i="2"/>
  <c r="K34" i="2"/>
  <c r="W34" i="2" s="1"/>
  <c r="L34" i="2"/>
  <c r="X34" i="2" s="1"/>
  <c r="M34" i="2"/>
  <c r="N34" i="2"/>
  <c r="Z34" i="2" s="1"/>
  <c r="O34" i="2"/>
  <c r="AA34" i="2" s="1"/>
  <c r="P34" i="2"/>
  <c r="AB34" i="2" s="1"/>
  <c r="Q34" i="2"/>
  <c r="AC34" i="2" s="1"/>
  <c r="R34" i="2"/>
  <c r="AD34" i="2" s="1"/>
  <c r="S34" i="2"/>
  <c r="AE34" i="2" s="1"/>
  <c r="T34" i="2"/>
  <c r="U34" i="2"/>
  <c r="AG34" i="2" s="1"/>
  <c r="AF34" i="2"/>
  <c r="J35" i="2"/>
  <c r="K35" i="2"/>
  <c r="W35" i="2" s="1"/>
  <c r="L35" i="2"/>
  <c r="X35" i="2" s="1"/>
  <c r="M35" i="2"/>
  <c r="Y35" i="2" s="1"/>
  <c r="N35" i="2"/>
  <c r="Z35" i="2" s="1"/>
  <c r="O35" i="2"/>
  <c r="AA35" i="2" s="1"/>
  <c r="P35" i="2"/>
  <c r="AB35" i="2" s="1"/>
  <c r="Q35" i="2"/>
  <c r="AC35" i="2" s="1"/>
  <c r="R35" i="2"/>
  <c r="AD35" i="2" s="1"/>
  <c r="S35" i="2"/>
  <c r="AE35" i="2" s="1"/>
  <c r="T35" i="2"/>
  <c r="AF35" i="2" s="1"/>
  <c r="U35" i="2"/>
  <c r="AG35" i="2" s="1"/>
  <c r="J36" i="2"/>
  <c r="K36" i="2"/>
  <c r="W36" i="2" s="1"/>
  <c r="L36" i="2"/>
  <c r="X36" i="2" s="1"/>
  <c r="M36" i="2"/>
  <c r="Y36" i="2" s="1"/>
  <c r="N36" i="2"/>
  <c r="Z36" i="2" s="1"/>
  <c r="O36" i="2"/>
  <c r="P36" i="2"/>
  <c r="AB36" i="2" s="1"/>
  <c r="Q36" i="2"/>
  <c r="AC36" i="2" s="1"/>
  <c r="R36" i="2"/>
  <c r="AD36" i="2" s="1"/>
  <c r="S36" i="2"/>
  <c r="T36" i="2"/>
  <c r="AF36" i="2" s="1"/>
  <c r="U36" i="2"/>
  <c r="AG36" i="2" s="1"/>
  <c r="AA36" i="2"/>
  <c r="J37" i="2"/>
  <c r="K37" i="2"/>
  <c r="W37" i="2" s="1"/>
  <c r="L37" i="2"/>
  <c r="X37" i="2" s="1"/>
  <c r="M37" i="2"/>
  <c r="Y37" i="2" s="1"/>
  <c r="N37" i="2"/>
  <c r="Z37" i="2" s="1"/>
  <c r="O37" i="2"/>
  <c r="AA37" i="2" s="1"/>
  <c r="P37" i="2"/>
  <c r="AB37" i="2" s="1"/>
  <c r="Q37" i="2"/>
  <c r="AC37" i="2" s="1"/>
  <c r="R37" i="2"/>
  <c r="AD37" i="2" s="1"/>
  <c r="S37" i="2"/>
  <c r="AE37" i="2" s="1"/>
  <c r="T37" i="2"/>
  <c r="AF37" i="2" s="1"/>
  <c r="U37" i="2"/>
  <c r="AG37" i="2" s="1"/>
  <c r="J38" i="2"/>
  <c r="K38" i="2"/>
  <c r="L38" i="2"/>
  <c r="X38" i="2" s="1"/>
  <c r="M38" i="2"/>
  <c r="Y38" i="2" s="1"/>
  <c r="N38" i="2"/>
  <c r="Z38" i="2" s="1"/>
  <c r="O38" i="2"/>
  <c r="AA38" i="2" s="1"/>
  <c r="P38" i="2"/>
  <c r="AB38" i="2" s="1"/>
  <c r="Q38" i="2"/>
  <c r="AC38" i="2" s="1"/>
  <c r="R38" i="2"/>
  <c r="AD38" i="2" s="1"/>
  <c r="S38" i="2"/>
  <c r="AE38" i="2" s="1"/>
  <c r="T38" i="2"/>
  <c r="AF38" i="2" s="1"/>
  <c r="U38" i="2"/>
  <c r="AG38" i="2"/>
  <c r="J39" i="2"/>
  <c r="K39" i="2"/>
  <c r="L39" i="2"/>
  <c r="X39" i="2" s="1"/>
  <c r="M39" i="2"/>
  <c r="Y39" i="2" s="1"/>
  <c r="N39" i="2"/>
  <c r="Z39" i="2" s="1"/>
  <c r="O39" i="2"/>
  <c r="AA39" i="2" s="1"/>
  <c r="P39" i="2"/>
  <c r="AB39" i="2" s="1"/>
  <c r="Q39" i="2"/>
  <c r="AC39" i="2" s="1"/>
  <c r="R39" i="2"/>
  <c r="AD39" i="2" s="1"/>
  <c r="S39" i="2"/>
  <c r="AE39" i="2" s="1"/>
  <c r="T39" i="2"/>
  <c r="AF39" i="2" s="1"/>
  <c r="U39" i="2"/>
  <c r="AG39" i="2" s="1"/>
  <c r="J40" i="2"/>
  <c r="K40" i="2"/>
  <c r="L40" i="2"/>
  <c r="X40" i="2" s="1"/>
  <c r="M40" i="2"/>
  <c r="Y40" i="2" s="1"/>
  <c r="N40" i="2"/>
  <c r="Z40" i="2" s="1"/>
  <c r="O40" i="2"/>
  <c r="AA40" i="2" s="1"/>
  <c r="P40" i="2"/>
  <c r="AB40" i="2" s="1"/>
  <c r="Q40" i="2"/>
  <c r="AC40" i="2" s="1"/>
  <c r="R40" i="2"/>
  <c r="AD40" i="2" s="1"/>
  <c r="S40" i="2"/>
  <c r="AE40" i="2" s="1"/>
  <c r="T40" i="2"/>
  <c r="AF40" i="2" s="1"/>
  <c r="U40" i="2"/>
  <c r="AG40" i="2" s="1"/>
  <c r="J41" i="2"/>
  <c r="K41" i="2"/>
  <c r="L41" i="2"/>
  <c r="X41" i="2" s="1"/>
  <c r="M41" i="2"/>
  <c r="Y41" i="2" s="1"/>
  <c r="N41" i="2"/>
  <c r="Z41" i="2" s="1"/>
  <c r="O41" i="2"/>
  <c r="AA41" i="2" s="1"/>
  <c r="P41" i="2"/>
  <c r="AB41" i="2" s="1"/>
  <c r="Q41" i="2"/>
  <c r="R41" i="2"/>
  <c r="AD41" i="2" s="1"/>
  <c r="S41" i="2"/>
  <c r="AE41" i="2" s="1"/>
  <c r="T41" i="2"/>
  <c r="AF41" i="2" s="1"/>
  <c r="U41" i="2"/>
  <c r="AG41" i="2" s="1"/>
  <c r="AC41" i="2"/>
  <c r="J7" i="2"/>
  <c r="S36" i="1"/>
  <c r="X36" i="1" s="1"/>
  <c r="S37" i="1"/>
  <c r="X37" i="1" s="1"/>
  <c r="S38" i="1"/>
  <c r="X38" i="1" s="1"/>
  <c r="S39" i="1"/>
  <c r="X39" i="1" s="1"/>
  <c r="S40" i="1"/>
  <c r="X40" i="1" s="1"/>
  <c r="S41" i="1"/>
  <c r="X41" i="1" s="1"/>
  <c r="S42" i="1"/>
  <c r="X42" i="1" s="1"/>
  <c r="S43" i="1"/>
  <c r="X43" i="1" s="1"/>
  <c r="S44" i="1"/>
  <c r="X44" i="1" s="1"/>
  <c r="S45" i="1"/>
  <c r="X45" i="1" s="1"/>
  <c r="S46" i="1"/>
  <c r="X46" i="1" s="1"/>
  <c r="S47" i="1"/>
  <c r="X47" i="1" s="1"/>
  <c r="S48" i="1"/>
  <c r="X48" i="1" s="1"/>
  <c r="S49" i="1"/>
  <c r="X49" i="1" s="1"/>
  <c r="S50" i="1"/>
  <c r="X50" i="1" s="1"/>
  <c r="S51" i="1"/>
  <c r="X51" i="1" s="1"/>
  <c r="S52" i="1"/>
  <c r="X52" i="1" s="1"/>
  <c r="S53" i="1"/>
  <c r="X53" i="1" s="1"/>
  <c r="S54" i="1"/>
  <c r="X54" i="1" s="1"/>
  <c r="S55" i="1"/>
  <c r="X55" i="1" s="1"/>
  <c r="S56" i="1"/>
  <c r="X56" i="1" s="1"/>
  <c r="S57" i="1"/>
  <c r="X57" i="1" s="1"/>
  <c r="S58" i="1"/>
  <c r="X58" i="1" s="1"/>
  <c r="S59" i="1"/>
  <c r="X59" i="1" s="1"/>
  <c r="H36" i="1"/>
  <c r="I36" i="1"/>
  <c r="J36" i="1"/>
  <c r="K36" i="1"/>
  <c r="N36" i="1"/>
  <c r="R36" i="1" s="1"/>
  <c r="W36" i="1" s="1"/>
  <c r="O36" i="1"/>
  <c r="P36" i="1"/>
  <c r="H37" i="1"/>
  <c r="I37" i="1"/>
  <c r="J37" i="1"/>
  <c r="K37" i="1"/>
  <c r="N37" i="1"/>
  <c r="O37" i="1"/>
  <c r="P37" i="1"/>
  <c r="H38" i="1"/>
  <c r="I38" i="1"/>
  <c r="J38" i="1"/>
  <c r="K38" i="1"/>
  <c r="N38" i="1"/>
  <c r="R38" i="1" s="1"/>
  <c r="W38" i="1" s="1"/>
  <c r="O38" i="1"/>
  <c r="P38" i="1"/>
  <c r="H39" i="1"/>
  <c r="I39" i="1"/>
  <c r="J39" i="1"/>
  <c r="K39" i="1"/>
  <c r="N39" i="1"/>
  <c r="O39" i="1"/>
  <c r="P39" i="1"/>
  <c r="U39" i="1" s="1"/>
  <c r="Z39" i="1" s="1"/>
  <c r="H40" i="1"/>
  <c r="I40" i="1"/>
  <c r="J40" i="1"/>
  <c r="K40" i="1"/>
  <c r="N40" i="1"/>
  <c r="R40" i="1" s="1"/>
  <c r="W40" i="1" s="1"/>
  <c r="O40" i="1"/>
  <c r="P40" i="1"/>
  <c r="H41" i="1"/>
  <c r="I41" i="1"/>
  <c r="J41" i="1"/>
  <c r="K41" i="1"/>
  <c r="N41" i="1"/>
  <c r="O41" i="1"/>
  <c r="P41" i="1"/>
  <c r="U41" i="1" s="1"/>
  <c r="Z41" i="1" s="1"/>
  <c r="H42" i="1"/>
  <c r="I42" i="1"/>
  <c r="J42" i="1"/>
  <c r="K42" i="1"/>
  <c r="N42" i="1"/>
  <c r="O42" i="1"/>
  <c r="P42" i="1"/>
  <c r="H43" i="1"/>
  <c r="I43" i="1"/>
  <c r="J43" i="1"/>
  <c r="K43" i="1"/>
  <c r="N43" i="1"/>
  <c r="O43" i="1"/>
  <c r="P43" i="1"/>
  <c r="U43" i="1" s="1"/>
  <c r="Z43" i="1" s="1"/>
  <c r="H44" i="1"/>
  <c r="I44" i="1"/>
  <c r="J44" i="1"/>
  <c r="K44" i="1"/>
  <c r="N44" i="1"/>
  <c r="O44" i="1"/>
  <c r="P44" i="1"/>
  <c r="H45" i="1"/>
  <c r="I45" i="1"/>
  <c r="J45" i="1"/>
  <c r="K45" i="1"/>
  <c r="N45" i="1"/>
  <c r="R45" i="1" s="1"/>
  <c r="W45" i="1" s="1"/>
  <c r="O45" i="1"/>
  <c r="P45" i="1"/>
  <c r="U45" i="1" s="1"/>
  <c r="Z45" i="1" s="1"/>
  <c r="H46" i="1"/>
  <c r="I46" i="1"/>
  <c r="J46" i="1"/>
  <c r="K46" i="1"/>
  <c r="N46" i="1"/>
  <c r="R46" i="1" s="1"/>
  <c r="W46" i="1" s="1"/>
  <c r="O46" i="1"/>
  <c r="P46" i="1"/>
  <c r="H47" i="1"/>
  <c r="I47" i="1"/>
  <c r="J47" i="1"/>
  <c r="K47" i="1"/>
  <c r="N47" i="1"/>
  <c r="R47" i="1" s="1"/>
  <c r="W47" i="1" s="1"/>
  <c r="O47" i="1"/>
  <c r="P47" i="1"/>
  <c r="U47" i="1" s="1"/>
  <c r="Z47" i="1" s="1"/>
  <c r="H48" i="1"/>
  <c r="I48" i="1"/>
  <c r="J48" i="1"/>
  <c r="K48" i="1"/>
  <c r="N48" i="1"/>
  <c r="R48" i="1" s="1"/>
  <c r="W48" i="1" s="1"/>
  <c r="O48" i="1"/>
  <c r="P48" i="1"/>
  <c r="H49" i="1"/>
  <c r="I49" i="1"/>
  <c r="J49" i="1"/>
  <c r="K49" i="1"/>
  <c r="N49" i="1"/>
  <c r="O49" i="1"/>
  <c r="P49" i="1"/>
  <c r="U49" i="1" s="1"/>
  <c r="Z49" i="1" s="1"/>
  <c r="H50" i="1"/>
  <c r="I50" i="1"/>
  <c r="J50" i="1"/>
  <c r="K50" i="1"/>
  <c r="N50" i="1"/>
  <c r="O50" i="1"/>
  <c r="P50" i="1"/>
  <c r="H51" i="1"/>
  <c r="I51" i="1"/>
  <c r="J51" i="1"/>
  <c r="K51" i="1"/>
  <c r="N51" i="1"/>
  <c r="R51" i="1" s="1"/>
  <c r="W51" i="1" s="1"/>
  <c r="O51" i="1"/>
  <c r="P51" i="1"/>
  <c r="U51" i="1" s="1"/>
  <c r="Z51" i="1" s="1"/>
  <c r="H52" i="1"/>
  <c r="I52" i="1"/>
  <c r="J52" i="1"/>
  <c r="K52" i="1"/>
  <c r="N52" i="1"/>
  <c r="R52" i="1" s="1"/>
  <c r="W52" i="1" s="1"/>
  <c r="O52" i="1"/>
  <c r="P52" i="1"/>
  <c r="H53" i="1"/>
  <c r="I53" i="1"/>
  <c r="J53" i="1"/>
  <c r="K53" i="1"/>
  <c r="N53" i="1"/>
  <c r="O53" i="1"/>
  <c r="P53" i="1"/>
  <c r="U53" i="1" s="1"/>
  <c r="Z53" i="1" s="1"/>
  <c r="H54" i="1"/>
  <c r="I54" i="1"/>
  <c r="J54" i="1"/>
  <c r="K54" i="1"/>
  <c r="N54" i="1"/>
  <c r="R54" i="1" s="1"/>
  <c r="W54" i="1" s="1"/>
  <c r="O54" i="1"/>
  <c r="P54" i="1"/>
  <c r="H55" i="1"/>
  <c r="I55" i="1"/>
  <c r="J55" i="1"/>
  <c r="K55" i="1"/>
  <c r="N55" i="1"/>
  <c r="R55" i="1" s="1"/>
  <c r="W55" i="1" s="1"/>
  <c r="O55" i="1"/>
  <c r="P55" i="1"/>
  <c r="U55" i="1" s="1"/>
  <c r="Z55" i="1" s="1"/>
  <c r="H56" i="1"/>
  <c r="I56" i="1"/>
  <c r="J56" i="1"/>
  <c r="K56" i="1"/>
  <c r="N56" i="1"/>
  <c r="R56" i="1" s="1"/>
  <c r="W56" i="1" s="1"/>
  <c r="O56" i="1"/>
  <c r="P56" i="1"/>
  <c r="H57" i="1"/>
  <c r="I57" i="1"/>
  <c r="J57" i="1"/>
  <c r="K57" i="1"/>
  <c r="N57" i="1"/>
  <c r="O57" i="1"/>
  <c r="P57" i="1"/>
  <c r="U57" i="1" s="1"/>
  <c r="Z57" i="1" s="1"/>
  <c r="H58" i="1"/>
  <c r="I58" i="1"/>
  <c r="J58" i="1"/>
  <c r="K58" i="1"/>
  <c r="N58" i="1"/>
  <c r="O58" i="1"/>
  <c r="P58" i="1"/>
  <c r="H59" i="1"/>
  <c r="I59" i="1"/>
  <c r="J59" i="1"/>
  <c r="K59" i="1"/>
  <c r="N59" i="1"/>
  <c r="O59" i="1"/>
  <c r="P59" i="1"/>
  <c r="H35" i="1"/>
  <c r="I35" i="1"/>
  <c r="J35" i="1"/>
  <c r="K35" i="1"/>
  <c r="N35" i="1"/>
  <c r="O35" i="1"/>
  <c r="P35" i="1"/>
  <c r="S35" i="1"/>
  <c r="X35" i="1" s="1"/>
  <c r="H10" i="1"/>
  <c r="I10" i="1"/>
  <c r="J10" i="1"/>
  <c r="K10" i="1"/>
  <c r="N10" i="1"/>
  <c r="R10" i="1" s="1"/>
  <c r="W10" i="1" s="1"/>
  <c r="O10" i="1"/>
  <c r="P10" i="1"/>
  <c r="S10" i="1"/>
  <c r="X10" i="1" s="1"/>
  <c r="H11" i="1"/>
  <c r="I11" i="1"/>
  <c r="J11" i="1"/>
  <c r="K11" i="1"/>
  <c r="N11" i="1"/>
  <c r="R11" i="1" s="1"/>
  <c r="W11" i="1" s="1"/>
  <c r="O11" i="1"/>
  <c r="P11" i="1"/>
  <c r="S11" i="1"/>
  <c r="X11" i="1" s="1"/>
  <c r="H12" i="1"/>
  <c r="I12" i="1"/>
  <c r="J12" i="1"/>
  <c r="K12" i="1"/>
  <c r="N12" i="1"/>
  <c r="O12" i="1"/>
  <c r="P12" i="1"/>
  <c r="S12" i="1"/>
  <c r="X12" i="1" s="1"/>
  <c r="H13" i="1"/>
  <c r="I13" i="1"/>
  <c r="J13" i="1"/>
  <c r="K13" i="1"/>
  <c r="N13" i="1"/>
  <c r="O13" i="1"/>
  <c r="P13" i="1"/>
  <c r="S13" i="1"/>
  <c r="X13" i="1" s="1"/>
  <c r="H14" i="1"/>
  <c r="I14" i="1"/>
  <c r="J14" i="1"/>
  <c r="K14" i="1"/>
  <c r="N14" i="1"/>
  <c r="O14" i="1"/>
  <c r="P14" i="1"/>
  <c r="S14" i="1"/>
  <c r="X14" i="1" s="1"/>
  <c r="H15" i="1"/>
  <c r="I15" i="1"/>
  <c r="J15" i="1"/>
  <c r="K15" i="1"/>
  <c r="N15" i="1"/>
  <c r="O15" i="1"/>
  <c r="P15" i="1"/>
  <c r="S15" i="1"/>
  <c r="X15" i="1" s="1"/>
  <c r="H16" i="1"/>
  <c r="I16" i="1"/>
  <c r="J16" i="1"/>
  <c r="K16" i="1"/>
  <c r="N16" i="1"/>
  <c r="O16" i="1"/>
  <c r="P16" i="1"/>
  <c r="U16" i="1" s="1"/>
  <c r="Z16" i="1" s="1"/>
  <c r="S16" i="1"/>
  <c r="X16" i="1" s="1"/>
  <c r="H17" i="1"/>
  <c r="I17" i="1"/>
  <c r="J17" i="1"/>
  <c r="K17" i="1"/>
  <c r="N17" i="1"/>
  <c r="O17" i="1"/>
  <c r="T17" i="1" s="1"/>
  <c r="Y17" i="1" s="1"/>
  <c r="P17" i="1"/>
  <c r="S17" i="1"/>
  <c r="X17" i="1" s="1"/>
  <c r="H18" i="1"/>
  <c r="I18" i="1"/>
  <c r="J18" i="1"/>
  <c r="K18" i="1"/>
  <c r="N18" i="1"/>
  <c r="R18" i="1" s="1"/>
  <c r="W18" i="1" s="1"/>
  <c r="O18" i="1"/>
  <c r="P18" i="1"/>
  <c r="S18" i="1"/>
  <c r="X18" i="1" s="1"/>
  <c r="H19" i="1"/>
  <c r="I19" i="1"/>
  <c r="J19" i="1"/>
  <c r="K19" i="1"/>
  <c r="N19" i="1"/>
  <c r="R19" i="1" s="1"/>
  <c r="W19" i="1" s="1"/>
  <c r="O19" i="1"/>
  <c r="P19" i="1"/>
  <c r="S19" i="1"/>
  <c r="X19" i="1" s="1"/>
  <c r="H20" i="1"/>
  <c r="I20" i="1"/>
  <c r="J20" i="1"/>
  <c r="K20" i="1"/>
  <c r="N20" i="1"/>
  <c r="O20" i="1"/>
  <c r="P20" i="1"/>
  <c r="U20" i="1" s="1"/>
  <c r="Z20" i="1" s="1"/>
  <c r="S20" i="1"/>
  <c r="X20" i="1" s="1"/>
  <c r="H21" i="1"/>
  <c r="I21" i="1"/>
  <c r="J21" i="1"/>
  <c r="K21" i="1"/>
  <c r="N21" i="1"/>
  <c r="R21" i="1" s="1"/>
  <c r="W21" i="1" s="1"/>
  <c r="O21" i="1"/>
  <c r="P21" i="1"/>
  <c r="S21" i="1"/>
  <c r="X21" i="1" s="1"/>
  <c r="H22" i="1"/>
  <c r="I22" i="1"/>
  <c r="J22" i="1"/>
  <c r="K22" i="1"/>
  <c r="N22" i="1"/>
  <c r="R22" i="1" s="1"/>
  <c r="W22" i="1" s="1"/>
  <c r="O22" i="1"/>
  <c r="T22" i="1" s="1"/>
  <c r="Y22" i="1" s="1"/>
  <c r="P22" i="1"/>
  <c r="U22" i="1" s="1"/>
  <c r="Z22" i="1" s="1"/>
  <c r="S22" i="1"/>
  <c r="X22" i="1" s="1"/>
  <c r="H23" i="1"/>
  <c r="I23" i="1"/>
  <c r="J23" i="1"/>
  <c r="K23" i="1"/>
  <c r="N23" i="1"/>
  <c r="O23" i="1"/>
  <c r="P23" i="1"/>
  <c r="S23" i="1"/>
  <c r="X23" i="1" s="1"/>
  <c r="H24" i="1"/>
  <c r="I24" i="1"/>
  <c r="J24" i="1"/>
  <c r="K24" i="1"/>
  <c r="N24" i="1"/>
  <c r="O24" i="1"/>
  <c r="P24" i="1"/>
  <c r="U24" i="1" s="1"/>
  <c r="Z24" i="1" s="1"/>
  <c r="S24" i="1"/>
  <c r="X24" i="1" s="1"/>
  <c r="H25" i="1"/>
  <c r="I25" i="1"/>
  <c r="J25" i="1"/>
  <c r="K25" i="1"/>
  <c r="N25" i="1"/>
  <c r="R25" i="1" s="1"/>
  <c r="W25" i="1" s="1"/>
  <c r="O25" i="1"/>
  <c r="P25" i="1"/>
  <c r="U25" i="1" s="1"/>
  <c r="Z25" i="1" s="1"/>
  <c r="S25" i="1"/>
  <c r="X25" i="1" s="1"/>
  <c r="H26" i="1"/>
  <c r="I26" i="1"/>
  <c r="J26" i="1"/>
  <c r="K26" i="1"/>
  <c r="N26" i="1"/>
  <c r="R26" i="1" s="1"/>
  <c r="W26" i="1" s="1"/>
  <c r="O26" i="1"/>
  <c r="P26" i="1"/>
  <c r="S26" i="1"/>
  <c r="X26" i="1" s="1"/>
  <c r="H27" i="1"/>
  <c r="I27" i="1"/>
  <c r="J27" i="1"/>
  <c r="K27" i="1"/>
  <c r="N27" i="1"/>
  <c r="R27" i="1" s="1"/>
  <c r="W27" i="1" s="1"/>
  <c r="O27" i="1"/>
  <c r="P27" i="1"/>
  <c r="S27" i="1"/>
  <c r="X27" i="1" s="1"/>
  <c r="H28" i="1"/>
  <c r="I28" i="1"/>
  <c r="J28" i="1"/>
  <c r="K28" i="1"/>
  <c r="N28" i="1"/>
  <c r="O28" i="1"/>
  <c r="P28" i="1"/>
  <c r="U28" i="1" s="1"/>
  <c r="Z28" i="1" s="1"/>
  <c r="S28" i="1"/>
  <c r="X28" i="1" s="1"/>
  <c r="H29" i="1"/>
  <c r="I29" i="1"/>
  <c r="J29" i="1"/>
  <c r="K29" i="1"/>
  <c r="N29" i="1"/>
  <c r="R29" i="1" s="1"/>
  <c r="W29" i="1" s="1"/>
  <c r="O29" i="1"/>
  <c r="T29" i="1" s="1"/>
  <c r="Y29" i="1" s="1"/>
  <c r="P29" i="1"/>
  <c r="U29" i="1" s="1"/>
  <c r="Z29" i="1" s="1"/>
  <c r="S29" i="1"/>
  <c r="X29" i="1" s="1"/>
  <c r="H30" i="1"/>
  <c r="I30" i="1"/>
  <c r="J30" i="1"/>
  <c r="K30" i="1"/>
  <c r="N30" i="1"/>
  <c r="R30" i="1" s="1"/>
  <c r="W30" i="1" s="1"/>
  <c r="O30" i="1"/>
  <c r="P30" i="1"/>
  <c r="U30" i="1" s="1"/>
  <c r="Z30" i="1" s="1"/>
  <c r="S30" i="1"/>
  <c r="X30" i="1" s="1"/>
  <c r="H31" i="1"/>
  <c r="I31" i="1"/>
  <c r="J31" i="1"/>
  <c r="K31" i="1"/>
  <c r="N31" i="1"/>
  <c r="O31" i="1"/>
  <c r="P31" i="1"/>
  <c r="S31" i="1"/>
  <c r="X31" i="1" s="1"/>
  <c r="Q9" i="4"/>
  <c r="Y9" i="4" s="1"/>
  <c r="P9" i="4"/>
  <c r="X9" i="4" s="1"/>
  <c r="M9" i="4"/>
  <c r="N9" i="4" s="1"/>
  <c r="T9" i="4" s="1"/>
  <c r="AB9" i="4" s="1"/>
  <c r="K9" i="4"/>
  <c r="L9" i="4" s="1"/>
  <c r="I9" i="4"/>
  <c r="H9" i="4"/>
  <c r="J9" i="4"/>
  <c r="I8" i="3"/>
  <c r="K8" i="3" s="1"/>
  <c r="I9" i="3"/>
  <c r="K9" i="3" s="1"/>
  <c r="I10" i="3"/>
  <c r="K10" i="3" s="1"/>
  <c r="I11" i="3"/>
  <c r="J11" i="3" s="1"/>
  <c r="I12" i="3"/>
  <c r="K12" i="3" s="1"/>
  <c r="I13" i="3"/>
  <c r="K13" i="3" s="1"/>
  <c r="I14" i="3"/>
  <c r="K14" i="3" s="1"/>
  <c r="I15" i="3"/>
  <c r="K15" i="3" s="1"/>
  <c r="I16" i="3"/>
  <c r="J16" i="3" s="1"/>
  <c r="I17" i="3"/>
  <c r="K17" i="3" s="1"/>
  <c r="I18" i="3"/>
  <c r="K18" i="3" s="1"/>
  <c r="I19" i="3"/>
  <c r="J19" i="3" s="1"/>
  <c r="I20" i="3"/>
  <c r="K20" i="3" s="1"/>
  <c r="I21" i="3"/>
  <c r="K21" i="3" s="1"/>
  <c r="I22" i="3"/>
  <c r="K22" i="3" s="1"/>
  <c r="I23" i="3"/>
  <c r="J23" i="3" s="1"/>
  <c r="I24" i="3"/>
  <c r="K24" i="3" s="1"/>
  <c r="I25" i="3"/>
  <c r="K25" i="3" s="1"/>
  <c r="I26" i="3"/>
  <c r="K26" i="3" s="1"/>
  <c r="I27" i="3"/>
  <c r="J27" i="3" s="1"/>
  <c r="I7" i="3"/>
  <c r="J7" i="3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7" i="3"/>
  <c r="U7" i="2"/>
  <c r="AG7" i="2" s="1"/>
  <c r="T7" i="2"/>
  <c r="AF7" i="2" s="1"/>
  <c r="S7" i="2"/>
  <c r="AE7" i="2" s="1"/>
  <c r="R7" i="2"/>
  <c r="AD7" i="2" s="1"/>
  <c r="Q7" i="2"/>
  <c r="AC7" i="2" s="1"/>
  <c r="P7" i="2"/>
  <c r="AB7" i="2" s="1"/>
  <c r="O7" i="2"/>
  <c r="AA7" i="2" s="1"/>
  <c r="N7" i="2"/>
  <c r="Z7" i="2" s="1"/>
  <c r="M7" i="2"/>
  <c r="L7" i="2"/>
  <c r="X7" i="2" s="1"/>
  <c r="K7" i="2"/>
  <c r="W7" i="2" s="1"/>
  <c r="J9" i="1"/>
  <c r="I9" i="1"/>
  <c r="H9" i="1"/>
  <c r="S9" i="1"/>
  <c r="X9" i="1" s="1"/>
  <c r="P9" i="1"/>
  <c r="O9" i="1"/>
  <c r="N9" i="1"/>
  <c r="K9" i="1"/>
  <c r="K29" i="3" l="1"/>
  <c r="L60" i="1"/>
  <c r="M60" i="1" s="1"/>
  <c r="Q60" i="1" s="1"/>
  <c r="L64" i="1"/>
  <c r="M64" i="1" s="1"/>
  <c r="Q64" i="1" s="1"/>
  <c r="K28" i="3"/>
  <c r="J10" i="3"/>
  <c r="L62" i="1"/>
  <c r="M62" i="1" s="1"/>
  <c r="Q62" i="1" s="1"/>
  <c r="L63" i="1"/>
  <c r="M63" i="1" s="1"/>
  <c r="Q63" i="1" s="1"/>
  <c r="L61" i="1"/>
  <c r="M61" i="1" s="1"/>
  <c r="Q61" i="1" s="1"/>
  <c r="T59" i="1"/>
  <c r="Y59" i="1" s="1"/>
  <c r="T57" i="1"/>
  <c r="Y57" i="1" s="1"/>
  <c r="T55" i="1"/>
  <c r="Y55" i="1" s="1"/>
  <c r="T53" i="1"/>
  <c r="Y53" i="1" s="1"/>
  <c r="T30" i="1"/>
  <c r="Y30" i="1" s="1"/>
  <c r="T26" i="1"/>
  <c r="Y26" i="1" s="1"/>
  <c r="T20" i="1"/>
  <c r="Y20" i="1" s="1"/>
  <c r="T13" i="1"/>
  <c r="Y13" i="1" s="1"/>
  <c r="T51" i="1"/>
  <c r="Y51" i="1" s="1"/>
  <c r="T49" i="1"/>
  <c r="Y49" i="1" s="1"/>
  <c r="T47" i="1"/>
  <c r="Y47" i="1" s="1"/>
  <c r="T43" i="1"/>
  <c r="Y43" i="1" s="1"/>
  <c r="T41" i="1"/>
  <c r="Y41" i="1" s="1"/>
  <c r="U18" i="1"/>
  <c r="Z18" i="1" s="1"/>
  <c r="U14" i="1"/>
  <c r="Z14" i="1" s="1"/>
  <c r="T23" i="1"/>
  <c r="Y23" i="1" s="1"/>
  <c r="T58" i="1"/>
  <c r="Y58" i="1" s="1"/>
  <c r="L31" i="1"/>
  <c r="M31" i="1" s="1"/>
  <c r="Q31" i="1" s="1"/>
  <c r="U37" i="1"/>
  <c r="Z37" i="1" s="1"/>
  <c r="L44" i="1"/>
  <c r="M44" i="1" s="1"/>
  <c r="L40" i="1"/>
  <c r="M40" i="1" s="1"/>
  <c r="L36" i="1"/>
  <c r="M36" i="1" s="1"/>
  <c r="L23" i="1"/>
  <c r="T15" i="1"/>
  <c r="Y15" i="1" s="1"/>
  <c r="L13" i="1"/>
  <c r="M13" i="1" s="1"/>
  <c r="T45" i="1"/>
  <c r="Y45" i="1" s="1"/>
  <c r="T27" i="1"/>
  <c r="Y27" i="1" s="1"/>
  <c r="L18" i="1"/>
  <c r="M18" i="1" s="1"/>
  <c r="R17" i="1"/>
  <c r="W17" i="1" s="1"/>
  <c r="L14" i="1"/>
  <c r="M14" i="1" s="1"/>
  <c r="R13" i="1"/>
  <c r="W13" i="1" s="1"/>
  <c r="L52" i="1"/>
  <c r="M52" i="1" s="1"/>
  <c r="L46" i="1"/>
  <c r="M46" i="1" s="1"/>
  <c r="L24" i="1"/>
  <c r="M24" i="1" s="1"/>
  <c r="R23" i="1"/>
  <c r="W23" i="1" s="1"/>
  <c r="U35" i="1"/>
  <c r="Z35" i="1" s="1"/>
  <c r="L28" i="1"/>
  <c r="L17" i="1"/>
  <c r="M17" i="1" s="1"/>
  <c r="T31" i="1"/>
  <c r="Y31" i="1" s="1"/>
  <c r="U59" i="1"/>
  <c r="Z59" i="1" s="1"/>
  <c r="L59" i="1"/>
  <c r="M59" i="1" s="1"/>
  <c r="L51" i="1"/>
  <c r="L43" i="1"/>
  <c r="M43" i="1" s="1"/>
  <c r="T52" i="1"/>
  <c r="Y52" i="1" s="1"/>
  <c r="R50" i="1"/>
  <c r="W50" i="1" s="1"/>
  <c r="R44" i="1"/>
  <c r="W44" i="1" s="1"/>
  <c r="R43" i="1"/>
  <c r="W43" i="1" s="1"/>
  <c r="T40" i="1"/>
  <c r="Y40" i="1" s="1"/>
  <c r="T38" i="1"/>
  <c r="Y38" i="1" s="1"/>
  <c r="U52" i="1"/>
  <c r="Z52" i="1" s="1"/>
  <c r="R31" i="1"/>
  <c r="W31" i="1" s="1"/>
  <c r="R20" i="1"/>
  <c r="W20" i="1" s="1"/>
  <c r="L19" i="1"/>
  <c r="M19" i="1" s="1"/>
  <c r="Q19" i="1" s="1"/>
  <c r="R16" i="1"/>
  <c r="W16" i="1" s="1"/>
  <c r="L56" i="1"/>
  <c r="M56" i="1" s="1"/>
  <c r="L55" i="1"/>
  <c r="M55" i="1" s="1"/>
  <c r="Q55" i="1" s="1"/>
  <c r="L54" i="1"/>
  <c r="M54" i="1" s="1"/>
  <c r="L49" i="1"/>
  <c r="M49" i="1" s="1"/>
  <c r="Q49" i="1" s="1"/>
  <c r="L48" i="1"/>
  <c r="M48" i="1" s="1"/>
  <c r="L37" i="1"/>
  <c r="M37" i="1" s="1"/>
  <c r="R59" i="1"/>
  <c r="W59" i="1" s="1"/>
  <c r="R39" i="1"/>
  <c r="W39" i="1" s="1"/>
  <c r="U26" i="1"/>
  <c r="Z26" i="1" s="1"/>
  <c r="T16" i="1"/>
  <c r="Y16" i="1" s="1"/>
  <c r="U38" i="1"/>
  <c r="Z38" i="1" s="1"/>
  <c r="T25" i="1"/>
  <c r="Y25" i="1" s="1"/>
  <c r="L25" i="1"/>
  <c r="M25" i="1" s="1"/>
  <c r="U21" i="1"/>
  <c r="Z21" i="1" s="1"/>
  <c r="R14" i="1"/>
  <c r="W14" i="1" s="1"/>
  <c r="L11" i="1"/>
  <c r="M11" i="1" s="1"/>
  <c r="T54" i="1"/>
  <c r="Y54" i="1" s="1"/>
  <c r="U50" i="1"/>
  <c r="Z50" i="1" s="1"/>
  <c r="U44" i="1"/>
  <c r="Z44" i="1" s="1"/>
  <c r="T42" i="1"/>
  <c r="Y42" i="1" s="1"/>
  <c r="R41" i="1"/>
  <c r="W41" i="1" s="1"/>
  <c r="U36" i="1"/>
  <c r="Z36" i="1" s="1"/>
  <c r="U11" i="1"/>
  <c r="Z11" i="1" s="1"/>
  <c r="U58" i="1"/>
  <c r="Z58" i="1" s="1"/>
  <c r="U42" i="1"/>
  <c r="Z42" i="1" s="1"/>
  <c r="T37" i="1"/>
  <c r="Y37" i="1" s="1"/>
  <c r="T56" i="1"/>
  <c r="Y56" i="1" s="1"/>
  <c r="U54" i="1"/>
  <c r="Z54" i="1" s="1"/>
  <c r="U48" i="1"/>
  <c r="Z48" i="1" s="1"/>
  <c r="R28" i="1"/>
  <c r="W28" i="1" s="1"/>
  <c r="L20" i="1"/>
  <c r="M20" i="1" s="1"/>
  <c r="L12" i="1"/>
  <c r="M12" i="1" s="1"/>
  <c r="Q12" i="1" s="1"/>
  <c r="L58" i="1"/>
  <c r="M58" i="1" s="1"/>
  <c r="R49" i="1"/>
  <c r="W49" i="1" s="1"/>
  <c r="T48" i="1"/>
  <c r="Y48" i="1" s="1"/>
  <c r="L47" i="1"/>
  <c r="M47" i="1" s="1"/>
  <c r="U46" i="1"/>
  <c r="Z46" i="1" s="1"/>
  <c r="L42" i="1"/>
  <c r="M42" i="1" s="1"/>
  <c r="R57" i="1"/>
  <c r="W57" i="1" s="1"/>
  <c r="R24" i="1"/>
  <c r="W24" i="1" s="1"/>
  <c r="L22" i="1"/>
  <c r="M22" i="1" s="1"/>
  <c r="L21" i="1"/>
  <c r="M21" i="1" s="1"/>
  <c r="U12" i="1"/>
  <c r="Z12" i="1" s="1"/>
  <c r="R12" i="1"/>
  <c r="W12" i="1" s="1"/>
  <c r="L35" i="1"/>
  <c r="M35" i="1" s="1"/>
  <c r="R58" i="1"/>
  <c r="W58" i="1" s="1"/>
  <c r="T50" i="1"/>
  <c r="Y50" i="1" s="1"/>
  <c r="L50" i="1"/>
  <c r="M50" i="1" s="1"/>
  <c r="T44" i="1"/>
  <c r="Y44" i="1" s="1"/>
  <c r="T39" i="1"/>
  <c r="Y39" i="1" s="1"/>
  <c r="L39" i="1"/>
  <c r="M39" i="1" s="1"/>
  <c r="R53" i="1"/>
  <c r="W53" i="1" s="1"/>
  <c r="T36" i="1"/>
  <c r="Y36" i="1" s="1"/>
  <c r="L29" i="1"/>
  <c r="M29" i="1" s="1"/>
  <c r="L27" i="1"/>
  <c r="L26" i="1"/>
  <c r="M26" i="1" s="1"/>
  <c r="T19" i="1"/>
  <c r="Y19" i="1" s="1"/>
  <c r="U19" i="1"/>
  <c r="Z19" i="1" s="1"/>
  <c r="U15" i="1"/>
  <c r="Z15" i="1" s="1"/>
  <c r="R15" i="1"/>
  <c r="W15" i="1" s="1"/>
  <c r="T12" i="1"/>
  <c r="Y12" i="1" s="1"/>
  <c r="T11" i="1"/>
  <c r="Y11" i="1" s="1"/>
  <c r="U10" i="1"/>
  <c r="Z10" i="1" s="1"/>
  <c r="R35" i="1"/>
  <c r="W35" i="1" s="1"/>
  <c r="L57" i="1"/>
  <c r="M57" i="1" s="1"/>
  <c r="U56" i="1"/>
  <c r="Z56" i="1" s="1"/>
  <c r="L41" i="1"/>
  <c r="M41" i="1" s="1"/>
  <c r="U40" i="1"/>
  <c r="Z40" i="1" s="1"/>
  <c r="R37" i="1"/>
  <c r="W37" i="1" s="1"/>
  <c r="L38" i="1"/>
  <c r="M38" i="1" s="1"/>
  <c r="R42" i="1"/>
  <c r="W42" i="1" s="1"/>
  <c r="L30" i="1"/>
  <c r="M30" i="1" s="1"/>
  <c r="Q30" i="1" s="1"/>
  <c r="AA30" i="1" s="1"/>
  <c r="L16" i="1"/>
  <c r="M16" i="1" s="1"/>
  <c r="Q16" i="1" s="1"/>
  <c r="L10" i="1"/>
  <c r="M10" i="1" s="1"/>
  <c r="L53" i="1"/>
  <c r="M53" i="1" s="1"/>
  <c r="L45" i="1"/>
  <c r="M45" i="1" s="1"/>
  <c r="T46" i="1"/>
  <c r="Y46" i="1" s="1"/>
  <c r="AH8" i="2"/>
  <c r="AH16" i="2"/>
  <c r="W8" i="2"/>
  <c r="AH33" i="2"/>
  <c r="AH26" i="2"/>
  <c r="AH32" i="2"/>
  <c r="AH29" i="2"/>
  <c r="AH12" i="2"/>
  <c r="K48" i="3"/>
  <c r="J22" i="3"/>
  <c r="J18" i="3"/>
  <c r="J14" i="3"/>
  <c r="O28" i="4"/>
  <c r="O33" i="4"/>
  <c r="U33" i="4" s="1"/>
  <c r="AC33" i="4" s="1"/>
  <c r="O15" i="4"/>
  <c r="W15" i="4" s="1"/>
  <c r="AE15" i="4" s="1"/>
  <c r="O32" i="4"/>
  <c r="U32" i="4" s="1"/>
  <c r="AC32" i="4" s="1"/>
  <c r="O14" i="4"/>
  <c r="U14" i="4" s="1"/>
  <c r="AC14" i="4" s="1"/>
  <c r="S11" i="4"/>
  <c r="AA11" i="4" s="1"/>
  <c r="W28" i="4"/>
  <c r="AE28" i="4" s="1"/>
  <c r="U28" i="4"/>
  <c r="AC28" i="4" s="1"/>
  <c r="O23" i="4"/>
  <c r="W23" i="4" s="1"/>
  <c r="AE23" i="4" s="1"/>
  <c r="S18" i="4"/>
  <c r="AA18" i="4" s="1"/>
  <c r="O13" i="4"/>
  <c r="U13" i="4" s="1"/>
  <c r="AC13" i="4" s="1"/>
  <c r="O18" i="4"/>
  <c r="U18" i="4" s="1"/>
  <c r="S31" i="4"/>
  <c r="AA31" i="4" s="1"/>
  <c r="S27" i="4"/>
  <c r="AA27" i="4" s="1"/>
  <c r="O30" i="4"/>
  <c r="U30" i="4" s="1"/>
  <c r="AC30" i="4" s="1"/>
  <c r="O26" i="4"/>
  <c r="W26" i="4" s="1"/>
  <c r="O25" i="4"/>
  <c r="W25" i="4" s="1"/>
  <c r="AE25" i="4" s="1"/>
  <c r="S24" i="4"/>
  <c r="AA24" i="4" s="1"/>
  <c r="O11" i="4"/>
  <c r="U11" i="4" s="1"/>
  <c r="AC11" i="4" s="1"/>
  <c r="O24" i="4"/>
  <c r="S32" i="4"/>
  <c r="AA32" i="4" s="1"/>
  <c r="O31" i="4"/>
  <c r="U31" i="4" s="1"/>
  <c r="AC31" i="4" s="1"/>
  <c r="O29" i="4"/>
  <c r="W29" i="4" s="1"/>
  <c r="AE29" i="4" s="1"/>
  <c r="S28" i="4"/>
  <c r="AA28" i="4" s="1"/>
  <c r="O27" i="4"/>
  <c r="U27" i="4" s="1"/>
  <c r="AC27" i="4" s="1"/>
  <c r="O17" i="4"/>
  <c r="U17" i="4" s="1"/>
  <c r="AC17" i="4" s="1"/>
  <c r="S15" i="4"/>
  <c r="AA15" i="4" s="1"/>
  <c r="S33" i="4"/>
  <c r="AA33" i="4" s="1"/>
  <c r="R33" i="4"/>
  <c r="U23" i="4"/>
  <c r="AC23" i="4" s="1"/>
  <c r="V16" i="4"/>
  <c r="AD16" i="4" s="1"/>
  <c r="O16" i="4"/>
  <c r="Z10" i="4"/>
  <c r="S14" i="4"/>
  <c r="AA14" i="4" s="1"/>
  <c r="X13" i="4"/>
  <c r="W10" i="4"/>
  <c r="AE10" i="4" s="1"/>
  <c r="S30" i="4"/>
  <c r="AA30" i="4" s="1"/>
  <c r="S29" i="4"/>
  <c r="AA29" i="4" s="1"/>
  <c r="S25" i="4"/>
  <c r="AA25" i="4" s="1"/>
  <c r="R23" i="4"/>
  <c r="S23" i="4"/>
  <c r="AA23" i="4" s="1"/>
  <c r="R22" i="4"/>
  <c r="Z22" i="4" s="1"/>
  <c r="S22" i="4"/>
  <c r="AA22" i="4" s="1"/>
  <c r="R17" i="4"/>
  <c r="S17" i="4"/>
  <c r="AA17" i="4" s="1"/>
  <c r="R16" i="4"/>
  <c r="Z16" i="4" s="1"/>
  <c r="S16" i="4"/>
  <c r="AA16" i="4" s="1"/>
  <c r="Z14" i="4"/>
  <c r="R13" i="4"/>
  <c r="Z13" i="4" s="1"/>
  <c r="S13" i="4"/>
  <c r="AA13" i="4" s="1"/>
  <c r="R12" i="4"/>
  <c r="Z12" i="4" s="1"/>
  <c r="S12" i="4"/>
  <c r="AA12" i="4" s="1"/>
  <c r="S26" i="4"/>
  <c r="AA26" i="4" s="1"/>
  <c r="V22" i="4"/>
  <c r="AD22" i="4" s="1"/>
  <c r="O22" i="4"/>
  <c r="R31" i="4"/>
  <c r="R27" i="4"/>
  <c r="R15" i="4"/>
  <c r="O12" i="4"/>
  <c r="R11" i="4"/>
  <c r="S10" i="4"/>
  <c r="AA10" i="4" s="1"/>
  <c r="J15" i="3"/>
  <c r="J26" i="3"/>
  <c r="K44" i="3"/>
  <c r="K40" i="3"/>
  <c r="K36" i="3"/>
  <c r="J13" i="3"/>
  <c r="K49" i="3"/>
  <c r="K34" i="3"/>
  <c r="J20" i="3"/>
  <c r="K46" i="3"/>
  <c r="K41" i="3"/>
  <c r="K37" i="3"/>
  <c r="K33" i="3"/>
  <c r="K47" i="3"/>
  <c r="K42" i="3"/>
  <c r="K38" i="3"/>
  <c r="K43" i="3"/>
  <c r="K39" i="3"/>
  <c r="K35" i="3"/>
  <c r="J25" i="3"/>
  <c r="J17" i="3"/>
  <c r="J9" i="3"/>
  <c r="J21" i="3"/>
  <c r="J24" i="3"/>
  <c r="J8" i="3"/>
  <c r="K7" i="3"/>
  <c r="J12" i="3"/>
  <c r="K16" i="3"/>
  <c r="K27" i="3"/>
  <c r="K23" i="3"/>
  <c r="K19" i="3"/>
  <c r="K11" i="3"/>
  <c r="AH7" i="2"/>
  <c r="X32" i="2"/>
  <c r="X29" i="2"/>
  <c r="AH25" i="2"/>
  <c r="AH15" i="2"/>
  <c r="X12" i="2"/>
  <c r="AH28" i="2"/>
  <c r="AH19" i="2"/>
  <c r="AH11" i="2"/>
  <c r="Y34" i="2"/>
  <c r="AH34" i="2"/>
  <c r="Y17" i="2"/>
  <c r="AH17" i="2"/>
  <c r="W41" i="2"/>
  <c r="AH41" i="2"/>
  <c r="W39" i="2"/>
  <c r="AH39" i="2"/>
  <c r="AH37" i="2"/>
  <c r="Y42" i="2"/>
  <c r="AH42" i="2"/>
  <c r="Y9" i="2"/>
  <c r="AH9" i="2"/>
  <c r="Y30" i="2"/>
  <c r="AH30" i="2"/>
  <c r="Y21" i="2"/>
  <c r="AH21" i="2"/>
  <c r="Y13" i="2"/>
  <c r="AH13" i="2"/>
  <c r="AH40" i="2"/>
  <c r="W40" i="2"/>
  <c r="AH38" i="2"/>
  <c r="W38" i="2"/>
  <c r="AE36" i="2"/>
  <c r="AH36" i="2"/>
  <c r="AH35" i="2"/>
  <c r="AH31" i="2"/>
  <c r="AH27" i="2"/>
  <c r="AH14" i="2"/>
  <c r="AH10" i="2"/>
  <c r="Y7" i="2"/>
  <c r="T35" i="1"/>
  <c r="Y35" i="1" s="1"/>
  <c r="U23" i="1"/>
  <c r="Z23" i="1" s="1"/>
  <c r="U17" i="1"/>
  <c r="Z17" i="1" s="1"/>
  <c r="U27" i="1"/>
  <c r="Z27" i="1" s="1"/>
  <c r="T14" i="1"/>
  <c r="Y14" i="1" s="1"/>
  <c r="U31" i="1"/>
  <c r="Z31" i="1" s="1"/>
  <c r="T24" i="1"/>
  <c r="Y24" i="1" s="1"/>
  <c r="T21" i="1"/>
  <c r="Y21" i="1" s="1"/>
  <c r="T18" i="1"/>
  <c r="Y18" i="1" s="1"/>
  <c r="L15" i="1"/>
  <c r="M15" i="1" s="1"/>
  <c r="T28" i="1"/>
  <c r="Y28" i="1" s="1"/>
  <c r="U13" i="1"/>
  <c r="Z13" i="1" s="1"/>
  <c r="T10" i="1"/>
  <c r="Y10" i="1" s="1"/>
  <c r="R9" i="1"/>
  <c r="W9" i="1" s="1"/>
  <c r="U9" i="1"/>
  <c r="Z9" i="1" s="1"/>
  <c r="T9" i="1"/>
  <c r="Y9" i="1" s="1"/>
  <c r="L9" i="1"/>
  <c r="O9" i="4"/>
  <c r="W9" i="4" s="1"/>
  <c r="AE9" i="4" s="1"/>
  <c r="S9" i="4"/>
  <c r="AA9" i="4" s="1"/>
  <c r="R9" i="4"/>
  <c r="Z9" i="4" s="1"/>
  <c r="V9" i="4"/>
  <c r="AD9" i="4" s="1"/>
  <c r="V63" i="1" l="1"/>
  <c r="AA63" i="1"/>
  <c r="AA62" i="1"/>
  <c r="V62" i="1"/>
  <c r="V19" i="1"/>
  <c r="AA19" i="1"/>
  <c r="V55" i="1"/>
  <c r="AA55" i="1"/>
  <c r="V64" i="1"/>
  <c r="AA64" i="1"/>
  <c r="V16" i="1"/>
  <c r="AA16" i="1"/>
  <c r="V12" i="1"/>
  <c r="AA12" i="1"/>
  <c r="AA49" i="1"/>
  <c r="V49" i="1"/>
  <c r="V31" i="1"/>
  <c r="AA31" i="1"/>
  <c r="AA61" i="1"/>
  <c r="V61" i="1"/>
  <c r="V60" i="1"/>
  <c r="AA60" i="1"/>
  <c r="V30" i="1"/>
  <c r="M28" i="1"/>
  <c r="Q28" i="1" s="1"/>
  <c r="AA28" i="1" s="1"/>
  <c r="M51" i="1"/>
  <c r="Q51" i="1" s="1"/>
  <c r="M23" i="1"/>
  <c r="M9" i="1"/>
  <c r="Q9" i="1" s="1"/>
  <c r="M27" i="1"/>
  <c r="Q13" i="1"/>
  <c r="AA13" i="1" s="1"/>
  <c r="Q59" i="1"/>
  <c r="Q37" i="1"/>
  <c r="Q17" i="1"/>
  <c r="AA17" i="1" s="1"/>
  <c r="Q25" i="1"/>
  <c r="AA25" i="1" s="1"/>
  <c r="Q43" i="1"/>
  <c r="Q18" i="1"/>
  <c r="AA18" i="1" s="1"/>
  <c r="Q10" i="1"/>
  <c r="AA10" i="1" s="1"/>
  <c r="Q35" i="1"/>
  <c r="Q22" i="1"/>
  <c r="AA22" i="1" s="1"/>
  <c r="Q45" i="1"/>
  <c r="Q42" i="1"/>
  <c r="Q58" i="1"/>
  <c r="Q36" i="1"/>
  <c r="Q38" i="1"/>
  <c r="Q26" i="1"/>
  <c r="AA26" i="1" s="1"/>
  <c r="Q50" i="1"/>
  <c r="Q52" i="1"/>
  <c r="Q41" i="1"/>
  <c r="Q57" i="1"/>
  <c r="Q39" i="1"/>
  <c r="Q47" i="1"/>
  <c r="Q48" i="1"/>
  <c r="Q54" i="1"/>
  <c r="Q21" i="1"/>
  <c r="AA21" i="1" s="1"/>
  <c r="Q53" i="1"/>
  <c r="Q40" i="1"/>
  <c r="Q56" i="1"/>
  <c r="Q14" i="1"/>
  <c r="AA14" i="1" s="1"/>
  <c r="Q46" i="1"/>
  <c r="Q20" i="1"/>
  <c r="AA20" i="1" s="1"/>
  <c r="Q24" i="1"/>
  <c r="AA24" i="1" s="1"/>
  <c r="Q44" i="1"/>
  <c r="U15" i="4"/>
  <c r="AC15" i="4" s="1"/>
  <c r="W11" i="4"/>
  <c r="AE11" i="4" s="1"/>
  <c r="W33" i="4"/>
  <c r="AE33" i="4" s="1"/>
  <c r="W32" i="4"/>
  <c r="AE32" i="4" s="1"/>
  <c r="U26" i="4"/>
  <c r="AC26" i="4" s="1"/>
  <c r="W14" i="4"/>
  <c r="AE14" i="4" s="1"/>
  <c r="U25" i="4"/>
  <c r="AC25" i="4" s="1"/>
  <c r="W13" i="4"/>
  <c r="AE13" i="4" s="1"/>
  <c r="W27" i="4"/>
  <c r="AE27" i="4" s="1"/>
  <c r="W30" i="4"/>
  <c r="AE30" i="4" s="1"/>
  <c r="AE26" i="4"/>
  <c r="AC18" i="4"/>
  <c r="W17" i="4"/>
  <c r="AE17" i="4" s="1"/>
  <c r="U29" i="4"/>
  <c r="AC29" i="4" s="1"/>
  <c r="W18" i="4"/>
  <c r="AE18" i="4" s="1"/>
  <c r="W31" i="4"/>
  <c r="AE31" i="4" s="1"/>
  <c r="W24" i="4"/>
  <c r="AE24" i="4" s="1"/>
  <c r="U24" i="4"/>
  <c r="AC24" i="4" s="1"/>
  <c r="Z15" i="4"/>
  <c r="Z31" i="4"/>
  <c r="W22" i="4"/>
  <c r="AE22" i="4" s="1"/>
  <c r="U22" i="4"/>
  <c r="Z23" i="4"/>
  <c r="W16" i="4"/>
  <c r="AE16" i="4" s="1"/>
  <c r="U16" i="4"/>
  <c r="AC16" i="4" s="1"/>
  <c r="Z33" i="4"/>
  <c r="Z11" i="4"/>
  <c r="W12" i="4"/>
  <c r="AE12" i="4" s="1"/>
  <c r="U12" i="4"/>
  <c r="Z27" i="4"/>
  <c r="Z17" i="4"/>
  <c r="Q15" i="1"/>
  <c r="AA15" i="1" s="1"/>
  <c r="Q11" i="1"/>
  <c r="AA11" i="1" s="1"/>
  <c r="Q29" i="1"/>
  <c r="AA29" i="1" s="1"/>
  <c r="U9" i="4"/>
  <c r="AC9" i="4" s="1"/>
  <c r="V48" i="1" l="1"/>
  <c r="AA48" i="1"/>
  <c r="V44" i="1"/>
  <c r="AA44" i="1"/>
  <c r="V51" i="1"/>
  <c r="AA51" i="1"/>
  <c r="AA53" i="1"/>
  <c r="V53" i="1"/>
  <c r="V47" i="1"/>
  <c r="AA47" i="1"/>
  <c r="V52" i="1"/>
  <c r="AA52" i="1"/>
  <c r="V36" i="1"/>
  <c r="AA36" i="1"/>
  <c r="V43" i="1"/>
  <c r="AA43" i="1"/>
  <c r="V59" i="1"/>
  <c r="AA59" i="1"/>
  <c r="AA46" i="1"/>
  <c r="V46" i="1"/>
  <c r="AA38" i="1"/>
  <c r="V38" i="1"/>
  <c r="V9" i="1"/>
  <c r="AA9" i="1"/>
  <c r="V39" i="1"/>
  <c r="AA39" i="1"/>
  <c r="AA50" i="1"/>
  <c r="V50" i="1"/>
  <c r="AA58" i="1"/>
  <c r="V58" i="1"/>
  <c r="AA35" i="1"/>
  <c r="V35" i="1"/>
  <c r="V40" i="1"/>
  <c r="AA40" i="1"/>
  <c r="AA41" i="1"/>
  <c r="V41" i="1"/>
  <c r="AA45" i="1"/>
  <c r="V45" i="1"/>
  <c r="AA37" i="1"/>
  <c r="V37" i="1"/>
  <c r="V56" i="1"/>
  <c r="AA56" i="1"/>
  <c r="AA54" i="1"/>
  <c r="V54" i="1"/>
  <c r="AA57" i="1"/>
  <c r="V57" i="1"/>
  <c r="AA42" i="1"/>
  <c r="V42" i="1"/>
  <c r="V29" i="1"/>
  <c r="V24" i="1"/>
  <c r="V14" i="1"/>
  <c r="V21" i="1"/>
  <c r="V26" i="1"/>
  <c r="V10" i="1"/>
  <c r="V17" i="1"/>
  <c r="V18" i="1"/>
  <c r="V13" i="1"/>
  <c r="V28" i="1"/>
  <c r="V20" i="1"/>
  <c r="V25" i="1"/>
  <c r="V11" i="1"/>
  <c r="V15" i="1"/>
  <c r="V22" i="1"/>
  <c r="Q23" i="1"/>
  <c r="AA23" i="1" s="1"/>
  <c r="Q27" i="1"/>
  <c r="AA27" i="1" s="1"/>
  <c r="AC22" i="4"/>
  <c r="AC12" i="4"/>
  <c r="V27" i="1" l="1"/>
  <c r="V23" i="1"/>
</calcChain>
</file>

<file path=xl/sharedStrings.xml><?xml version="1.0" encoding="utf-8"?>
<sst xmlns="http://schemas.openxmlformats.org/spreadsheetml/2006/main" count="427" uniqueCount="217">
  <si>
    <t>x1</t>
  </si>
  <si>
    <t>x2</t>
  </si>
  <si>
    <t>x3</t>
  </si>
  <si>
    <t>x4</t>
  </si>
  <si>
    <t>Ref</t>
  </si>
  <si>
    <t>t</t>
  </si>
  <si>
    <t>R</t>
  </si>
  <si>
    <t>J</t>
  </si>
  <si>
    <t>M</t>
  </si>
  <si>
    <t>σ(x)</t>
  </si>
  <si>
    <t>τ'</t>
  </si>
  <si>
    <t>τ</t>
  </si>
  <si>
    <t>τ''</t>
  </si>
  <si>
    <t>L</t>
  </si>
  <si>
    <t>P</t>
  </si>
  <si>
    <t>G</t>
  </si>
  <si>
    <t>E</t>
  </si>
  <si>
    <t>δ_max</t>
  </si>
  <si>
    <t>τ_max</t>
  </si>
  <si>
    <t>σ_max</t>
  </si>
  <si>
    <t>G1</t>
  </si>
  <si>
    <t>G2</t>
  </si>
  <si>
    <t>G3</t>
  </si>
  <si>
    <t>G4</t>
  </si>
  <si>
    <t>G5</t>
  </si>
  <si>
    <t>G6</t>
  </si>
  <si>
    <t>δ(x)</t>
  </si>
  <si>
    <t>Pc (x)</t>
  </si>
  <si>
    <t>f2</t>
  </si>
  <si>
    <t>f1</t>
  </si>
  <si>
    <t>Constraint Errors</t>
  </si>
  <si>
    <t>x5</t>
  </si>
  <si>
    <t>x6</t>
  </si>
  <si>
    <t>x7</t>
  </si>
  <si>
    <t>G7</t>
  </si>
  <si>
    <t>G8</t>
  </si>
  <si>
    <t>G9</t>
  </si>
  <si>
    <t>G10</t>
  </si>
  <si>
    <t>G11</t>
  </si>
  <si>
    <t>NA</t>
  </si>
  <si>
    <t>X1</t>
  </si>
  <si>
    <t>X2</t>
  </si>
  <si>
    <t>X3</t>
  </si>
  <si>
    <t>X4</t>
  </si>
  <si>
    <t>X5</t>
  </si>
  <si>
    <t>G(x)</t>
  </si>
  <si>
    <t>WOA-DE</t>
  </si>
  <si>
    <t xml:space="preserve">SMA2 </t>
  </si>
  <si>
    <t>delta_r</t>
  </si>
  <si>
    <t>μ</t>
  </si>
  <si>
    <t>Pmax</t>
  </si>
  <si>
    <t>Lmax</t>
  </si>
  <si>
    <t>Vsrmax</t>
  </si>
  <si>
    <t>s</t>
  </si>
  <si>
    <t>Tmax</t>
  </si>
  <si>
    <t>n</t>
  </si>
  <si>
    <t>Ms</t>
  </si>
  <si>
    <t>Mf</t>
  </si>
  <si>
    <t>Lz</t>
  </si>
  <si>
    <t>δ</t>
  </si>
  <si>
    <t>_p</t>
  </si>
  <si>
    <t>ro</t>
  </si>
  <si>
    <t>ri</t>
  </si>
  <si>
    <t>F</t>
  </si>
  <si>
    <t>Z</t>
  </si>
  <si>
    <t>Mh</t>
  </si>
  <si>
    <t>w</t>
  </si>
  <si>
    <t>A</t>
  </si>
  <si>
    <t>Prz</t>
  </si>
  <si>
    <t>Vsr</t>
  </si>
  <si>
    <t>Rsr</t>
  </si>
  <si>
    <t>T</t>
  </si>
  <si>
    <t xml:space="preserve">ADRANS </t>
  </si>
  <si>
    <t>APPROX</t>
  </si>
  <si>
    <t>DAVID</t>
  </si>
  <si>
    <t>MEMGRD</t>
  </si>
  <si>
    <t>SEEK1</t>
  </si>
  <si>
    <t>SEEK3</t>
  </si>
  <si>
    <t>SIMPLX</t>
  </si>
  <si>
    <t>SA</t>
  </si>
  <si>
    <t>PSO</t>
  </si>
  <si>
    <t>HS</t>
  </si>
  <si>
    <t>GA</t>
  </si>
  <si>
    <t>FA</t>
  </si>
  <si>
    <t>TSA (Kaur et al. 2020)</t>
  </si>
  <si>
    <t>GPEAae (Gao et al. 2020)</t>
  </si>
  <si>
    <t>SA (Ray 2003)</t>
  </si>
  <si>
    <t>CSO (Meng et al. 2014)</t>
  </si>
  <si>
    <t>SC (Ray and Liew 2003)</t>
  </si>
  <si>
    <t>Deterministic1 (Lin et al. 2013)</t>
  </si>
  <si>
    <t>Deterministic2 (Yuan et al. 2017)</t>
  </si>
  <si>
    <t>MAL-DE (Long et al. 2013)</t>
  </si>
  <si>
    <t>DSS-MDE (Zhang et al. 2008)</t>
  </si>
  <si>
    <t>SBSM (Akhtar et al. 2002)</t>
  </si>
  <si>
    <t>GDE3 (Adekanmbi and Green 2015)</t>
  </si>
  <si>
    <t>N/A</t>
  </si>
  <si>
    <t>non-linear  programming (Svanberg 1987)</t>
  </si>
  <si>
    <t>Constants Values</t>
  </si>
  <si>
    <t>Design variables and cost function of algorithms that contain errors in their mathematical equations for MDCBD problem associated with their constraint penalty and constraint errors</t>
  </si>
  <si>
    <r>
      <t xml:space="preserve">C-ITGO </t>
    </r>
    <r>
      <rPr>
        <sz val="11"/>
        <rFont val="Calibri"/>
        <family val="2"/>
        <scheme val="minor"/>
      </rPr>
      <t>(Ferreira et al. 2018)</t>
    </r>
  </si>
  <si>
    <r>
      <t xml:space="preserve">COOT </t>
    </r>
    <r>
      <rPr>
        <sz val="11"/>
        <rFont val="Calibri"/>
        <family val="2"/>
      </rPr>
      <t>(Naruei and Keynia 2021)</t>
    </r>
  </si>
  <si>
    <r>
      <t xml:space="preserve">CSMA </t>
    </r>
    <r>
      <rPr>
        <sz val="11"/>
        <rFont val="Calibri"/>
        <family val="2"/>
        <scheme val="minor"/>
      </rPr>
      <t>(Dhawale et al. 2021)</t>
    </r>
  </si>
  <si>
    <r>
      <t xml:space="preserve">DAPSO-GA </t>
    </r>
    <r>
      <rPr>
        <sz val="11"/>
        <rFont val="Calibri"/>
        <family val="2"/>
        <scheme val="minor"/>
      </rPr>
      <t>(Zhu et al. 2019)</t>
    </r>
  </si>
  <si>
    <r>
      <t xml:space="preserve">TLMPA </t>
    </r>
    <r>
      <rPr>
        <sz val="11"/>
        <rFont val="Calibri"/>
        <family val="2"/>
        <scheme val="minor"/>
      </rPr>
      <t>(Zhong et al. 2021)</t>
    </r>
  </si>
  <si>
    <r>
      <t xml:space="preserve">FSO </t>
    </r>
    <r>
      <rPr>
        <sz val="11"/>
        <rFont val="Calibri"/>
        <family val="2"/>
        <scheme val="minor"/>
      </rPr>
      <t>(Azizyan et al. 2019)</t>
    </r>
  </si>
  <si>
    <r>
      <t xml:space="preserve">HHO </t>
    </r>
    <r>
      <rPr>
        <sz val="11"/>
        <rFont val="Calibri"/>
        <family val="2"/>
        <scheme val="minor"/>
      </rPr>
      <t>(Heidari et al. 2019)</t>
    </r>
  </si>
  <si>
    <r>
      <t xml:space="preserve">WSOA </t>
    </r>
    <r>
      <rPr>
        <sz val="11"/>
        <rFont val="Calibri"/>
        <family val="2"/>
        <scheme val="minor"/>
      </rPr>
      <t>(Che and He 2021)</t>
    </r>
  </si>
  <si>
    <t>HGS (Yang et al. 2021)</t>
  </si>
  <si>
    <t>RFO (Połap and Woźniak 2021)</t>
  </si>
  <si>
    <r>
      <t xml:space="preserve">WCA </t>
    </r>
    <r>
      <rPr>
        <sz val="11"/>
        <rFont val="Calibri"/>
        <family val="2"/>
        <scheme val="minor"/>
      </rPr>
      <t>(Eskandar et al. 2012)</t>
    </r>
  </si>
  <si>
    <r>
      <t xml:space="preserve">NSGA-II </t>
    </r>
    <r>
      <rPr>
        <sz val="11"/>
        <rFont val="Calibri"/>
        <family val="2"/>
        <scheme val="minor"/>
      </rPr>
      <t>(Deb and Srinivasan 2006a)</t>
    </r>
  </si>
  <si>
    <r>
      <t xml:space="preserve">TLBO-ABC </t>
    </r>
    <r>
      <rPr>
        <sz val="11"/>
        <rFont val="Calibri"/>
        <family val="2"/>
        <scheme val="minor"/>
      </rPr>
      <t>(Rao, Savsani, and Vakharia 2011)</t>
    </r>
  </si>
  <si>
    <r>
      <t xml:space="preserve">[I]PSO </t>
    </r>
    <r>
      <rPr>
        <sz val="11"/>
        <rFont val="Calibri"/>
        <family val="2"/>
        <scheme val="minor"/>
      </rPr>
      <t>(Machado-Coelho et al. 2017)</t>
    </r>
  </si>
  <si>
    <r>
      <t xml:space="preserve">AEO </t>
    </r>
    <r>
      <rPr>
        <sz val="11"/>
        <rFont val="Calibri"/>
        <family val="2"/>
        <scheme val="minor"/>
      </rPr>
      <t>(Zhao et al. 2019)</t>
    </r>
  </si>
  <si>
    <r>
      <t xml:space="preserve">I-ABC greedy </t>
    </r>
    <r>
      <rPr>
        <sz val="11"/>
        <rFont val="Calibri"/>
        <family val="2"/>
        <scheme val="minor"/>
      </rPr>
      <t>(Sharma and Abraham 2019)</t>
    </r>
  </si>
  <si>
    <r>
      <t>HBO1</t>
    </r>
    <r>
      <rPr>
        <sz val="11"/>
        <rFont val="Calibri"/>
        <family val="2"/>
        <scheme val="minor"/>
      </rPr>
      <t>(Askari, Saeed, et al. 2020)</t>
    </r>
  </si>
  <si>
    <r>
      <t>HBO2</t>
    </r>
    <r>
      <rPr>
        <sz val="11"/>
        <rFont val="Calibri"/>
        <family val="2"/>
        <scheme val="minor"/>
      </rPr>
      <t>(Askari, Saeed, et al. 2020)</t>
    </r>
  </si>
  <si>
    <r>
      <t xml:space="preserve">CMVO </t>
    </r>
    <r>
      <rPr>
        <sz val="11"/>
        <rFont val="Calibri"/>
        <family val="2"/>
        <scheme val="minor"/>
      </rPr>
      <t>(Sayed et al. 2018)</t>
    </r>
  </si>
  <si>
    <r>
      <t xml:space="preserve">PVS </t>
    </r>
    <r>
      <rPr>
        <sz val="11"/>
        <rFont val="Calibri"/>
        <family val="2"/>
        <scheme val="minor"/>
      </rPr>
      <t>(Savsani and Savsani 2016)</t>
    </r>
  </si>
  <si>
    <r>
      <t xml:space="preserve">DTSMA </t>
    </r>
    <r>
      <rPr>
        <sz val="11"/>
        <rFont val="Calibri"/>
        <family val="2"/>
        <scheme val="minor"/>
      </rPr>
      <t>(Yin et al. 2022)</t>
    </r>
  </si>
  <si>
    <r>
      <t xml:space="preserve">MGA </t>
    </r>
    <r>
      <rPr>
        <sz val="11"/>
        <rFont val="Calibri"/>
        <family val="2"/>
        <scheme val="minor"/>
      </rPr>
      <t>(Talatahari et al. 2021)</t>
    </r>
  </si>
  <si>
    <t>Constraints values</t>
  </si>
  <si>
    <t>Constraints Penalty</t>
  </si>
  <si>
    <t>Sum of the Constraint Errors</t>
  </si>
  <si>
    <t>Design variables and cost function of algorithms that the correct formula in their mathematical equations for MDCBD problem associated with their constraint penalty and constraint errors</t>
  </si>
  <si>
    <t>The produced value for each variable in each algorithm</t>
  </si>
  <si>
    <t>Algorithms</t>
  </si>
  <si>
    <t>Design variables and cost function of algorithms that contain errors in their mathematical equations for CBD problem associated with their constraint penalty and constraint errors</t>
  </si>
  <si>
    <t>COOT (Naruei and Keynia 2021)</t>
  </si>
  <si>
    <t>LAPO (Nematollahi et al. 2017)</t>
  </si>
  <si>
    <t>QBSBO (Zhang et al. 2020)</t>
  </si>
  <si>
    <t>CS-PSO (Kumar et al. 2021)</t>
  </si>
  <si>
    <t>WOA-BSA  (Tong 2020)</t>
  </si>
  <si>
    <t>MVO (Mirjalili et al. 2015)</t>
  </si>
  <si>
    <t>DOA (Peraza-Vázquez et al. 2021)</t>
  </si>
  <si>
    <t>DTSMA (Yin et al. 2022)</t>
  </si>
  <si>
    <t>GOA (Saremi et al. 2017)</t>
  </si>
  <si>
    <t>ALO (Mirjalili 2015b)</t>
  </si>
  <si>
    <t>GCHHO (Song et al. 2021)</t>
  </si>
  <si>
    <t>WLSSA (Ren et al. 2021)</t>
  </si>
  <si>
    <t>IMFO (Pelusi et al. 2020)</t>
  </si>
  <si>
    <t>MFO (Mirjalili 2015a)</t>
  </si>
  <si>
    <t>SMA1 (Li et al. 2020)</t>
  </si>
  <si>
    <t>CSMA (Dhawale et al. 2021)</t>
  </si>
  <si>
    <t>CWCA (Zhou et al. 2021)</t>
  </si>
  <si>
    <t>IMPFA (Tang et al. 2021)</t>
  </si>
  <si>
    <t>MGA (Talatahari et al. 2021)</t>
  </si>
  <si>
    <t>IAS (Jahangiri et al. 2020)</t>
  </si>
  <si>
    <t>GPEAae (Gao et al. 2020) (NA)</t>
  </si>
  <si>
    <t>AEO (Zhao et al. 2019)</t>
  </si>
  <si>
    <t>SOS (Cheng and Prayogo 2014)</t>
  </si>
  <si>
    <t>SNS (Bayzidi et al. 2021)</t>
  </si>
  <si>
    <t>IMOEA (ARAB, RAYENI, and GHASEMI 2021)</t>
  </si>
  <si>
    <t>SSA (Mirjalili et al. 2017)</t>
  </si>
  <si>
    <t>ECOA (Zhang, Zhou, and Luo 2019)</t>
  </si>
  <si>
    <t>e-SOSBSA (Nama, Saha, and Sharma 2021)</t>
  </si>
  <si>
    <t>GCA (Chickermane and Gea 1996)</t>
  </si>
  <si>
    <t>MFA (Chou and Ngo 2017)</t>
  </si>
  <si>
    <t>MMA (Fleury 1993)</t>
  </si>
  <si>
    <t>MOPFA (Yapici and Cetinkaya 2019)</t>
  </si>
  <si>
    <t>RUN (Ahmadianfar et al. 2021)</t>
  </si>
  <si>
    <t>Design variables and cost function of algorithms that used the correct formula in their mathematical equations for CBD problem associated with their constraint penalty and constraint errors</t>
  </si>
  <si>
    <t>Design variables and cost function of algorithms that contain errors in their mathematical equations for SRD problem associated with their constraint penalty and constraint errors</t>
  </si>
  <si>
    <t>PO (Askari, Younas, et al. 2020)</t>
  </si>
  <si>
    <t>WOA (Hashim et al. 2020)</t>
  </si>
  <si>
    <t>AOA-1 (Hashim et al. 2020)</t>
  </si>
  <si>
    <t>I-ABC (Sharma and Abraham 2019)</t>
  </si>
  <si>
    <t>HBO (Askari, Saeed, et al. 2020)</t>
  </si>
  <si>
    <t>CMVO (Sayed et al. 2018)</t>
  </si>
  <si>
    <t>CS (Gandomi et al. 2011)</t>
  </si>
  <si>
    <t>PPA (Sulaiman et al. 2014)</t>
  </si>
  <si>
    <t>HPSODEPSR (Ali and Tawhid 2016)</t>
  </si>
  <si>
    <t>ICS (Bulatović et al. 2014)</t>
  </si>
  <si>
    <t>SASSA (Duan et al. 2021)</t>
  </si>
  <si>
    <t>ALLM (Azarm and Hassan 1986)</t>
  </si>
  <si>
    <t>AOA-2 (Abualigah et al. 2021)</t>
  </si>
  <si>
    <t>GA+Fminmaxc (Mehmood et al. 2016)</t>
  </si>
  <si>
    <t>DPF (Zheng and Zhang 1999)</t>
  </si>
  <si>
    <t>STOA (Dhiman and Kaur 2019)</t>
  </si>
  <si>
    <r>
      <t>APM</t>
    </r>
    <r>
      <rPr>
        <vertAlign val="superscript"/>
        <sz val="10"/>
        <rFont val="Calibri"/>
        <family val="2"/>
        <scheme val="minor"/>
      </rPr>
      <t>rc</t>
    </r>
    <r>
      <rPr>
        <sz val="10"/>
        <rFont val="Calibri"/>
        <family val="2"/>
        <scheme val="minor"/>
      </rPr>
      <t xml:space="preserve"> (Lemonge et al. 2010)</t>
    </r>
  </si>
  <si>
    <r>
      <t>AIS-AG</t>
    </r>
    <r>
      <rPr>
        <vertAlign val="superscript"/>
        <sz val="10"/>
        <rFont val="Calibri"/>
        <family val="2"/>
        <scheme val="minor"/>
      </rPr>
      <t>C</t>
    </r>
    <r>
      <rPr>
        <sz val="10"/>
        <rFont val="Calibri"/>
        <family val="2"/>
        <scheme val="minor"/>
      </rPr>
      <t xml:space="preserve"> (Bernardino et al. 2007)</t>
    </r>
  </si>
  <si>
    <t>Design variables and cost function of algorithms that used the correct formulas in their mathematical equations for SRD problem associated with their constraint penalty and constraint errors</t>
  </si>
  <si>
    <t>Constant Values</t>
  </si>
  <si>
    <t>x1 (h)</t>
  </si>
  <si>
    <t>x2 (l)</t>
  </si>
  <si>
    <t>x3 (t)</t>
  </si>
  <si>
    <t>x4 (b)</t>
  </si>
  <si>
    <t>PO(Askari, Younas, et al. 2020)</t>
  </si>
  <si>
    <t>MADE(Hamza et al. 2018)</t>
  </si>
  <si>
    <t>CGWO (Kohli and Arora 2018)</t>
  </si>
  <si>
    <t>GWO (Mirjalili et al. 2014)</t>
  </si>
  <si>
    <t>WOA (Mirjalili and Lewis 2016)</t>
  </si>
  <si>
    <t>FSO (Azizyan et al. 2019)</t>
  </si>
  <si>
    <t>HHO (Heidari et al. 2019)</t>
  </si>
  <si>
    <t>LFD (Houssein et al. 2020)</t>
  </si>
  <si>
    <t>I-ABC greedy (Sharma and Abraham 2019)</t>
  </si>
  <si>
    <t>CS (Yang and Deb 2010)</t>
  </si>
  <si>
    <t>FSA (Hedar and Fukushima 2006)</t>
  </si>
  <si>
    <t>SFO (Shadravan et al. 2019)</t>
  </si>
  <si>
    <t>WSA (Kaveh and Dadras Eslamlou 2020)</t>
  </si>
  <si>
    <t>GA (Deb 2012)</t>
  </si>
  <si>
    <t>RANDOM (Ragsdell and Phillips 1976)</t>
  </si>
  <si>
    <t>HS (Lee and Geem 2005)</t>
  </si>
  <si>
    <t>NSGA-II (Deb and Srinivasan 2006b)</t>
  </si>
  <si>
    <t>BA (Pham et al. 2009)</t>
  </si>
  <si>
    <t>non-probabilistic (Sun, Dong, and Xu 2009)</t>
  </si>
  <si>
    <t>ES (Ebrahimi 2015)</t>
  </si>
  <si>
    <t>SBSM(Akhtar, Tai, and Ray 2002)</t>
  </si>
  <si>
    <t>PSO (He, Prempain, and Wu 2007)</t>
  </si>
  <si>
    <r>
      <t>AIS-GA</t>
    </r>
    <r>
      <rPr>
        <vertAlign val="superscript"/>
        <sz val="10"/>
        <rFont val="Calibri"/>
        <family val="2"/>
        <scheme val="minor"/>
      </rPr>
      <t>C</t>
    </r>
    <r>
      <rPr>
        <sz val="10"/>
        <rFont val="Calibri"/>
        <family val="2"/>
        <scheme val="minor"/>
      </rPr>
      <t xml:space="preserve"> (Bernardino, Barbosa, and Lemonge 2007)</t>
    </r>
  </si>
  <si>
    <t>DSS-MDE (Zhang, Luo, and Wang 2008)</t>
  </si>
  <si>
    <t>RAER-DEPD (Zhang et al. 2009)</t>
  </si>
  <si>
    <t>Design variables and cost function of algorithms that contain errors in their mathematical equations for WBD problem associated with their constraint penalty and constraint errors</t>
  </si>
  <si>
    <r>
      <t xml:space="preserve">TSA </t>
    </r>
    <r>
      <rPr>
        <sz val="11"/>
        <rFont val="Calibri"/>
        <family val="2"/>
        <scheme val="minor"/>
      </rPr>
      <t>(Kaur et al. 2020)</t>
    </r>
  </si>
  <si>
    <t>I-GWO (Nadimi-Shahraki, Taghian, and Mirjalili 2021)</t>
  </si>
  <si>
    <t xml:space="preserve">WSA </t>
  </si>
  <si>
    <t>Design variables and cost function of algorithms that used the correct formulas in their mathematical equations for WBD problem associated with their constraint penalty and constraint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</si>
</sst>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"/>
    <numFmt numFmtId="165" formatCode="0.0000000000"/>
    <numFmt numFmtId="166" formatCode="0.00000000000"/>
    <numFmt numFmtId="167" formatCode="0.00000000000000"/>
    <numFmt numFmtId="168" formatCode="0.00000000"/>
    <numFmt numFmtId="169" formatCode="0.000000000000"/>
    <numFmt numFmtId="170" formatCode="0.000000000"/>
    <numFmt numFmtId="171" formatCode="0.000000000000000E+00"/>
  </numFmts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name val="T1-gul-regula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3" borderId="0" xfId="0" applyFill="1"/>
    <xf numFmtId="170" fontId="0" fillId="3" borderId="0" xfId="0" applyNumberFormat="1" applyFill="1" applyAlignment="1">
      <alignment horizontal="center"/>
    </xf>
    <xf numFmtId="170" fontId="0" fillId="3" borderId="0" xfId="0" applyNumberFormat="1" applyFill="1"/>
    <xf numFmtId="169" fontId="0" fillId="3" borderId="0" xfId="0" applyNumberFormat="1" applyFill="1"/>
    <xf numFmtId="171" fontId="0" fillId="3" borderId="0" xfId="0" applyNumberFormat="1" applyFill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0" fontId="1" fillId="5" borderId="3" xfId="0" applyFont="1" applyFill="1" applyBorder="1" applyAlignment="1">
      <alignment vertical="center"/>
    </xf>
    <xf numFmtId="0" fontId="4" fillId="3" borderId="0" xfId="0" applyFont="1" applyFill="1"/>
    <xf numFmtId="0" fontId="7" fillId="5" borderId="9" xfId="0" applyFont="1" applyFill="1" applyBorder="1" applyAlignment="1">
      <alignment horizontal="center"/>
    </xf>
    <xf numFmtId="0" fontId="1" fillId="5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wrapText="1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/>
    </xf>
    <xf numFmtId="171" fontId="11" fillId="0" borderId="5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3" fillId="0" borderId="5" xfId="0" applyFont="1" applyBorder="1"/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8" xfId="0" applyFont="1" applyBorder="1"/>
    <xf numFmtId="0" fontId="0" fillId="5" borderId="8" xfId="0" applyFill="1" applyBorder="1" applyAlignment="1">
      <alignment horizontal="center"/>
    </xf>
    <xf numFmtId="0" fontId="11" fillId="5" borderId="5" xfId="0" applyFont="1" applyFill="1" applyBorder="1" applyAlignment="1">
      <alignment vertical="center"/>
    </xf>
    <xf numFmtId="170" fontId="11" fillId="0" borderId="5" xfId="0" applyNumberFormat="1" applyFont="1" applyBorder="1" applyAlignment="1">
      <alignment horizontal="left" vertical="center"/>
    </xf>
    <xf numFmtId="169" fontId="11" fillId="0" borderId="5" xfId="0" applyNumberFormat="1" applyFont="1" applyBorder="1" applyAlignment="1">
      <alignment horizontal="left" vertical="center"/>
    </xf>
    <xf numFmtId="0" fontId="11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5" fillId="5" borderId="8" xfId="0" applyFont="1" applyFill="1" applyBorder="1"/>
    <xf numFmtId="0" fontId="5" fillId="5" borderId="5" xfId="0" applyFont="1" applyFill="1" applyBorder="1"/>
    <xf numFmtId="0" fontId="5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0" borderId="0" xfId="0" applyFont="1"/>
    <xf numFmtId="167" fontId="11" fillId="0" borderId="5" xfId="0" applyNumberFormat="1" applyFont="1" applyBorder="1" applyAlignment="1">
      <alignment horizontal="left" vertical="center"/>
    </xf>
    <xf numFmtId="165" fontId="11" fillId="0" borderId="5" xfId="0" applyNumberFormat="1" applyFont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167" fontId="0" fillId="3" borderId="0" xfId="0" applyNumberFormat="1" applyFill="1"/>
    <xf numFmtId="167" fontId="3" fillId="3" borderId="0" xfId="0" applyNumberFormat="1" applyFont="1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11" fillId="0" borderId="5" xfId="0" applyNumberFormat="1" applyFont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left" vertical="center"/>
    </xf>
    <xf numFmtId="169" fontId="11" fillId="0" borderId="5" xfId="0" applyNumberFormat="1" applyFont="1" applyBorder="1" applyAlignment="1">
      <alignment horizontal="left"/>
    </xf>
    <xf numFmtId="169" fontId="4" fillId="0" borderId="5" xfId="0" applyNumberFormat="1" applyFont="1" applyBorder="1"/>
    <xf numFmtId="169" fontId="4" fillId="0" borderId="8" xfId="0" applyNumberFormat="1" applyFont="1" applyBorder="1"/>
    <xf numFmtId="169" fontId="11" fillId="0" borderId="5" xfId="0" applyNumberFormat="1" applyFont="1" applyBorder="1" applyAlignment="1">
      <alignment horizontal="left" vertical="center" wrapText="1"/>
    </xf>
    <xf numFmtId="169" fontId="11" fillId="2" borderId="5" xfId="0" applyNumberFormat="1" applyFont="1" applyFill="1" applyBorder="1" applyAlignment="1">
      <alignment horizontal="left" vertical="center" wrapText="1"/>
    </xf>
    <xf numFmtId="169" fontId="11" fillId="2" borderId="5" xfId="0" applyNumberFormat="1" applyFont="1" applyFill="1" applyBorder="1" applyAlignment="1">
      <alignment horizontal="left" vertical="center"/>
    </xf>
    <xf numFmtId="169" fontId="11" fillId="0" borderId="11" xfId="0" applyNumberFormat="1" applyFont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169" fontId="11" fillId="0" borderId="8" xfId="0" applyNumberFormat="1" applyFont="1" applyBorder="1" applyAlignment="1">
      <alignment horizontal="left" vertical="center" wrapText="1"/>
    </xf>
    <xf numFmtId="169" fontId="6" fillId="0" borderId="5" xfId="0" applyNumberFormat="1" applyFont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11" fillId="5" borderId="0" xfId="0" applyFont="1" applyFill="1" applyAlignment="1">
      <alignment vertical="center"/>
    </xf>
    <xf numFmtId="169" fontId="11" fillId="0" borderId="0" xfId="0" applyNumberFormat="1" applyFont="1" applyAlignment="1">
      <alignment horizontal="left" vertical="center"/>
    </xf>
    <xf numFmtId="169" fontId="11" fillId="0" borderId="0" xfId="0" applyNumberFormat="1" applyFont="1" applyAlignment="1">
      <alignment horizontal="left" vertical="center" wrapText="1"/>
    </xf>
    <xf numFmtId="169" fontId="11" fillId="0" borderId="0" xfId="0" applyNumberFormat="1" applyFont="1" applyAlignment="1">
      <alignment horizontal="left"/>
    </xf>
    <xf numFmtId="17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0" fillId="4" borderId="5" xfId="0" applyFont="1" applyFill="1" applyBorder="1" applyAlignment="1">
      <alignment horizontal="center" vertical="center" wrapText="1"/>
    </xf>
    <xf numFmtId="167" fontId="5" fillId="4" borderId="5" xfId="0" applyNumberFormat="1" applyFont="1" applyFill="1" applyBorder="1" applyAlignment="1">
      <alignment horizontal="center" vertical="center"/>
    </xf>
    <xf numFmtId="165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169" fontId="11" fillId="0" borderId="5" xfId="0" applyNumberFormat="1" applyFont="1" applyFill="1" applyBorder="1" applyAlignment="1">
      <alignment horizontal="left" vertical="center"/>
    </xf>
    <xf numFmtId="167" fontId="11" fillId="0" borderId="5" xfId="0" applyNumberFormat="1" applyFont="1" applyFill="1" applyBorder="1" applyAlignment="1">
      <alignment horizontal="left" vertical="center"/>
    </xf>
    <xf numFmtId="165" fontId="11" fillId="0" borderId="5" xfId="0" applyNumberFormat="1" applyFont="1" applyFill="1" applyBorder="1" applyAlignment="1">
      <alignment horizontal="left" vertical="center"/>
    </xf>
    <xf numFmtId="16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358140</xdr:colOff>
      <xdr:row>9</xdr:row>
      <xdr:rowOff>53340</xdr:rowOff>
    </xdr:from>
    <xdr:to>
      <xdr:col>42</xdr:col>
      <xdr:colOff>73478</xdr:colOff>
      <xdr:row>33</xdr:row>
      <xdr:rowOff>167320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5B9AB123-7214-7232-6AA4-280406521722}"/>
            </a:ext>
          </a:extLst>
        </xdr:cNvPr>
        <xdr:cNvSpPr>
          <a:spLocks noChangeAspect="1" noChangeArrowheads="1"/>
        </xdr:cNvSpPr>
      </xdr:nvSpPr>
      <xdr:spPr bwMode="auto">
        <a:xfrm>
          <a:off x="10904220" y="1790700"/>
          <a:ext cx="9883140" cy="569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23A0-2F1D-4DD1-9E49-AE0BA9E01033}">
  <dimension ref="A1:AC64"/>
  <sheetViews>
    <sheetView tabSelected="1" topLeftCell="A52" zoomScaleNormal="100" workbookViewId="0">
      <selection activeCell="A40" sqref="A40:XFD40"/>
    </sheetView>
  </sheetViews>
  <sheetFormatPr defaultRowHeight="15"/>
  <cols>
    <col min="1" max="1" width="38.85546875" customWidth="1"/>
    <col min="2" max="3" width="12" bestFit="1" customWidth="1"/>
    <col min="4" max="4" width="11.5703125" bestFit="1" customWidth="1"/>
    <col min="5" max="5" width="11" customWidth="1"/>
    <col min="6" max="7" width="15.5703125" bestFit="1" customWidth="1"/>
    <col min="8" max="8" width="27" bestFit="1" customWidth="1"/>
    <col min="9" max="9" width="17.5703125" bestFit="1" customWidth="1"/>
    <col min="10" max="10" width="22.28515625" bestFit="1" customWidth="1"/>
    <col min="11" max="11" width="24.7109375" bestFit="1" customWidth="1"/>
    <col min="12" max="13" width="26" bestFit="1" customWidth="1"/>
    <col min="14" max="14" width="27" bestFit="1" customWidth="1"/>
    <col min="15" max="15" width="20.85546875" bestFit="1" customWidth="1"/>
    <col min="16" max="16" width="28.140625" bestFit="1" customWidth="1"/>
    <col min="17" max="17" width="21.7109375" bestFit="1" customWidth="1"/>
    <col min="18" max="18" width="22.85546875" bestFit="1" customWidth="1"/>
    <col min="19" max="19" width="17.140625" bestFit="1" customWidth="1"/>
    <col min="20" max="20" width="16.5703125" bestFit="1" customWidth="1"/>
    <col min="21" max="21" width="23.140625" bestFit="1" customWidth="1"/>
    <col min="22" max="26" width="9.42578125" bestFit="1" customWidth="1"/>
    <col min="27" max="27" width="21.85546875" bestFit="1" customWidth="1"/>
    <col min="28" max="28" width="15.42578125" bestFit="1" customWidth="1"/>
    <col min="29" max="29" width="20.28515625" bestFit="1" customWidth="1"/>
  </cols>
  <sheetData>
    <row r="1" spans="1:29">
      <c r="D1" s="89" t="s">
        <v>182</v>
      </c>
      <c r="E1" s="89"/>
      <c r="F1" s="89"/>
      <c r="G1" s="89"/>
      <c r="H1" s="55"/>
      <c r="I1" s="55"/>
      <c r="J1" s="55"/>
      <c r="K1" s="55"/>
      <c r="L1" s="55"/>
      <c r="M1" s="55"/>
    </row>
    <row r="2" spans="1:29">
      <c r="D2" s="14" t="s">
        <v>13</v>
      </c>
      <c r="E2" s="14">
        <v>14</v>
      </c>
      <c r="F2" s="14" t="s">
        <v>19</v>
      </c>
      <c r="G2" s="14">
        <v>30000</v>
      </c>
      <c r="H2" s="1"/>
      <c r="I2" s="1"/>
      <c r="J2" s="1"/>
      <c r="K2" s="1"/>
      <c r="L2" s="1"/>
      <c r="M2" s="1"/>
    </row>
    <row r="3" spans="1:29">
      <c r="D3" s="14" t="s">
        <v>15</v>
      </c>
      <c r="E3" s="14">
        <v>12000000</v>
      </c>
      <c r="F3" s="14" t="s">
        <v>17</v>
      </c>
      <c r="G3" s="14">
        <v>0.25</v>
      </c>
      <c r="H3" s="1"/>
      <c r="I3" s="1"/>
      <c r="J3" s="1"/>
      <c r="K3" s="1"/>
      <c r="L3" s="1"/>
      <c r="M3" s="1"/>
    </row>
    <row r="4" spans="1:29">
      <c r="D4" s="14" t="s">
        <v>16</v>
      </c>
      <c r="E4" s="14">
        <v>30000000</v>
      </c>
      <c r="F4" s="14" t="s">
        <v>18</v>
      </c>
      <c r="G4" s="14">
        <v>13600</v>
      </c>
      <c r="H4" s="1"/>
      <c r="I4" s="1"/>
      <c r="J4" s="1"/>
      <c r="K4" s="1"/>
      <c r="L4" s="1"/>
      <c r="M4" s="1"/>
    </row>
    <row r="5" spans="1:29">
      <c r="D5" s="14" t="s">
        <v>14</v>
      </c>
      <c r="E5" s="14">
        <v>6000</v>
      </c>
      <c r="F5" s="14"/>
      <c r="G5" s="14"/>
      <c r="H5" s="1"/>
      <c r="I5" s="1"/>
      <c r="J5" s="1"/>
      <c r="K5" s="1"/>
      <c r="L5" s="1"/>
      <c r="M5" s="1"/>
    </row>
    <row r="6" spans="1:29">
      <c r="K6" s="3"/>
    </row>
    <row r="7" spans="1:29" ht="44.25" customHeight="1">
      <c r="A7" s="90" t="s">
        <v>212</v>
      </c>
      <c r="B7" s="90"/>
      <c r="C7" s="90"/>
      <c r="D7" s="90"/>
      <c r="E7" s="90"/>
      <c r="F7" s="90"/>
      <c r="G7" s="90"/>
      <c r="H7" s="86" t="s">
        <v>125</v>
      </c>
      <c r="I7" s="86"/>
      <c r="J7" s="86"/>
      <c r="K7" s="86"/>
      <c r="L7" s="86"/>
      <c r="M7" s="86"/>
      <c r="N7" s="86"/>
      <c r="O7" s="86"/>
      <c r="P7" s="86"/>
      <c r="Q7" s="87" t="s">
        <v>121</v>
      </c>
      <c r="R7" s="87"/>
      <c r="S7" s="87"/>
      <c r="T7" s="87"/>
      <c r="U7" s="87"/>
      <c r="V7" s="88" t="s">
        <v>122</v>
      </c>
      <c r="W7" s="88"/>
      <c r="X7" s="88"/>
      <c r="Y7" s="88"/>
      <c r="Z7" s="88"/>
      <c r="AA7" s="85" t="s">
        <v>123</v>
      </c>
    </row>
    <row r="8" spans="1:29" ht="21.75" customHeight="1">
      <c r="A8" s="54" t="s">
        <v>126</v>
      </c>
      <c r="B8" s="54" t="s">
        <v>183</v>
      </c>
      <c r="C8" s="54" t="s">
        <v>184</v>
      </c>
      <c r="D8" s="54" t="s">
        <v>185</v>
      </c>
      <c r="E8" s="54" t="s">
        <v>186</v>
      </c>
      <c r="F8" s="54" t="s">
        <v>29</v>
      </c>
      <c r="G8" s="54" t="s">
        <v>28</v>
      </c>
      <c r="H8" s="54" t="s">
        <v>8</v>
      </c>
      <c r="I8" s="54" t="s">
        <v>6</v>
      </c>
      <c r="J8" s="54" t="s">
        <v>7</v>
      </c>
      <c r="K8" s="54" t="s">
        <v>10</v>
      </c>
      <c r="L8" s="54" t="s">
        <v>12</v>
      </c>
      <c r="M8" s="54" t="s">
        <v>11</v>
      </c>
      <c r="N8" s="54" t="s">
        <v>9</v>
      </c>
      <c r="O8" s="54" t="s">
        <v>26</v>
      </c>
      <c r="P8" s="54" t="s">
        <v>27</v>
      </c>
      <c r="Q8" s="54" t="s">
        <v>20</v>
      </c>
      <c r="R8" s="54" t="s">
        <v>21</v>
      </c>
      <c r="S8" s="54" t="s">
        <v>22</v>
      </c>
      <c r="T8" s="54" t="s">
        <v>23</v>
      </c>
      <c r="U8" s="54" t="s">
        <v>24</v>
      </c>
      <c r="V8" s="54" t="s">
        <v>20</v>
      </c>
      <c r="W8" s="54" t="s">
        <v>21</v>
      </c>
      <c r="X8" s="54" t="s">
        <v>22</v>
      </c>
      <c r="Y8" s="54" t="s">
        <v>23</v>
      </c>
      <c r="Z8" s="54" t="s">
        <v>24</v>
      </c>
      <c r="AA8" s="85"/>
    </row>
    <row r="9" spans="1:29" s="104" customFormat="1">
      <c r="A9" s="65" t="s">
        <v>187</v>
      </c>
      <c r="B9" s="99">
        <v>0.20573</v>
      </c>
      <c r="C9" s="99">
        <v>3.470472</v>
      </c>
      <c r="D9" s="99">
        <v>9.0366239999999998</v>
      </c>
      <c r="E9" s="99">
        <v>0.20573</v>
      </c>
      <c r="F9" s="99">
        <v>1.7248509999999999</v>
      </c>
      <c r="G9" s="100">
        <f>1.10471*B9^2*C9+0.04811*D9*E9*(14+C9)</f>
        <v>1.7248533584463452</v>
      </c>
      <c r="H9" s="101">
        <f>P*(L+C9/2)</f>
        <v>94411.415999999997</v>
      </c>
      <c r="I9" s="101">
        <f>SQRT( (C9^2)/4 +((D9+B9)/2)^2)</f>
        <v>4.9362253636787088</v>
      </c>
      <c r="J9" s="101">
        <f>2*( (B9*C9/SQRT(2))*((C9^2/12)+( (B9+D9)/2)^2))</f>
        <v>22.576298187746669</v>
      </c>
      <c r="K9" s="101">
        <f>P/(SQRT(2)*B9*C9)</f>
        <v>5942.2385382993498</v>
      </c>
      <c r="L9" s="101">
        <f>(H9*I9)/J9</f>
        <v>20642.712211028636</v>
      </c>
      <c r="M9" s="101">
        <f>SQRT(K9^2+2*K9*L9*(C9/(2*I9))+L9^2)</f>
        <v>23402.39507779021</v>
      </c>
      <c r="N9" s="101">
        <f>(6*P*L)/(E9*D9^2)</f>
        <v>29999.946877623061</v>
      </c>
      <c r="O9" s="101">
        <f>(4*P*L^3)/(E*E9*D9^3)</f>
        <v>1.4459651667392898E-2</v>
      </c>
      <c r="P9" s="101">
        <f>(4.013*SQRT((E*G*D9^2*E9^6)/36)/L^2)*(1-(D9*SQRT(E/(4*G)))/(2*L))</f>
        <v>3794.75314968578</v>
      </c>
      <c r="Q9" s="102">
        <f>τ_max-M9</f>
        <v>-9802.3950777902101</v>
      </c>
      <c r="R9" s="102">
        <f>σ_max-N9</f>
        <v>5.312237693942734E-2</v>
      </c>
      <c r="S9" s="102">
        <f>E9-B9</f>
        <v>0</v>
      </c>
      <c r="T9" s="102">
        <f>δ_max-O9</f>
        <v>0.23554034833260709</v>
      </c>
      <c r="U9" s="102">
        <f>P9-P</f>
        <v>-2205.24685031422</v>
      </c>
      <c r="V9" s="99">
        <f>IF(Q9&gt;=0,1,0)</f>
        <v>0</v>
      </c>
      <c r="W9" s="99">
        <f t="shared" ref="W9:Z9" si="0">IF(R9&gt;=0,1,0)</f>
        <v>1</v>
      </c>
      <c r="X9" s="99">
        <f t="shared" si="0"/>
        <v>1</v>
      </c>
      <c r="Y9" s="99">
        <f t="shared" si="0"/>
        <v>1</v>
      </c>
      <c r="Z9" s="99">
        <f t="shared" si="0"/>
        <v>0</v>
      </c>
      <c r="AA9" s="102">
        <f>ABS(SUMIF(Q9:U9,"&lt;0"))</f>
        <v>12007.641928104429</v>
      </c>
      <c r="AB9" s="103"/>
      <c r="AC9" s="103"/>
    </row>
    <row r="10" spans="1:29">
      <c r="A10" s="65" t="s">
        <v>188</v>
      </c>
      <c r="B10" s="33">
        <v>0.20573296397900001</v>
      </c>
      <c r="C10" s="33">
        <v>3.4704886656279998</v>
      </c>
      <c r="D10" s="33">
        <v>9.0366239103569992</v>
      </c>
      <c r="E10" s="33">
        <v>0.20573</v>
      </c>
      <c r="F10" s="33">
        <v>1.724852308597</v>
      </c>
      <c r="G10" s="48">
        <f t="shared" ref="G10:G62" si="1">1.10471*B10^2*C10+0.04811*D10*E10*(14+C10)</f>
        <v>1.7248602884540023</v>
      </c>
      <c r="H10" s="56">
        <f t="shared" ref="H10:H31" si="2">P*(L+C10/2)</f>
        <v>94411.465996883999</v>
      </c>
      <c r="I10" s="56">
        <f t="shared" ref="I10:I31" si="3">SQRT( (C10^2)/4 +((D10+B10)/2)^2)</f>
        <v>4.9362296383686992</v>
      </c>
      <c r="J10" s="56">
        <f t="shared" ref="J10:J31" si="4">2*( (B10*C10/SQRT(2))*((C10^2/12)+( (B10+D10)/2)^2))</f>
        <v>22.576755008814775</v>
      </c>
      <c r="K10" s="56">
        <f t="shared" ref="K10:K31" si="5">P/(SQRT(2)*B10*C10)</f>
        <v>5942.1243941224757</v>
      </c>
      <c r="L10" s="56">
        <f t="shared" ref="L10:L35" si="6">(H10*I10)/J10</f>
        <v>20642.323330952564</v>
      </c>
      <c r="M10" s="56">
        <f t="shared" ref="M10:M31" si="7">SQRT(K10^2+2*K10*L10*(C10/(2*I10))+L10^2)</f>
        <v>23401.960220366622</v>
      </c>
      <c r="N10" s="56">
        <f t="shared" ref="N10:N31" si="8">(6*P*L)/(E10*D10^2)</f>
        <v>29999.947472819957</v>
      </c>
      <c r="O10" s="56">
        <f t="shared" ref="O10:O31" si="9">(4*P*L^3)/(E*E10*D10^3)</f>
        <v>1.4459652097710652E-2</v>
      </c>
      <c r="P10" s="56">
        <f t="shared" ref="P10:P31" si="10">(4.013*SQRT((E*G*D10^2*E10^6)/36)/L^2)*(1-(D10*SQRT(E/(4*G)))/(2*L))</f>
        <v>3794.7531249366384</v>
      </c>
      <c r="Q10" s="57">
        <f t="shared" ref="Q10:Q31" si="11">τ_max-M10</f>
        <v>-9801.9602203666218</v>
      </c>
      <c r="R10" s="57">
        <f t="shared" ref="R10:R31" si="12">σ_max-N10</f>
        <v>5.2527180043398403E-2</v>
      </c>
      <c r="S10" s="57">
        <f t="shared" ref="S10:S31" si="13">E10-B10</f>
        <v>-2.9639790000146604E-6</v>
      </c>
      <c r="T10" s="57">
        <f t="shared" ref="T10:T31" si="14">δ_max-O10</f>
        <v>0.23554034790228934</v>
      </c>
      <c r="U10" s="57">
        <f t="shared" ref="U10:U31" si="15">P10-P</f>
        <v>-2205.2468750633616</v>
      </c>
      <c r="V10" s="33">
        <f t="shared" ref="V10:V31" si="16">IF(Q10&gt;=0,1,0)</f>
        <v>0</v>
      </c>
      <c r="W10" s="33">
        <f t="shared" ref="W10:W31" si="17">IF(R10&gt;=0,1,0)</f>
        <v>1</v>
      </c>
      <c r="X10" s="33">
        <f t="shared" ref="X10:X31" si="18">IF(S10&gt;=0,1,0)</f>
        <v>0</v>
      </c>
      <c r="Y10" s="33">
        <f t="shared" ref="Y10:Y31" si="19">IF(T10&gt;=0,1,0)</f>
        <v>1</v>
      </c>
      <c r="Z10" s="33">
        <f t="shared" ref="Z10:Z31" si="20">IF(U10&gt;=0,1,0)</f>
        <v>0</v>
      </c>
      <c r="AA10" s="57">
        <f t="shared" ref="AA10:AA31" si="21">ABS(SUMIF(Q10:U10,"&lt;0"))</f>
        <v>12007.207098393963</v>
      </c>
    </row>
    <row r="11" spans="1:29">
      <c r="A11" s="65" t="s">
        <v>189</v>
      </c>
      <c r="B11" s="33">
        <v>0.343891</v>
      </c>
      <c r="C11" s="33">
        <v>1.88357</v>
      </c>
      <c r="D11" s="33">
        <v>9.0313300000000005</v>
      </c>
      <c r="E11" s="33">
        <v>0.212121</v>
      </c>
      <c r="F11" s="33">
        <v>1.7254499999999999</v>
      </c>
      <c r="G11" s="48">
        <f t="shared" si="1"/>
        <v>1.710002460969158</v>
      </c>
      <c r="H11" s="56">
        <f t="shared" si="2"/>
        <v>89650.709999999992</v>
      </c>
      <c r="I11" s="56">
        <f t="shared" si="3"/>
        <v>4.7812813330670316</v>
      </c>
      <c r="J11" s="56">
        <f t="shared" si="4"/>
        <v>20.399758206167036</v>
      </c>
      <c r="K11" s="56">
        <f t="shared" si="5"/>
        <v>6549.8850437510637</v>
      </c>
      <c r="L11" s="56">
        <f t="shared" si="6"/>
        <v>21012.271904753379</v>
      </c>
      <c r="M11" s="56">
        <f t="shared" si="7"/>
        <v>23208.503774078388</v>
      </c>
      <c r="N11" s="56">
        <f t="shared" si="8"/>
        <v>29130.19874598059</v>
      </c>
      <c r="O11" s="56">
        <f t="shared" si="9"/>
        <v>1.404867267417902E-2</v>
      </c>
      <c r="P11" s="56">
        <f t="shared" si="10"/>
        <v>4157.9024124519419</v>
      </c>
      <c r="Q11" s="57">
        <f t="shared" si="11"/>
        <v>-9608.5037740783882</v>
      </c>
      <c r="R11" s="57">
        <f t="shared" si="12"/>
        <v>869.80125401941041</v>
      </c>
      <c r="S11" s="57">
        <f t="shared" si="13"/>
        <v>-0.13177</v>
      </c>
      <c r="T11" s="57">
        <f t="shared" si="14"/>
        <v>0.23595132732582097</v>
      </c>
      <c r="U11" s="57">
        <f t="shared" si="15"/>
        <v>-1842.0975875480581</v>
      </c>
      <c r="V11" s="33">
        <f t="shared" si="16"/>
        <v>0</v>
      </c>
      <c r="W11" s="33">
        <f t="shared" si="17"/>
        <v>1</v>
      </c>
      <c r="X11" s="33">
        <f t="shared" si="18"/>
        <v>0</v>
      </c>
      <c r="Y11" s="33">
        <f t="shared" si="19"/>
        <v>1</v>
      </c>
      <c r="Z11" s="33">
        <f t="shared" si="20"/>
        <v>0</v>
      </c>
      <c r="AA11" s="57">
        <f t="shared" si="21"/>
        <v>11450.733131626446</v>
      </c>
    </row>
    <row r="12" spans="1:29">
      <c r="A12" s="65" t="s">
        <v>190</v>
      </c>
      <c r="B12" s="33">
        <v>0.205676</v>
      </c>
      <c r="C12" s="33">
        <v>3.4783770000000001</v>
      </c>
      <c r="D12" s="33">
        <v>9.0368099999999991</v>
      </c>
      <c r="E12" s="33">
        <v>0.20577799999999999</v>
      </c>
      <c r="F12" s="33">
        <v>1.72624</v>
      </c>
      <c r="G12" s="48">
        <f t="shared" si="1"/>
        <v>1.7262415633352446</v>
      </c>
      <c r="H12" s="56">
        <f t="shared" si="2"/>
        <v>94435.131000000008</v>
      </c>
      <c r="I12" s="56">
        <f t="shared" si="3"/>
        <v>4.9376779465231673</v>
      </c>
      <c r="J12" s="56">
        <f t="shared" si="4"/>
        <v>22.627031421439433</v>
      </c>
      <c r="K12" s="56">
        <f t="shared" si="5"/>
        <v>5930.2907203379937</v>
      </c>
      <c r="L12" s="56">
        <f t="shared" si="6"/>
        <v>20607.664126629959</v>
      </c>
      <c r="M12" s="56">
        <f t="shared" si="7"/>
        <v>23365.259364247107</v>
      </c>
      <c r="N12" s="56">
        <f t="shared" si="8"/>
        <v>29991.714411298373</v>
      </c>
      <c r="O12" s="56">
        <f t="shared" si="9"/>
        <v>1.4455386173302996E-2</v>
      </c>
      <c r="P12" s="56">
        <f t="shared" si="10"/>
        <v>3797.4612810789013</v>
      </c>
      <c r="Q12" s="57">
        <f t="shared" si="11"/>
        <v>-9765.2593642471074</v>
      </c>
      <c r="R12" s="57">
        <f t="shared" si="12"/>
        <v>8.2855887016266934</v>
      </c>
      <c r="S12" s="57">
        <f t="shared" si="13"/>
        <v>1.0199999999999099E-4</v>
      </c>
      <c r="T12" s="57">
        <f t="shared" si="14"/>
        <v>0.235544613826697</v>
      </c>
      <c r="U12" s="57">
        <f t="shared" si="15"/>
        <v>-2202.5387189210987</v>
      </c>
      <c r="V12" s="33">
        <f t="shared" si="16"/>
        <v>0</v>
      </c>
      <c r="W12" s="33">
        <f t="shared" si="17"/>
        <v>1</v>
      </c>
      <c r="X12" s="33">
        <f t="shared" si="18"/>
        <v>1</v>
      </c>
      <c r="Y12" s="33">
        <f t="shared" si="19"/>
        <v>1</v>
      </c>
      <c r="Z12" s="33">
        <f t="shared" si="20"/>
        <v>0</v>
      </c>
      <c r="AA12" s="57">
        <f t="shared" si="21"/>
        <v>11967.798083168207</v>
      </c>
    </row>
    <row r="13" spans="1:29">
      <c r="A13" s="65" t="s">
        <v>191</v>
      </c>
      <c r="B13" s="33">
        <v>0.205396</v>
      </c>
      <c r="C13" s="33">
        <v>3.4842930000000001</v>
      </c>
      <c r="D13" s="33">
        <v>9.037426</v>
      </c>
      <c r="E13" s="33">
        <v>0.20627599999999999</v>
      </c>
      <c r="F13" s="33">
        <v>1.730499</v>
      </c>
      <c r="G13" s="48">
        <f t="shared" si="1"/>
        <v>1.7304966899270093</v>
      </c>
      <c r="H13" s="56">
        <f t="shared" si="2"/>
        <v>94452.879000000001</v>
      </c>
      <c r="I13" s="56">
        <f t="shared" si="3"/>
        <v>4.9388778136721756</v>
      </c>
      <c r="J13" s="56">
        <f t="shared" si="4"/>
        <v>22.639704959976097</v>
      </c>
      <c r="K13" s="56">
        <f t="shared" si="5"/>
        <v>5928.2922139543716</v>
      </c>
      <c r="L13" s="56">
        <f t="shared" si="6"/>
        <v>20605.004762882523</v>
      </c>
      <c r="M13" s="56">
        <f t="shared" si="7"/>
        <v>23364.232095359293</v>
      </c>
      <c r="N13" s="56">
        <f t="shared" si="8"/>
        <v>29915.228660458572</v>
      </c>
      <c r="O13" s="56">
        <f t="shared" si="9"/>
        <v>1.4417538842118884E-2</v>
      </c>
      <c r="P13" s="56">
        <f t="shared" si="10"/>
        <v>3825.269997863933</v>
      </c>
      <c r="Q13" s="57">
        <f t="shared" si="11"/>
        <v>-9764.2320953592935</v>
      </c>
      <c r="R13" s="57">
        <f t="shared" si="12"/>
        <v>84.771339541428461</v>
      </c>
      <c r="S13" s="57">
        <f t="shared" si="13"/>
        <v>8.799999999999919E-4</v>
      </c>
      <c r="T13" s="57">
        <f t="shared" si="14"/>
        <v>0.23558246115788112</v>
      </c>
      <c r="U13" s="57">
        <f t="shared" si="15"/>
        <v>-2174.730002136067</v>
      </c>
      <c r="V13" s="33">
        <f t="shared" si="16"/>
        <v>0</v>
      </c>
      <c r="W13" s="33">
        <f t="shared" si="17"/>
        <v>1</v>
      </c>
      <c r="X13" s="33">
        <f t="shared" si="18"/>
        <v>1</v>
      </c>
      <c r="Y13" s="33">
        <f t="shared" si="19"/>
        <v>1</v>
      </c>
      <c r="Z13" s="33">
        <f t="shared" si="20"/>
        <v>0</v>
      </c>
      <c r="AA13" s="57">
        <f t="shared" si="21"/>
        <v>11938.962097495361</v>
      </c>
    </row>
    <row r="14" spans="1:29">
      <c r="A14" s="65" t="s">
        <v>165</v>
      </c>
      <c r="B14" s="33">
        <v>0.20569999999999999</v>
      </c>
      <c r="C14" s="33">
        <v>3.4704999999999999</v>
      </c>
      <c r="D14" s="33">
        <v>9.0366</v>
      </c>
      <c r="E14" s="33">
        <v>0.20569999999999999</v>
      </c>
      <c r="F14" s="33">
        <v>1.7249000000000001</v>
      </c>
      <c r="G14" s="48">
        <f t="shared" si="1"/>
        <v>1.7245778411569348</v>
      </c>
      <c r="H14" s="56">
        <f t="shared" si="2"/>
        <v>94411.5</v>
      </c>
      <c r="I14" s="56">
        <f t="shared" si="3"/>
        <v>4.9362050084047358</v>
      </c>
      <c r="J14" s="56">
        <f t="shared" si="4"/>
        <v>22.572952599911257</v>
      </c>
      <c r="K14" s="56">
        <f t="shared" si="5"/>
        <v>5943.0572259531245</v>
      </c>
      <c r="L14" s="56">
        <f t="shared" si="6"/>
        <v>20645.704946584428</v>
      </c>
      <c r="M14" s="56">
        <f t="shared" si="7"/>
        <v>23405.786231464233</v>
      </c>
      <c r="N14" s="56">
        <f t="shared" si="8"/>
        <v>30004.481548854583</v>
      </c>
      <c r="O14" s="56">
        <f t="shared" si="9"/>
        <v>1.4461875738848431E-2</v>
      </c>
      <c r="P14" s="56">
        <f t="shared" si="10"/>
        <v>3793.0866908932439</v>
      </c>
      <c r="Q14" s="57">
        <f t="shared" si="11"/>
        <v>-9805.7862314642334</v>
      </c>
      <c r="R14" s="57">
        <f t="shared" si="12"/>
        <v>-4.4815488545827975</v>
      </c>
      <c r="S14" s="57">
        <f t="shared" si="13"/>
        <v>0</v>
      </c>
      <c r="T14" s="57">
        <f t="shared" si="14"/>
        <v>0.23553812426115156</v>
      </c>
      <c r="U14" s="57">
        <f t="shared" si="15"/>
        <v>-2206.9133091067561</v>
      </c>
      <c r="V14" s="33">
        <f t="shared" si="16"/>
        <v>0</v>
      </c>
      <c r="W14" s="33">
        <f t="shared" si="17"/>
        <v>0</v>
      </c>
      <c r="X14" s="33">
        <f t="shared" si="18"/>
        <v>1</v>
      </c>
      <c r="Y14" s="33">
        <f t="shared" si="19"/>
        <v>1</v>
      </c>
      <c r="Z14" s="33">
        <f t="shared" si="20"/>
        <v>0</v>
      </c>
      <c r="AA14" s="57">
        <f t="shared" si="21"/>
        <v>12017.181089425572</v>
      </c>
    </row>
    <row r="15" spans="1:29">
      <c r="A15" s="65" t="s">
        <v>192</v>
      </c>
      <c r="B15" s="33">
        <v>0.20572963999999999</v>
      </c>
      <c r="C15" s="33">
        <v>3.2531200500000002</v>
      </c>
      <c r="D15" s="33">
        <v>9.0366239099999994</v>
      </c>
      <c r="E15" s="33">
        <v>0.20572963999999999</v>
      </c>
      <c r="F15" s="33">
        <v>1.6952471</v>
      </c>
      <c r="G15" s="48">
        <f t="shared" si="1"/>
        <v>1.6952471680242156</v>
      </c>
      <c r="H15" s="56">
        <f t="shared" si="2"/>
        <v>93759.360149999993</v>
      </c>
      <c r="I15" s="56">
        <f t="shared" si="3"/>
        <v>4.8990787195887551</v>
      </c>
      <c r="J15" s="56">
        <f t="shared" si="4"/>
        <v>21.047065267156697</v>
      </c>
      <c r="K15" s="56">
        <f t="shared" si="5"/>
        <v>6339.2706798346344</v>
      </c>
      <c r="L15" s="56">
        <f t="shared" si="6"/>
        <v>21824.158391806784</v>
      </c>
      <c r="M15" s="56">
        <f t="shared" si="7"/>
        <v>24664.708877114896</v>
      </c>
      <c r="N15" s="56">
        <f t="shared" si="8"/>
        <v>29999.999971180143</v>
      </c>
      <c r="O15" s="56">
        <f t="shared" si="9"/>
        <v>1.4459677401926999E-2</v>
      </c>
      <c r="P15" s="56">
        <f t="shared" si="10"/>
        <v>3794.7332039407665</v>
      </c>
      <c r="Q15" s="57">
        <f t="shared" si="11"/>
        <v>-11064.708877114896</v>
      </c>
      <c r="R15" s="57">
        <f t="shared" si="12"/>
        <v>2.8819857107009739E-5</v>
      </c>
      <c r="S15" s="57">
        <f t="shared" si="13"/>
        <v>0</v>
      </c>
      <c r="T15" s="57">
        <f t="shared" si="14"/>
        <v>0.235540322598073</v>
      </c>
      <c r="U15" s="57">
        <f t="shared" si="15"/>
        <v>-2205.2667960592335</v>
      </c>
      <c r="V15" s="33">
        <f t="shared" si="16"/>
        <v>0</v>
      </c>
      <c r="W15" s="33">
        <f t="shared" si="17"/>
        <v>1</v>
      </c>
      <c r="X15" s="33">
        <f t="shared" si="18"/>
        <v>1</v>
      </c>
      <c r="Y15" s="33">
        <f t="shared" si="19"/>
        <v>1</v>
      </c>
      <c r="Z15" s="33">
        <f t="shared" si="20"/>
        <v>0</v>
      </c>
      <c r="AA15" s="57">
        <f t="shared" si="21"/>
        <v>13269.975673174129</v>
      </c>
    </row>
    <row r="16" spans="1:29">
      <c r="A16" s="65" t="s">
        <v>129</v>
      </c>
      <c r="B16" s="33">
        <v>0.205528028615</v>
      </c>
      <c r="C16" s="33">
        <v>3.3947735874239999</v>
      </c>
      <c r="D16" s="33">
        <v>9.0766352134280002</v>
      </c>
      <c r="E16" s="33">
        <v>0.2055309791245</v>
      </c>
      <c r="F16" s="33">
        <v>1.7196067580000001</v>
      </c>
      <c r="G16" s="48">
        <f t="shared" si="1"/>
        <v>1.7196087658373163</v>
      </c>
      <c r="H16" s="56">
        <f t="shared" si="2"/>
        <v>94184.320762271993</v>
      </c>
      <c r="I16" s="56">
        <f t="shared" si="3"/>
        <v>4.9417365915689446</v>
      </c>
      <c r="J16" s="56">
        <f t="shared" si="4"/>
        <v>22.20136260753624</v>
      </c>
      <c r="K16" s="56">
        <f t="shared" si="5"/>
        <v>6080.7112572005562</v>
      </c>
      <c r="L16" s="56">
        <f t="shared" si="6"/>
        <v>20964.213435485028</v>
      </c>
      <c r="M16" s="56">
        <f t="shared" si="7"/>
        <v>23749.63313580371</v>
      </c>
      <c r="N16" s="56">
        <f t="shared" si="8"/>
        <v>29764.835174483702</v>
      </c>
      <c r="O16" s="56">
        <f t="shared" si="9"/>
        <v>1.4283089510155106E-2</v>
      </c>
      <c r="P16" s="56">
        <f t="shared" si="10"/>
        <v>3794.7398793438797</v>
      </c>
      <c r="Q16" s="57">
        <f t="shared" si="11"/>
        <v>-10149.63313580371</v>
      </c>
      <c r="R16" s="57">
        <f t="shared" si="12"/>
        <v>235.16482551629815</v>
      </c>
      <c r="S16" s="57">
        <f t="shared" si="13"/>
        <v>2.9505094999993098E-6</v>
      </c>
      <c r="T16" s="57">
        <f t="shared" si="14"/>
        <v>0.23571691048984489</v>
      </c>
      <c r="U16" s="57">
        <f t="shared" si="15"/>
        <v>-2205.2601206561203</v>
      </c>
      <c r="V16" s="33">
        <f t="shared" si="16"/>
        <v>0</v>
      </c>
      <c r="W16" s="33">
        <f t="shared" si="17"/>
        <v>1</v>
      </c>
      <c r="X16" s="33">
        <f t="shared" si="18"/>
        <v>1</v>
      </c>
      <c r="Y16" s="33">
        <f t="shared" si="19"/>
        <v>1</v>
      </c>
      <c r="Z16" s="33">
        <f t="shared" si="20"/>
        <v>0</v>
      </c>
      <c r="AA16" s="57">
        <f t="shared" si="21"/>
        <v>12354.893256459829</v>
      </c>
    </row>
    <row r="17" spans="1:27">
      <c r="A17" s="65" t="s">
        <v>128</v>
      </c>
      <c r="B17" s="33">
        <v>0.19882710000000001</v>
      </c>
      <c r="C17" s="33">
        <v>3.337971</v>
      </c>
      <c r="D17" s="33">
        <v>9.191986</v>
      </c>
      <c r="E17" s="33">
        <v>0.1988345</v>
      </c>
      <c r="F17" s="33">
        <v>1.6703011542633599</v>
      </c>
      <c r="G17" s="48">
        <f t="shared" si="1"/>
        <v>1.6703002596511638</v>
      </c>
      <c r="H17" s="56">
        <f t="shared" si="2"/>
        <v>94013.913</v>
      </c>
      <c r="I17" s="56">
        <f t="shared" si="3"/>
        <v>4.9832073275143944</v>
      </c>
      <c r="J17" s="56">
        <f t="shared" si="4"/>
        <v>21.564292404098243</v>
      </c>
      <c r="K17" s="56">
        <f t="shared" si="5"/>
        <v>6392.6086065740537</v>
      </c>
      <c r="L17" s="56">
        <f t="shared" si="6"/>
        <v>21725.304562317342</v>
      </c>
      <c r="M17" s="56">
        <f t="shared" si="7"/>
        <v>24614.693580524552</v>
      </c>
      <c r="N17" s="56">
        <f t="shared" si="8"/>
        <v>29999.919300540831</v>
      </c>
      <c r="O17" s="56">
        <f t="shared" si="9"/>
        <v>1.4215243057995187E-2</v>
      </c>
      <c r="P17" s="56">
        <f t="shared" si="10"/>
        <v>3464.2068449700655</v>
      </c>
      <c r="Q17" s="57">
        <f t="shared" si="11"/>
        <v>-11014.693580524552</v>
      </c>
      <c r="R17" s="57">
        <f t="shared" si="12"/>
        <v>8.0699459169409238E-2</v>
      </c>
      <c r="S17" s="57">
        <f t="shared" si="13"/>
        <v>7.3999999999907473E-6</v>
      </c>
      <c r="T17" s="57">
        <f t="shared" si="14"/>
        <v>0.23578475694200482</v>
      </c>
      <c r="U17" s="57">
        <f t="shared" si="15"/>
        <v>-2535.7931550299345</v>
      </c>
      <c r="V17" s="33">
        <f t="shared" si="16"/>
        <v>0</v>
      </c>
      <c r="W17" s="33">
        <f t="shared" si="17"/>
        <v>1</v>
      </c>
      <c r="X17" s="33">
        <f t="shared" si="18"/>
        <v>1</v>
      </c>
      <c r="Y17" s="33">
        <f t="shared" si="19"/>
        <v>1</v>
      </c>
      <c r="Z17" s="33">
        <f t="shared" si="20"/>
        <v>0</v>
      </c>
      <c r="AA17" s="57">
        <f t="shared" si="21"/>
        <v>13550.486735554487</v>
      </c>
    </row>
    <row r="18" spans="1:27">
      <c r="A18" s="65" t="s">
        <v>193</v>
      </c>
      <c r="B18" s="33">
        <v>0.204039</v>
      </c>
      <c r="C18" s="33">
        <v>3.5310609999999998</v>
      </c>
      <c r="D18" s="33">
        <v>9.0274629999999991</v>
      </c>
      <c r="E18" s="33">
        <v>0.206147</v>
      </c>
      <c r="F18" s="33">
        <v>1.7313905700000001</v>
      </c>
      <c r="G18" s="48">
        <f t="shared" si="1"/>
        <v>1.7319879574059365</v>
      </c>
      <c r="H18" s="56">
        <f t="shared" si="2"/>
        <v>94593.183000000005</v>
      </c>
      <c r="I18" s="56">
        <f t="shared" si="3"/>
        <v>4.941887821514289</v>
      </c>
      <c r="J18" s="56">
        <f t="shared" si="4"/>
        <v>22.76659170155477</v>
      </c>
      <c r="K18" s="56">
        <f t="shared" si="5"/>
        <v>5888.6785257237652</v>
      </c>
      <c r="L18" s="56">
        <f t="shared" si="6"/>
        <v>20533.10856512827</v>
      </c>
      <c r="M18" s="56">
        <f t="shared" si="7"/>
        <v>23295.478995918158</v>
      </c>
      <c r="N18" s="56">
        <f t="shared" si="8"/>
        <v>30000.057231288079</v>
      </c>
      <c r="O18" s="56">
        <f t="shared" si="9"/>
        <v>1.4474378453915726E-2</v>
      </c>
      <c r="P18" s="56">
        <f t="shared" si="10"/>
        <v>3815.3290576240311</v>
      </c>
      <c r="Q18" s="57">
        <f t="shared" si="11"/>
        <v>-9695.478995918158</v>
      </c>
      <c r="R18" s="57">
        <f t="shared" si="12"/>
        <v>-5.7231288079492515E-2</v>
      </c>
      <c r="S18" s="57">
        <f t="shared" si="13"/>
        <v>2.1079999999999988E-3</v>
      </c>
      <c r="T18" s="57">
        <f t="shared" si="14"/>
        <v>0.23552562154608428</v>
      </c>
      <c r="U18" s="57">
        <f t="shared" si="15"/>
        <v>-2184.6709423759689</v>
      </c>
      <c r="V18" s="33">
        <f t="shared" si="16"/>
        <v>0</v>
      </c>
      <c r="W18" s="33">
        <f t="shared" si="17"/>
        <v>0</v>
      </c>
      <c r="X18" s="33">
        <f t="shared" si="18"/>
        <v>1</v>
      </c>
      <c r="Y18" s="33">
        <f t="shared" si="19"/>
        <v>1</v>
      </c>
      <c r="Z18" s="33">
        <f t="shared" si="20"/>
        <v>0</v>
      </c>
      <c r="AA18" s="57">
        <f t="shared" si="21"/>
        <v>11880.207169582207</v>
      </c>
    </row>
    <row r="19" spans="1:27">
      <c r="A19" s="65" t="s">
        <v>194</v>
      </c>
      <c r="B19" s="33">
        <v>0.1857</v>
      </c>
      <c r="C19" s="33">
        <v>3.907</v>
      </c>
      <c r="D19" s="33">
        <v>9.1552000000000007</v>
      </c>
      <c r="E19" s="33">
        <v>0.2051</v>
      </c>
      <c r="F19" s="33">
        <v>1.77</v>
      </c>
      <c r="G19" s="48">
        <f t="shared" si="1"/>
        <v>1.7665151142143158</v>
      </c>
      <c r="H19" s="56">
        <f t="shared" si="2"/>
        <v>95721</v>
      </c>
      <c r="I19" s="56">
        <f t="shared" si="3"/>
        <v>5.0625354766658184</v>
      </c>
      <c r="J19" s="56">
        <f t="shared" si="4"/>
        <v>23.68662315608066</v>
      </c>
      <c r="K19" s="56">
        <f t="shared" si="5"/>
        <v>5847.6441661732824</v>
      </c>
      <c r="L19" s="56">
        <f t="shared" si="6"/>
        <v>20458.423101037435</v>
      </c>
      <c r="M19" s="56">
        <f t="shared" si="7"/>
        <v>23346.71185662007</v>
      </c>
      <c r="N19" s="56">
        <f t="shared" si="8"/>
        <v>29317.653239301842</v>
      </c>
      <c r="O19" s="56">
        <f t="shared" si="9"/>
        <v>1.3947774755580705E-2</v>
      </c>
      <c r="P19" s="56">
        <f t="shared" si="10"/>
        <v>3792.2137009632083</v>
      </c>
      <c r="Q19" s="57">
        <f t="shared" si="11"/>
        <v>-9746.7118566200697</v>
      </c>
      <c r="R19" s="57">
        <f t="shared" si="12"/>
        <v>682.3467606981576</v>
      </c>
      <c r="S19" s="57">
        <f t="shared" si="13"/>
        <v>1.9400000000000001E-2</v>
      </c>
      <c r="T19" s="57">
        <f t="shared" si="14"/>
        <v>0.23605222524441929</v>
      </c>
      <c r="U19" s="57">
        <f t="shared" si="15"/>
        <v>-2207.7862990367917</v>
      </c>
      <c r="V19" s="33">
        <f t="shared" si="16"/>
        <v>0</v>
      </c>
      <c r="W19" s="33">
        <f t="shared" si="17"/>
        <v>1</v>
      </c>
      <c r="X19" s="33">
        <f t="shared" si="18"/>
        <v>1</v>
      </c>
      <c r="Y19" s="33">
        <f t="shared" si="19"/>
        <v>1</v>
      </c>
      <c r="Z19" s="33">
        <f t="shared" si="20"/>
        <v>0</v>
      </c>
      <c r="AA19" s="57">
        <f t="shared" si="21"/>
        <v>11954.498155656862</v>
      </c>
    </row>
    <row r="20" spans="1:27">
      <c r="A20" s="65" t="s">
        <v>147</v>
      </c>
      <c r="B20" s="33">
        <v>0.20569999999999999</v>
      </c>
      <c r="C20" s="33">
        <v>3.4704999999999999</v>
      </c>
      <c r="D20" s="33">
        <v>9.0366</v>
      </c>
      <c r="E20" s="33">
        <v>0.20569999999999999</v>
      </c>
      <c r="F20" s="33">
        <v>1.7249000000000001</v>
      </c>
      <c r="G20" s="48">
        <f t="shared" si="1"/>
        <v>1.7245778411569348</v>
      </c>
      <c r="H20" s="56">
        <f t="shared" si="2"/>
        <v>94411.5</v>
      </c>
      <c r="I20" s="56">
        <f t="shared" si="3"/>
        <v>4.9362050084047358</v>
      </c>
      <c r="J20" s="56">
        <f t="shared" si="4"/>
        <v>22.572952599911257</v>
      </c>
      <c r="K20" s="56">
        <f t="shared" si="5"/>
        <v>5943.0572259531245</v>
      </c>
      <c r="L20" s="56">
        <f t="shared" si="6"/>
        <v>20645.704946584428</v>
      </c>
      <c r="M20" s="56">
        <f t="shared" si="7"/>
        <v>23405.786231464233</v>
      </c>
      <c r="N20" s="56">
        <f t="shared" si="8"/>
        <v>30004.481548854583</v>
      </c>
      <c r="O20" s="56">
        <f t="shared" si="9"/>
        <v>1.4461875738848431E-2</v>
      </c>
      <c r="P20" s="56">
        <f t="shared" si="10"/>
        <v>3793.0866908932439</v>
      </c>
      <c r="Q20" s="57">
        <f t="shared" si="11"/>
        <v>-9805.7862314642334</v>
      </c>
      <c r="R20" s="57">
        <f t="shared" si="12"/>
        <v>-4.4815488545827975</v>
      </c>
      <c r="S20" s="57">
        <f t="shared" si="13"/>
        <v>0</v>
      </c>
      <c r="T20" s="57">
        <f t="shared" si="14"/>
        <v>0.23553812426115156</v>
      </c>
      <c r="U20" s="57">
        <f t="shared" si="15"/>
        <v>-2206.9133091067561</v>
      </c>
      <c r="V20" s="33">
        <f t="shared" si="16"/>
        <v>0</v>
      </c>
      <c r="W20" s="33">
        <f t="shared" si="17"/>
        <v>0</v>
      </c>
      <c r="X20" s="33">
        <f t="shared" si="18"/>
        <v>1</v>
      </c>
      <c r="Y20" s="33">
        <f t="shared" si="19"/>
        <v>1</v>
      </c>
      <c r="Z20" s="33">
        <f t="shared" si="20"/>
        <v>0</v>
      </c>
      <c r="AA20" s="57">
        <f t="shared" si="21"/>
        <v>12017.181089425572</v>
      </c>
    </row>
    <row r="21" spans="1:27">
      <c r="A21" s="65" t="s">
        <v>149</v>
      </c>
      <c r="B21" s="33">
        <v>0.20572960000000001</v>
      </c>
      <c r="C21" s="33">
        <v>3.4704885999999999</v>
      </c>
      <c r="D21" s="33">
        <v>9.0366239000000004</v>
      </c>
      <c r="E21" s="33">
        <v>0.20572960000000001</v>
      </c>
      <c r="F21" s="33">
        <v>1.7248520000000001</v>
      </c>
      <c r="G21" s="48">
        <f t="shared" si="1"/>
        <v>1.7248519329175671</v>
      </c>
      <c r="H21" s="56">
        <f t="shared" si="2"/>
        <v>94411.465800000005</v>
      </c>
      <c r="I21" s="56">
        <f t="shared" si="3"/>
        <v>4.9362280473477975</v>
      </c>
      <c r="J21" s="56">
        <f t="shared" si="4"/>
        <v>22.57636964169847</v>
      </c>
      <c r="K21" s="56">
        <f t="shared" si="5"/>
        <v>5942.2216688916542</v>
      </c>
      <c r="L21" s="56">
        <f t="shared" si="6"/>
        <v>20642.668988392608</v>
      </c>
      <c r="M21" s="56">
        <f t="shared" si="7"/>
        <v>23402.351391407257</v>
      </c>
      <c r="N21" s="56">
        <f t="shared" si="8"/>
        <v>30000.005870475728</v>
      </c>
      <c r="O21" s="56">
        <f t="shared" si="9"/>
        <v>1.4459680261325233E-2</v>
      </c>
      <c r="P21" s="56">
        <f t="shared" si="10"/>
        <v>3794.7309877511971</v>
      </c>
      <c r="Q21" s="57">
        <f t="shared" si="11"/>
        <v>-9802.3513914072573</v>
      </c>
      <c r="R21" s="57">
        <f t="shared" si="12"/>
        <v>-5.8704757284431253E-3</v>
      </c>
      <c r="S21" s="57">
        <f t="shared" si="13"/>
        <v>0</v>
      </c>
      <c r="T21" s="57">
        <f t="shared" si="14"/>
        <v>0.23554031973867476</v>
      </c>
      <c r="U21" s="57">
        <f t="shared" si="15"/>
        <v>-2205.2690122488029</v>
      </c>
      <c r="V21" s="33">
        <f t="shared" si="16"/>
        <v>0</v>
      </c>
      <c r="W21" s="33">
        <f t="shared" si="17"/>
        <v>0</v>
      </c>
      <c r="X21" s="33">
        <f t="shared" si="18"/>
        <v>1</v>
      </c>
      <c r="Y21" s="33">
        <f t="shared" si="19"/>
        <v>1</v>
      </c>
      <c r="Z21" s="33">
        <f t="shared" si="20"/>
        <v>0</v>
      </c>
      <c r="AA21" s="57">
        <f t="shared" si="21"/>
        <v>12007.626274131788</v>
      </c>
    </row>
    <row r="22" spans="1:27">
      <c r="A22" s="65" t="s">
        <v>195</v>
      </c>
      <c r="B22" s="33">
        <v>0.20572940000000001</v>
      </c>
      <c r="C22" s="33">
        <v>3.4704886099999999</v>
      </c>
      <c r="D22" s="33">
        <v>9.0366238899999995</v>
      </c>
      <c r="E22" s="33">
        <v>0.20572876000000001</v>
      </c>
      <c r="F22" s="33">
        <v>1.7248209999999999</v>
      </c>
      <c r="G22" s="48">
        <f t="shared" si="1"/>
        <v>1.7248452369764813</v>
      </c>
      <c r="H22" s="56">
        <f t="shared" si="2"/>
        <v>94411.465830000001</v>
      </c>
      <c r="I22" s="56">
        <f t="shared" si="3"/>
        <v>4.9362279508070106</v>
      </c>
      <c r="J22" s="56">
        <f t="shared" si="4"/>
        <v>22.57634678509466</v>
      </c>
      <c r="K22" s="56">
        <f t="shared" si="5"/>
        <v>5942.2274285050171</v>
      </c>
      <c r="L22" s="56">
        <f t="shared" si="6"/>
        <v>20642.68949015229</v>
      </c>
      <c r="M22" s="56">
        <f t="shared" si="7"/>
        <v>23402.374595243531</v>
      </c>
      <c r="N22" s="56">
        <f t="shared" si="8"/>
        <v>30000.128428277836</v>
      </c>
      <c r="O22" s="56">
        <f t="shared" si="9"/>
        <v>1.4459739348869337E-2</v>
      </c>
      <c r="P22" s="56">
        <f t="shared" si="10"/>
        <v>3794.6845031859052</v>
      </c>
      <c r="Q22" s="57">
        <f t="shared" si="11"/>
        <v>-9802.3745952435311</v>
      </c>
      <c r="R22" s="57">
        <f t="shared" si="12"/>
        <v>-0.12842827783606481</v>
      </c>
      <c r="S22" s="57">
        <f t="shared" si="13"/>
        <v>-6.3999999999619916E-7</v>
      </c>
      <c r="T22" s="57">
        <f t="shared" si="14"/>
        <v>0.23554026065113065</v>
      </c>
      <c r="U22" s="57">
        <f t="shared" si="15"/>
        <v>-2205.3154968140948</v>
      </c>
      <c r="V22" s="33">
        <f t="shared" si="16"/>
        <v>0</v>
      </c>
      <c r="W22" s="33">
        <f t="shared" si="17"/>
        <v>0</v>
      </c>
      <c r="X22" s="33">
        <f t="shared" si="18"/>
        <v>0</v>
      </c>
      <c r="Y22" s="33">
        <f t="shared" si="19"/>
        <v>1</v>
      </c>
      <c r="Z22" s="33">
        <f t="shared" si="20"/>
        <v>0</v>
      </c>
      <c r="AA22" s="57">
        <f t="shared" si="21"/>
        <v>12007.818520975463</v>
      </c>
    </row>
    <row r="23" spans="1:27">
      <c r="A23" s="65" t="s">
        <v>196</v>
      </c>
      <c r="B23" s="33">
        <v>0.17012440000000001</v>
      </c>
      <c r="C23" s="33">
        <v>10</v>
      </c>
      <c r="D23" s="33">
        <v>3.1821348999999999</v>
      </c>
      <c r="E23" s="33">
        <v>0.27250740000000001</v>
      </c>
      <c r="F23" s="33">
        <v>1.32098089</v>
      </c>
      <c r="G23" s="48">
        <f t="shared" si="1"/>
        <v>1.3209808139842925</v>
      </c>
      <c r="H23" s="56">
        <f t="shared" si="2"/>
        <v>114000</v>
      </c>
      <c r="I23" s="56">
        <f t="shared" si="3"/>
        <v>5.2734628664293375</v>
      </c>
      <c r="J23" s="56">
        <f t="shared" si="4"/>
        <v>26.808576541226316</v>
      </c>
      <c r="K23" s="56">
        <f t="shared" si="5"/>
        <v>2493.8460838770247</v>
      </c>
      <c r="L23" s="56">
        <f t="shared" si="6"/>
        <v>22424.717919970721</v>
      </c>
      <c r="M23" s="56">
        <f t="shared" si="7"/>
        <v>24801.911564187336</v>
      </c>
      <c r="N23" s="56">
        <f t="shared" si="8"/>
        <v>182648.05965356543</v>
      </c>
      <c r="O23" s="56">
        <f t="shared" si="9"/>
        <v>0.25000001443544384</v>
      </c>
      <c r="P23" s="56">
        <f t="shared" si="10"/>
        <v>3794.7334732011795</v>
      </c>
      <c r="Q23" s="57">
        <f t="shared" si="11"/>
        <v>-11201.911564187336</v>
      </c>
      <c r="R23" s="57">
        <f t="shared" si="12"/>
        <v>-152648.05965356543</v>
      </c>
      <c r="S23" s="57">
        <f t="shared" si="13"/>
        <v>0.102383</v>
      </c>
      <c r="T23" s="57">
        <f t="shared" si="14"/>
        <v>-1.4435443840277173E-8</v>
      </c>
      <c r="U23" s="57">
        <f t="shared" si="15"/>
        <v>-2205.2665267988205</v>
      </c>
      <c r="V23" s="33">
        <f t="shared" si="16"/>
        <v>0</v>
      </c>
      <c r="W23" s="33">
        <f t="shared" si="17"/>
        <v>0</v>
      </c>
      <c r="X23" s="33">
        <f t="shared" si="18"/>
        <v>1</v>
      </c>
      <c r="Y23" s="33">
        <f t="shared" si="19"/>
        <v>0</v>
      </c>
      <c r="Z23" s="33">
        <f t="shared" si="20"/>
        <v>0</v>
      </c>
      <c r="AA23" s="57">
        <f t="shared" si="21"/>
        <v>166055.23774456605</v>
      </c>
    </row>
    <row r="24" spans="1:27">
      <c r="A24" s="65" t="s">
        <v>94</v>
      </c>
      <c r="B24" s="33">
        <v>0.20569999999999999</v>
      </c>
      <c r="C24" s="33">
        <v>3.4706999999999999</v>
      </c>
      <c r="D24" s="33">
        <v>9.0366</v>
      </c>
      <c r="E24" s="33">
        <v>0.20569999999999999</v>
      </c>
      <c r="F24" s="33">
        <v>1.7248490000000001</v>
      </c>
      <c r="G24" s="48">
        <f t="shared" si="1"/>
        <v>1.7246050754120821</v>
      </c>
      <c r="H24" s="56">
        <f t="shared" si="2"/>
        <v>94412.1</v>
      </c>
      <c r="I24" s="56">
        <f t="shared" si="3"/>
        <v>4.9362401628162296</v>
      </c>
      <c r="J24" s="56">
        <f t="shared" si="4"/>
        <v>22.574370249038228</v>
      </c>
      <c r="K24" s="56">
        <f t="shared" si="5"/>
        <v>5942.7147557179587</v>
      </c>
      <c r="L24" s="56">
        <f t="shared" si="6"/>
        <v>20644.686639516673</v>
      </c>
      <c r="M24" s="56">
        <f t="shared" si="7"/>
        <v>23404.697030334661</v>
      </c>
      <c r="N24" s="56">
        <f t="shared" si="8"/>
        <v>30004.481548854583</v>
      </c>
      <c r="O24" s="56">
        <f t="shared" si="9"/>
        <v>1.4461875738848431E-2</v>
      </c>
      <c r="P24" s="56">
        <f t="shared" si="10"/>
        <v>3793.0866908932439</v>
      </c>
      <c r="Q24" s="57">
        <f t="shared" si="11"/>
        <v>-9804.6970303346607</v>
      </c>
      <c r="R24" s="57">
        <f t="shared" si="12"/>
        <v>-4.4815488545827975</v>
      </c>
      <c r="S24" s="57">
        <f t="shared" si="13"/>
        <v>0</v>
      </c>
      <c r="T24" s="57">
        <f t="shared" si="14"/>
        <v>0.23553812426115156</v>
      </c>
      <c r="U24" s="57">
        <f t="shared" si="15"/>
        <v>-2206.9133091067561</v>
      </c>
      <c r="V24" s="33">
        <f t="shared" si="16"/>
        <v>0</v>
      </c>
      <c r="W24" s="33">
        <f t="shared" si="17"/>
        <v>0</v>
      </c>
      <c r="X24" s="33">
        <f t="shared" si="18"/>
        <v>1</v>
      </c>
      <c r="Y24" s="33">
        <f t="shared" si="19"/>
        <v>1</v>
      </c>
      <c r="Z24" s="33">
        <f t="shared" si="20"/>
        <v>0</v>
      </c>
      <c r="AA24" s="57">
        <f t="shared" si="21"/>
        <v>12016.091888296</v>
      </c>
    </row>
    <row r="25" spans="1:27">
      <c r="A25" s="65" t="s">
        <v>197</v>
      </c>
      <c r="B25" s="33">
        <v>0.24435256999999999</v>
      </c>
      <c r="C25" s="33">
        <v>6.2157922000000001</v>
      </c>
      <c r="D25" s="33">
        <v>8.2939045999999994</v>
      </c>
      <c r="E25" s="33">
        <v>0.24435258000000001</v>
      </c>
      <c r="F25" s="33">
        <v>2.381065</v>
      </c>
      <c r="G25" s="48">
        <f t="shared" si="1"/>
        <v>2.3810652059088855</v>
      </c>
      <c r="H25" s="56">
        <f t="shared" si="2"/>
        <v>102647.3766</v>
      </c>
      <c r="I25" s="56">
        <f t="shared" si="3"/>
        <v>5.2805754462614498</v>
      </c>
      <c r="J25" s="56">
        <f t="shared" si="4"/>
        <v>46.06351890665384</v>
      </c>
      <c r="K25" s="56">
        <f t="shared" si="5"/>
        <v>2793.3339146130365</v>
      </c>
      <c r="L25" s="56">
        <f t="shared" si="6"/>
        <v>11767.169103939543</v>
      </c>
      <c r="M25" s="56">
        <f t="shared" si="7"/>
        <v>13599.999802256767</v>
      </c>
      <c r="N25" s="56">
        <f t="shared" si="8"/>
        <v>29984.411976324747</v>
      </c>
      <c r="O25" s="56">
        <f t="shared" si="9"/>
        <v>1.5746355722918225E-2</v>
      </c>
      <c r="P25" s="56">
        <f t="shared" si="10"/>
        <v>6000.0145320120728</v>
      </c>
      <c r="Q25" s="57">
        <f t="shared" si="11"/>
        <v>1.977432330022566E-4</v>
      </c>
      <c r="R25" s="57">
        <f t="shared" si="12"/>
        <v>15.588023675252771</v>
      </c>
      <c r="S25" s="57">
        <f t="shared" si="13"/>
        <v>1.0000000022492017E-8</v>
      </c>
      <c r="T25" s="57">
        <f t="shared" si="14"/>
        <v>0.23425364427708179</v>
      </c>
      <c r="U25" s="57">
        <f t="shared" si="15"/>
        <v>1.4532012072777434E-2</v>
      </c>
      <c r="V25" s="33">
        <f t="shared" si="16"/>
        <v>1</v>
      </c>
      <c r="W25" s="33">
        <f t="shared" si="17"/>
        <v>1</v>
      </c>
      <c r="X25" s="33">
        <f t="shared" si="18"/>
        <v>1</v>
      </c>
      <c r="Y25" s="33">
        <f t="shared" si="19"/>
        <v>1</v>
      </c>
      <c r="Z25" s="33">
        <f t="shared" si="20"/>
        <v>1</v>
      </c>
      <c r="AA25" s="57">
        <f t="shared" si="21"/>
        <v>0</v>
      </c>
    </row>
    <row r="26" spans="1:27">
      <c r="A26" s="65" t="s">
        <v>151</v>
      </c>
      <c r="B26" s="33">
        <v>0.20572960000000001</v>
      </c>
      <c r="C26" s="33">
        <v>3.4704887000000002</v>
      </c>
      <c r="D26" s="33">
        <v>9.0366239000000004</v>
      </c>
      <c r="E26" s="33">
        <v>0.20572960000000001</v>
      </c>
      <c r="F26" s="33">
        <v>1.7248523</v>
      </c>
      <c r="G26" s="48">
        <f t="shared" si="1"/>
        <v>1.7248519465373509</v>
      </c>
      <c r="H26" s="56">
        <f t="shared" si="2"/>
        <v>94411.466100000005</v>
      </c>
      <c r="I26" s="56">
        <f t="shared" si="3"/>
        <v>4.9362280649244203</v>
      </c>
      <c r="J26" s="56">
        <f t="shared" si="4"/>
        <v>22.576370350626608</v>
      </c>
      <c r="K26" s="56">
        <f t="shared" si="5"/>
        <v>5942.2214976701862</v>
      </c>
      <c r="L26" s="56">
        <f t="shared" si="6"/>
        <v>20642.668479282176</v>
      </c>
      <c r="M26" s="56">
        <f t="shared" si="7"/>
        <v>23402.350846853165</v>
      </c>
      <c r="N26" s="56">
        <f t="shared" si="8"/>
        <v>30000.005870475728</v>
      </c>
      <c r="O26" s="56">
        <f t="shared" si="9"/>
        <v>1.4459680261325233E-2</v>
      </c>
      <c r="P26" s="56">
        <f t="shared" si="10"/>
        <v>3794.7309877511971</v>
      </c>
      <c r="Q26" s="57">
        <f t="shared" si="11"/>
        <v>-9802.3508468531654</v>
      </c>
      <c r="R26" s="57">
        <f t="shared" si="12"/>
        <v>-5.8704757284431253E-3</v>
      </c>
      <c r="S26" s="57">
        <f t="shared" si="13"/>
        <v>0</v>
      </c>
      <c r="T26" s="57">
        <f t="shared" si="14"/>
        <v>0.23554031973867476</v>
      </c>
      <c r="U26" s="57">
        <f t="shared" si="15"/>
        <v>-2205.2690122488029</v>
      </c>
      <c r="V26" s="33">
        <f t="shared" si="16"/>
        <v>0</v>
      </c>
      <c r="W26" s="33">
        <f t="shared" si="17"/>
        <v>0</v>
      </c>
      <c r="X26" s="33">
        <f t="shared" si="18"/>
        <v>1</v>
      </c>
      <c r="Y26" s="33">
        <f t="shared" si="19"/>
        <v>1</v>
      </c>
      <c r="Z26" s="33">
        <f t="shared" si="20"/>
        <v>0</v>
      </c>
      <c r="AA26" s="57">
        <f t="shared" si="21"/>
        <v>12007.625729577696</v>
      </c>
    </row>
    <row r="27" spans="1:27">
      <c r="A27" s="65" t="s">
        <v>142</v>
      </c>
      <c r="B27" s="33">
        <v>0.2054</v>
      </c>
      <c r="C27" s="33">
        <v>3.2589000000000001</v>
      </c>
      <c r="D27" s="33">
        <v>9.0383999999999993</v>
      </c>
      <c r="E27" s="33">
        <v>0.20580000000000001</v>
      </c>
      <c r="F27" s="33">
        <v>1.69604</v>
      </c>
      <c r="G27" s="48">
        <f t="shared" si="1"/>
        <v>1.696377911964245</v>
      </c>
      <c r="H27" s="56">
        <f t="shared" si="2"/>
        <v>93776.7</v>
      </c>
      <c r="I27" s="56">
        <f t="shared" si="3"/>
        <v>4.9007210604665099</v>
      </c>
      <c r="J27" s="56">
        <f t="shared" si="4"/>
        <v>21.059974254003407</v>
      </c>
      <c r="K27" s="56">
        <f t="shared" si="5"/>
        <v>6338.1830696979887</v>
      </c>
      <c r="L27" s="56">
        <f t="shared" si="6"/>
        <v>21822.127754201167</v>
      </c>
      <c r="M27" s="56">
        <f t="shared" si="7"/>
        <v>24664.822856177827</v>
      </c>
      <c r="N27" s="56">
        <f t="shared" si="8"/>
        <v>29977.958305650252</v>
      </c>
      <c r="O27" s="56">
        <f t="shared" si="9"/>
        <v>1.444621424614841E-2</v>
      </c>
      <c r="P27" s="56">
        <f t="shared" si="10"/>
        <v>3799.1187608703472</v>
      </c>
      <c r="Q27" s="57">
        <f t="shared" si="11"/>
        <v>-11064.822856177827</v>
      </c>
      <c r="R27" s="57">
        <f t="shared" si="12"/>
        <v>22.041694349747559</v>
      </c>
      <c r="S27" s="57">
        <f t="shared" si="13"/>
        <v>4.0000000000001146E-4</v>
      </c>
      <c r="T27" s="57">
        <f t="shared" si="14"/>
        <v>0.23555378575385158</v>
      </c>
      <c r="U27" s="57">
        <f t="shared" si="15"/>
        <v>-2200.8812391296528</v>
      </c>
      <c r="V27" s="33">
        <f t="shared" si="16"/>
        <v>0</v>
      </c>
      <c r="W27" s="33">
        <f t="shared" si="17"/>
        <v>1</v>
      </c>
      <c r="X27" s="33">
        <f t="shared" si="18"/>
        <v>1</v>
      </c>
      <c r="Y27" s="33">
        <f t="shared" si="19"/>
        <v>1</v>
      </c>
      <c r="Z27" s="33">
        <f t="shared" si="20"/>
        <v>0</v>
      </c>
      <c r="AA27" s="57">
        <f t="shared" si="21"/>
        <v>13265.704095307479</v>
      </c>
    </row>
    <row r="28" spans="1:27">
      <c r="A28" s="65" t="s">
        <v>198</v>
      </c>
      <c r="B28" s="33">
        <v>0.20380000000000001</v>
      </c>
      <c r="C28" s="33">
        <v>3.6629999999999998</v>
      </c>
      <c r="D28" s="33">
        <v>9.0505999999999993</v>
      </c>
      <c r="E28" s="33">
        <v>0.2064</v>
      </c>
      <c r="F28" s="33">
        <v>1.73231</v>
      </c>
      <c r="G28" s="48">
        <f t="shared" si="1"/>
        <v>1.7554731805932322</v>
      </c>
      <c r="H28" s="56">
        <f t="shared" si="2"/>
        <v>94989</v>
      </c>
      <c r="I28" s="56">
        <f t="shared" si="3"/>
        <v>4.9764818988920272</v>
      </c>
      <c r="J28" s="56">
        <f t="shared" si="4"/>
        <v>23.784835003220589</v>
      </c>
      <c r="K28" s="56">
        <f t="shared" si="5"/>
        <v>5683.2289785359699</v>
      </c>
      <c r="L28" s="56">
        <f t="shared" si="6"/>
        <v>19874.472075582918</v>
      </c>
      <c r="M28" s="56">
        <f t="shared" si="7"/>
        <v>22592.760297499615</v>
      </c>
      <c r="N28" s="56">
        <f t="shared" si="8"/>
        <v>29810.283137995775</v>
      </c>
      <c r="O28" s="56">
        <f t="shared" si="9"/>
        <v>1.4346048254743508E-2</v>
      </c>
      <c r="P28" s="56">
        <f t="shared" si="10"/>
        <v>3835.8423456220034</v>
      </c>
      <c r="Q28" s="57">
        <f t="shared" si="11"/>
        <v>-8992.7602974996153</v>
      </c>
      <c r="R28" s="57">
        <f t="shared" si="12"/>
        <v>189.71686200422482</v>
      </c>
      <c r="S28" s="57">
        <f t="shared" si="13"/>
        <v>2.5999999999999912E-3</v>
      </c>
      <c r="T28" s="57">
        <f t="shared" si="14"/>
        <v>0.2356539517452565</v>
      </c>
      <c r="U28" s="57">
        <f t="shared" si="15"/>
        <v>-2164.1576543779966</v>
      </c>
      <c r="V28" s="33">
        <f t="shared" si="16"/>
        <v>0</v>
      </c>
      <c r="W28" s="33">
        <f t="shared" si="17"/>
        <v>1</v>
      </c>
      <c r="X28" s="33">
        <f t="shared" si="18"/>
        <v>1</v>
      </c>
      <c r="Y28" s="33">
        <f t="shared" si="19"/>
        <v>1</v>
      </c>
      <c r="Z28" s="33">
        <f t="shared" si="20"/>
        <v>0</v>
      </c>
      <c r="AA28" s="57">
        <f t="shared" si="21"/>
        <v>11156.917951877611</v>
      </c>
    </row>
    <row r="29" spans="1:27">
      <c r="A29" s="65" t="s">
        <v>107</v>
      </c>
      <c r="B29" s="33">
        <v>0.26</v>
      </c>
      <c r="C29" s="33">
        <v>5.1025</v>
      </c>
      <c r="D29" s="33">
        <v>8.0396099999999997</v>
      </c>
      <c r="E29" s="33">
        <v>2.302076</v>
      </c>
      <c r="F29" s="33">
        <v>2.302076</v>
      </c>
      <c r="G29" s="48">
        <f t="shared" si="1"/>
        <v>17.390102247591816</v>
      </c>
      <c r="H29" s="56">
        <f t="shared" si="2"/>
        <v>99307.5</v>
      </c>
      <c r="I29" s="56">
        <f t="shared" si="3"/>
        <v>4.8713199546452497</v>
      </c>
      <c r="J29" s="56">
        <f t="shared" si="4"/>
        <v>36.379818259510991</v>
      </c>
      <c r="K29" s="56">
        <f t="shared" si="5"/>
        <v>3198.0105431871893</v>
      </c>
      <c r="L29" s="56">
        <f t="shared" si="6"/>
        <v>13297.444284770754</v>
      </c>
      <c r="M29" s="56">
        <f t="shared" si="7"/>
        <v>15218.17351530134</v>
      </c>
      <c r="N29" s="56">
        <f t="shared" si="8"/>
        <v>3387.2005861384046</v>
      </c>
      <c r="O29" s="56">
        <f t="shared" si="9"/>
        <v>1.8350567167730971E-3</v>
      </c>
      <c r="P29" s="56">
        <f t="shared" si="10"/>
        <v>4908956.1032938994</v>
      </c>
      <c r="Q29" s="57">
        <f t="shared" si="11"/>
        <v>-1618.1735153013396</v>
      </c>
      <c r="R29" s="57">
        <f t="shared" si="12"/>
        <v>26612.799413861594</v>
      </c>
      <c r="S29" s="57">
        <f t="shared" si="13"/>
        <v>2.0420759999999998</v>
      </c>
      <c r="T29" s="57">
        <f t="shared" si="14"/>
        <v>0.24816494328322691</v>
      </c>
      <c r="U29" s="57">
        <f t="shared" si="15"/>
        <v>4902956.1032938994</v>
      </c>
      <c r="V29" s="33">
        <f t="shared" si="16"/>
        <v>0</v>
      </c>
      <c r="W29" s="33">
        <f t="shared" si="17"/>
        <v>1</v>
      </c>
      <c r="X29" s="33">
        <f t="shared" si="18"/>
        <v>1</v>
      </c>
      <c r="Y29" s="33">
        <f t="shared" si="19"/>
        <v>1</v>
      </c>
      <c r="Z29" s="33">
        <f t="shared" si="20"/>
        <v>1</v>
      </c>
      <c r="AA29" s="57">
        <f t="shared" si="21"/>
        <v>1618.1735153013396</v>
      </c>
    </row>
    <row r="30" spans="1:27">
      <c r="A30" s="65" t="s">
        <v>108</v>
      </c>
      <c r="B30" s="33">
        <v>0.21845999999999999</v>
      </c>
      <c r="C30" s="33">
        <v>3.51024</v>
      </c>
      <c r="D30" s="33">
        <v>8.8725400000000008</v>
      </c>
      <c r="E30" s="33">
        <v>0.22491</v>
      </c>
      <c r="F30" s="33">
        <v>1.86612</v>
      </c>
      <c r="G30" s="48">
        <f t="shared" si="1"/>
        <v>1.8661307520358752</v>
      </c>
      <c r="H30" s="56">
        <f t="shared" si="2"/>
        <v>94530.72</v>
      </c>
      <c r="I30" s="56">
        <f t="shared" si="3"/>
        <v>4.8725780100887048</v>
      </c>
      <c r="J30" s="56">
        <f t="shared" si="4"/>
        <v>23.520739124640929</v>
      </c>
      <c r="K30" s="56">
        <f t="shared" si="5"/>
        <v>5532.5775792679979</v>
      </c>
      <c r="L30" s="56">
        <f t="shared" si="6"/>
        <v>19583.071140281791</v>
      </c>
      <c r="M30" s="56">
        <f t="shared" si="7"/>
        <v>22184.64561735079</v>
      </c>
      <c r="N30" s="56">
        <f t="shared" si="8"/>
        <v>28465.960276888574</v>
      </c>
      <c r="O30" s="56">
        <f t="shared" si="9"/>
        <v>1.3974022256109952E-2</v>
      </c>
      <c r="P30" s="56">
        <f t="shared" si="10"/>
        <v>4898.3697432207009</v>
      </c>
      <c r="Q30" s="57">
        <f t="shared" si="11"/>
        <v>-8584.6456173507904</v>
      </c>
      <c r="R30" s="57">
        <f t="shared" si="12"/>
        <v>1534.0397231114257</v>
      </c>
      <c r="S30" s="57">
        <f t="shared" si="13"/>
        <v>6.4500000000000113E-3</v>
      </c>
      <c r="T30" s="57">
        <f t="shared" si="14"/>
        <v>0.23602597774389006</v>
      </c>
      <c r="U30" s="57">
        <f t="shared" si="15"/>
        <v>-1101.6302567792991</v>
      </c>
      <c r="V30" s="33">
        <f t="shared" si="16"/>
        <v>0</v>
      </c>
      <c r="W30" s="33">
        <f t="shared" si="17"/>
        <v>1</v>
      </c>
      <c r="X30" s="33">
        <f t="shared" si="18"/>
        <v>1</v>
      </c>
      <c r="Y30" s="33">
        <f t="shared" si="19"/>
        <v>1</v>
      </c>
      <c r="Z30" s="33">
        <f t="shared" si="20"/>
        <v>0</v>
      </c>
      <c r="AA30" s="57">
        <f t="shared" si="21"/>
        <v>9686.2758741300895</v>
      </c>
    </row>
    <row r="31" spans="1:27">
      <c r="A31" s="65" t="s">
        <v>199</v>
      </c>
      <c r="B31" s="33">
        <v>0.20573</v>
      </c>
      <c r="C31" s="33">
        <v>3.4704890000000002</v>
      </c>
      <c r="D31" s="33">
        <v>9.0366239999999998</v>
      </c>
      <c r="E31" s="33">
        <v>0.20573</v>
      </c>
      <c r="F31" s="33">
        <v>1.7248520000000001</v>
      </c>
      <c r="G31" s="48">
        <f t="shared" si="1"/>
        <v>1.7248556738155942</v>
      </c>
      <c r="H31" s="56">
        <f t="shared" si="2"/>
        <v>94411.467000000004</v>
      </c>
      <c r="I31" s="56">
        <f t="shared" si="3"/>
        <v>4.9362283516982126</v>
      </c>
      <c r="J31" s="56">
        <f t="shared" si="4"/>
        <v>22.576418705705233</v>
      </c>
      <c r="K31" s="56">
        <f t="shared" si="5"/>
        <v>5942.2094305698183</v>
      </c>
      <c r="L31" s="56">
        <f t="shared" si="6"/>
        <v>20642.6256620165</v>
      </c>
      <c r="M31" s="56">
        <f t="shared" si="7"/>
        <v>23402.302503347451</v>
      </c>
      <c r="N31" s="56">
        <f t="shared" si="8"/>
        <v>29999.946877623061</v>
      </c>
      <c r="O31" s="56">
        <f t="shared" si="9"/>
        <v>1.4459651667392898E-2</v>
      </c>
      <c r="P31" s="56">
        <f t="shared" si="10"/>
        <v>3794.75314968578</v>
      </c>
      <c r="Q31" s="57">
        <f t="shared" si="11"/>
        <v>-9802.3025033474514</v>
      </c>
      <c r="R31" s="57">
        <f t="shared" si="12"/>
        <v>5.312237693942734E-2</v>
      </c>
      <c r="S31" s="57">
        <f t="shared" si="13"/>
        <v>0</v>
      </c>
      <c r="T31" s="57">
        <f t="shared" si="14"/>
        <v>0.23554034833260709</v>
      </c>
      <c r="U31" s="57">
        <f t="shared" si="15"/>
        <v>-2205.24685031422</v>
      </c>
      <c r="V31" s="33">
        <f t="shared" si="16"/>
        <v>0</v>
      </c>
      <c r="W31" s="33">
        <f t="shared" si="17"/>
        <v>1</v>
      </c>
      <c r="X31" s="33">
        <f t="shared" si="18"/>
        <v>1</v>
      </c>
      <c r="Y31" s="33">
        <f t="shared" si="19"/>
        <v>1</v>
      </c>
      <c r="Z31" s="33">
        <f t="shared" si="20"/>
        <v>0</v>
      </c>
      <c r="AA31" s="57">
        <f t="shared" si="21"/>
        <v>12007.54935366167</v>
      </c>
    </row>
    <row r="32" spans="1:27" s="7" customFormat="1">
      <c r="F32" s="58"/>
      <c r="G32" s="58"/>
      <c r="H32" s="59"/>
      <c r="I32" s="60"/>
      <c r="J32" s="59"/>
      <c r="K32" s="59"/>
      <c r="L32" s="59"/>
      <c r="M32" s="59"/>
      <c r="N32" s="59"/>
      <c r="O32" s="59"/>
      <c r="P32" s="59"/>
      <c r="Q32" s="62"/>
      <c r="R32" s="62"/>
      <c r="S32" s="62"/>
      <c r="T32" s="62"/>
      <c r="U32" s="62"/>
      <c r="V32" s="61"/>
      <c r="W32" s="61"/>
      <c r="X32" s="61"/>
      <c r="Y32" s="61"/>
      <c r="Z32" s="61"/>
      <c r="AA32" s="62"/>
    </row>
    <row r="33" spans="1:27" ht="44.25" customHeight="1">
      <c r="A33" s="90" t="s">
        <v>216</v>
      </c>
      <c r="B33" s="90"/>
      <c r="C33" s="90"/>
      <c r="D33" s="90"/>
      <c r="E33" s="90"/>
      <c r="F33" s="90"/>
      <c r="G33" s="90"/>
      <c r="H33" s="86" t="s">
        <v>125</v>
      </c>
      <c r="I33" s="86"/>
      <c r="J33" s="86"/>
      <c r="K33" s="86"/>
      <c r="L33" s="86"/>
      <c r="M33" s="86"/>
      <c r="N33" s="86"/>
      <c r="O33" s="86"/>
      <c r="P33" s="86"/>
      <c r="Q33" s="87" t="s">
        <v>121</v>
      </c>
      <c r="R33" s="87"/>
      <c r="S33" s="87"/>
      <c r="T33" s="87"/>
      <c r="U33" s="87"/>
      <c r="V33" s="88" t="s">
        <v>122</v>
      </c>
      <c r="W33" s="88"/>
      <c r="X33" s="88"/>
      <c r="Y33" s="88"/>
      <c r="Z33" s="88"/>
      <c r="AA33" s="85" t="s">
        <v>123</v>
      </c>
    </row>
    <row r="34" spans="1:27" ht="21.75" customHeight="1">
      <c r="A34" s="54" t="s">
        <v>126</v>
      </c>
      <c r="B34" s="54" t="s">
        <v>183</v>
      </c>
      <c r="C34" s="54" t="s">
        <v>184</v>
      </c>
      <c r="D34" s="54" t="s">
        <v>185</v>
      </c>
      <c r="E34" s="54" t="s">
        <v>186</v>
      </c>
      <c r="F34" s="54" t="s">
        <v>29</v>
      </c>
      <c r="G34" s="54" t="s">
        <v>28</v>
      </c>
      <c r="H34" s="54" t="s">
        <v>8</v>
      </c>
      <c r="I34" s="54" t="s">
        <v>6</v>
      </c>
      <c r="J34" s="54" t="s">
        <v>7</v>
      </c>
      <c r="K34" s="54" t="s">
        <v>10</v>
      </c>
      <c r="L34" s="54" t="s">
        <v>12</v>
      </c>
      <c r="M34" s="54" t="s">
        <v>11</v>
      </c>
      <c r="N34" s="54" t="s">
        <v>9</v>
      </c>
      <c r="O34" s="54" t="s">
        <v>26</v>
      </c>
      <c r="P34" s="54" t="s">
        <v>27</v>
      </c>
      <c r="Q34" s="54" t="s">
        <v>20</v>
      </c>
      <c r="R34" s="54" t="s">
        <v>21</v>
      </c>
      <c r="S34" s="54" t="s">
        <v>22</v>
      </c>
      <c r="T34" s="54" t="s">
        <v>23</v>
      </c>
      <c r="U34" s="54" t="s">
        <v>24</v>
      </c>
      <c r="V34" s="54" t="s">
        <v>20</v>
      </c>
      <c r="W34" s="54" t="s">
        <v>21</v>
      </c>
      <c r="X34" s="54" t="s">
        <v>22</v>
      </c>
      <c r="Y34" s="54" t="s">
        <v>23</v>
      </c>
      <c r="Z34" s="54" t="s">
        <v>24</v>
      </c>
      <c r="AA34" s="85"/>
    </row>
    <row r="35" spans="1:27">
      <c r="A35" s="64" t="s">
        <v>200</v>
      </c>
      <c r="B35" s="34">
        <v>0.24890000000000001</v>
      </c>
      <c r="C35" s="34">
        <v>6.173</v>
      </c>
      <c r="D35" s="34">
        <v>8.1789000000000005</v>
      </c>
      <c r="E35" s="34">
        <v>0.25330000000000003</v>
      </c>
      <c r="F35" s="69">
        <v>2.4300000000000002</v>
      </c>
      <c r="G35" s="48">
        <f t="shared" si="1"/>
        <v>2.4331160003520163</v>
      </c>
      <c r="H35" s="56">
        <f t="shared" ref="H35:H62" si="22">P*(L+C35/2)</f>
        <v>102519</v>
      </c>
      <c r="I35" s="56">
        <f t="shared" ref="I35:I59" si="23">SQRT( (C35^2)/4 +((D35+B35)/2)^2)</f>
        <v>5.2233548089326662</v>
      </c>
      <c r="J35" s="56">
        <f t="shared" ref="J35:J59" si="24">2*( (B35*C35/SQRT(2))*((C35^2/12)+( (B35+D35)/2)^2))</f>
        <v>45.483740991158555</v>
      </c>
      <c r="K35" s="56">
        <f t="shared" ref="K35:K59" si="25">P/(SQRT(2)*B35*C35)</f>
        <v>2761.3094486756045</v>
      </c>
      <c r="L35" s="56">
        <f t="shared" si="6"/>
        <v>11773.286453307806</v>
      </c>
      <c r="M35" s="56">
        <f t="shared" ref="M35:M59" si="26">SQRT(K35^2+2*K35*L35*(C35/(2*I35))+L35^2)</f>
        <v>13588.793049619513</v>
      </c>
      <c r="N35" s="56">
        <f t="shared" ref="N35:N59" si="27">(6*P*L)/(E35*D35^2)</f>
        <v>29744.423098848278</v>
      </c>
      <c r="O35" s="56">
        <f t="shared" ref="O35:O59" si="28">(4*P*L^3)/(E*E35*D35^3)</f>
        <v>1.5839964698796123E-2</v>
      </c>
      <c r="P35" s="56">
        <f t="shared" ref="P35:P59" si="29">(4.013*SQRT((E*G*D35^2*E35^6)/36)/L^2)*(1-(D35*SQRT(E/(4*G)))/(2*L))</f>
        <v>6618.8184925097894</v>
      </c>
      <c r="Q35" s="57">
        <f t="shared" ref="Q35:Q59" si="30">τ_max-M35</f>
        <v>11.206950380486887</v>
      </c>
      <c r="R35" s="57">
        <f t="shared" ref="R35:R59" si="31">σ_max-N35</f>
        <v>255.57690115172227</v>
      </c>
      <c r="S35" s="57">
        <f t="shared" ref="S35:S59" si="32">E35-B35</f>
        <v>4.400000000000015E-3</v>
      </c>
      <c r="T35" s="57">
        <f t="shared" ref="T35:T59" si="33">δ_max-O35</f>
        <v>0.23416003530120388</v>
      </c>
      <c r="U35" s="57">
        <f t="shared" ref="U35:U59" si="34">P35-P</f>
        <v>618.81849250978939</v>
      </c>
      <c r="V35" s="33">
        <f>IF(Q35&gt;=0,1,0)</f>
        <v>1</v>
      </c>
      <c r="W35" s="33">
        <f t="shared" ref="W35:Z50" si="35">IF(R35&gt;=0,1,0)</f>
        <v>1</v>
      </c>
      <c r="X35" s="33">
        <f t="shared" si="35"/>
        <v>1</v>
      </c>
      <c r="Y35" s="33">
        <f t="shared" si="35"/>
        <v>1</v>
      </c>
      <c r="Z35" s="33">
        <f t="shared" si="35"/>
        <v>1</v>
      </c>
      <c r="AA35" s="57">
        <f>ABS(SUMIF(Q35:U35,"&lt;0"))</f>
        <v>0</v>
      </c>
    </row>
    <row r="36" spans="1:27">
      <c r="A36" s="64" t="s">
        <v>72</v>
      </c>
      <c r="B36" s="34">
        <v>0.23930000000000001</v>
      </c>
      <c r="C36" s="34">
        <v>6.3280000000000003</v>
      </c>
      <c r="D36" s="34">
        <v>8.3695000000000004</v>
      </c>
      <c r="E36" s="34">
        <v>0.24579999999999999</v>
      </c>
      <c r="F36" s="69">
        <v>2.41</v>
      </c>
      <c r="G36" s="48">
        <f t="shared" si="1"/>
        <v>2.4122366351605598</v>
      </c>
      <c r="H36" s="56">
        <f t="shared" si="22"/>
        <v>102984.00000000001</v>
      </c>
      <c r="I36" s="56">
        <f t="shared" si="23"/>
        <v>5.3421676649090681</v>
      </c>
      <c r="J36" s="56">
        <f t="shared" si="24"/>
        <v>46.824178485798846</v>
      </c>
      <c r="K36" s="56">
        <f t="shared" si="25"/>
        <v>2801.7351804642522</v>
      </c>
      <c r="L36" s="56">
        <f t="shared" ref="L36:L59" si="36">(H36*I36)/J36</f>
        <v>11749.438273003574</v>
      </c>
      <c r="M36" s="56">
        <f t="shared" si="26"/>
        <v>13597.521936287838</v>
      </c>
      <c r="N36" s="56">
        <f t="shared" si="27"/>
        <v>29271.813569672533</v>
      </c>
      <c r="O36" s="56">
        <f t="shared" si="28"/>
        <v>1.523328875256272E-2</v>
      </c>
      <c r="P36" s="56">
        <f t="shared" si="29"/>
        <v>6145.7590602288165</v>
      </c>
      <c r="Q36" s="57">
        <f t="shared" si="30"/>
        <v>2.4780637121621112</v>
      </c>
      <c r="R36" s="57">
        <f t="shared" si="31"/>
        <v>728.18643032746695</v>
      </c>
      <c r="S36" s="63">
        <f t="shared" si="32"/>
        <v>6.499999999999978E-3</v>
      </c>
      <c r="T36" s="57">
        <f t="shared" si="33"/>
        <v>0.23476671124743728</v>
      </c>
      <c r="U36" s="57">
        <f t="shared" si="34"/>
        <v>145.75906022881645</v>
      </c>
      <c r="V36" s="33">
        <f t="shared" ref="V36:V64" si="37">IF(Q36&gt;=0,1,0)</f>
        <v>1</v>
      </c>
      <c r="W36" s="33">
        <f t="shared" si="35"/>
        <v>1</v>
      </c>
      <c r="X36" s="33">
        <f t="shared" si="35"/>
        <v>1</v>
      </c>
      <c r="Y36" s="33">
        <f t="shared" si="35"/>
        <v>1</v>
      </c>
      <c r="Z36" s="33">
        <f t="shared" si="35"/>
        <v>1</v>
      </c>
      <c r="AA36" s="57">
        <f t="shared" ref="AA36:AA64" si="38">ABS(SUMIF(Q36:U36,"&lt;0"))</f>
        <v>0</v>
      </c>
    </row>
    <row r="37" spans="1:27">
      <c r="A37" s="64" t="s">
        <v>73</v>
      </c>
      <c r="B37" s="34">
        <v>0.24440000000000001</v>
      </c>
      <c r="C37" s="34">
        <v>6.2188999999999997</v>
      </c>
      <c r="D37" s="34">
        <v>8.2914999999999992</v>
      </c>
      <c r="E37" s="34">
        <v>0.24440000000000001</v>
      </c>
      <c r="F37" s="69">
        <v>2.38</v>
      </c>
      <c r="G37" s="48">
        <f t="shared" si="1"/>
        <v>2.3815433846931411</v>
      </c>
      <c r="H37" s="56">
        <f t="shared" si="22"/>
        <v>102656.7</v>
      </c>
      <c r="I37" s="56">
        <f t="shared" si="23"/>
        <v>5.2805375204613405</v>
      </c>
      <c r="J37" s="56">
        <f t="shared" si="24"/>
        <v>46.080790470140066</v>
      </c>
      <c r="K37" s="56">
        <f t="shared" si="25"/>
        <v>2791.3961654661907</v>
      </c>
      <c r="L37" s="56">
        <f t="shared" si="36"/>
        <v>11763.742560536331</v>
      </c>
      <c r="M37" s="56">
        <f t="shared" si="26"/>
        <v>13595.957037767037</v>
      </c>
      <c r="N37" s="56">
        <f t="shared" si="27"/>
        <v>29995.98479121866</v>
      </c>
      <c r="O37" s="56">
        <f t="shared" si="28"/>
        <v>1.5757001531900426E-2</v>
      </c>
      <c r="P37" s="56">
        <f t="shared" si="29"/>
        <v>6002.2998849803444</v>
      </c>
      <c r="Q37" s="57">
        <f t="shared" si="30"/>
        <v>4.0429622329629638</v>
      </c>
      <c r="R37" s="57">
        <f t="shared" si="31"/>
        <v>4.0152087813403341</v>
      </c>
      <c r="S37" s="57">
        <f t="shared" si="32"/>
        <v>0</v>
      </c>
      <c r="T37" s="57">
        <f t="shared" si="33"/>
        <v>0.23424299846809957</v>
      </c>
      <c r="U37" s="57">
        <f t="shared" si="34"/>
        <v>2.2998849803443591</v>
      </c>
      <c r="V37" s="33">
        <f t="shared" si="37"/>
        <v>1</v>
      </c>
      <c r="W37" s="33">
        <f t="shared" si="35"/>
        <v>1</v>
      </c>
      <c r="X37" s="33">
        <f t="shared" si="35"/>
        <v>1</v>
      </c>
      <c r="Y37" s="33">
        <f t="shared" si="35"/>
        <v>1</v>
      </c>
      <c r="Z37" s="33">
        <f t="shared" si="35"/>
        <v>1</v>
      </c>
      <c r="AA37" s="57">
        <f t="shared" si="38"/>
        <v>0</v>
      </c>
    </row>
    <row r="38" spans="1:27">
      <c r="A38" s="64" t="s">
        <v>74</v>
      </c>
      <c r="B38" s="34">
        <v>0.24340000000000001</v>
      </c>
      <c r="C38" s="34">
        <v>6.2552000000000003</v>
      </c>
      <c r="D38" s="34">
        <v>8.2914999999999992</v>
      </c>
      <c r="E38" s="34">
        <v>0.24440000000000001</v>
      </c>
      <c r="F38" s="69">
        <v>2.38</v>
      </c>
      <c r="G38" s="48">
        <f t="shared" si="1"/>
        <v>2.384106848743599</v>
      </c>
      <c r="H38" s="56">
        <f t="shared" si="22"/>
        <v>102765.6</v>
      </c>
      <c r="I38" s="56">
        <f t="shared" si="23"/>
        <v>5.2908422072955448</v>
      </c>
      <c r="J38" s="56">
        <f t="shared" si="24"/>
        <v>46.232177667771047</v>
      </c>
      <c r="K38" s="56">
        <f t="shared" si="25"/>
        <v>2786.5990103427271</v>
      </c>
      <c r="L38" s="56">
        <f t="shared" si="36"/>
        <v>11760.565938408778</v>
      </c>
      <c r="M38" s="56">
        <f t="shared" si="26"/>
        <v>13594.901647814757</v>
      </c>
      <c r="N38" s="56">
        <f t="shared" si="27"/>
        <v>29995.98479121866</v>
      </c>
      <c r="O38" s="56">
        <f t="shared" si="28"/>
        <v>1.5757001531900426E-2</v>
      </c>
      <c r="P38" s="56">
        <f t="shared" si="29"/>
        <v>6002.2998849803444</v>
      </c>
      <c r="Q38" s="57">
        <f t="shared" si="30"/>
        <v>5.0983521852431295</v>
      </c>
      <c r="R38" s="57">
        <f t="shared" si="31"/>
        <v>4.0152087813403341</v>
      </c>
      <c r="S38" s="57">
        <f t="shared" si="32"/>
        <v>1.0000000000000009E-3</v>
      </c>
      <c r="T38" s="57">
        <f t="shared" si="33"/>
        <v>0.23424299846809957</v>
      </c>
      <c r="U38" s="57">
        <f t="shared" si="34"/>
        <v>2.2998849803443591</v>
      </c>
      <c r="V38" s="33">
        <f t="shared" si="37"/>
        <v>1</v>
      </c>
      <c r="W38" s="33">
        <f t="shared" si="35"/>
        <v>1</v>
      </c>
      <c r="X38" s="33">
        <f t="shared" si="35"/>
        <v>1</v>
      </c>
      <c r="Y38" s="33">
        <f t="shared" si="35"/>
        <v>1</v>
      </c>
      <c r="Z38" s="33">
        <f t="shared" si="35"/>
        <v>1</v>
      </c>
      <c r="AA38" s="57">
        <f t="shared" si="38"/>
        <v>0</v>
      </c>
    </row>
    <row r="39" spans="1:27">
      <c r="A39" s="64" t="s">
        <v>75</v>
      </c>
      <c r="B39" s="34">
        <v>0.24410000000000001</v>
      </c>
      <c r="C39" s="34">
        <v>6.2272999999999996</v>
      </c>
      <c r="D39" s="34">
        <v>8.2927</v>
      </c>
      <c r="E39" s="34">
        <v>0.24440000000000001</v>
      </c>
      <c r="F39" s="69">
        <v>2.38</v>
      </c>
      <c r="G39" s="48">
        <f t="shared" si="1"/>
        <v>2.3821938306179038</v>
      </c>
      <c r="H39" s="56">
        <f t="shared" si="22"/>
        <v>102681.9</v>
      </c>
      <c r="I39" s="56">
        <f t="shared" si="23"/>
        <v>5.2833753304587399</v>
      </c>
      <c r="J39" s="56">
        <f t="shared" si="24"/>
        <v>46.113379362432269</v>
      </c>
      <c r="K39" s="56">
        <f t="shared" si="25"/>
        <v>2791.05686428728</v>
      </c>
      <c r="L39" s="56">
        <f t="shared" si="36"/>
        <v>11764.633710332708</v>
      </c>
      <c r="M39" s="56">
        <f t="shared" si="26"/>
        <v>13597.74922290054</v>
      </c>
      <c r="N39" s="56">
        <f t="shared" si="27"/>
        <v>29987.304246306245</v>
      </c>
      <c r="O39" s="56">
        <f t="shared" si="28"/>
        <v>1.5750162143347023E-2</v>
      </c>
      <c r="P39" s="56">
        <f t="shared" si="29"/>
        <v>6002.9030089194284</v>
      </c>
      <c r="Q39" s="57">
        <f t="shared" si="30"/>
        <v>2.2507770994598104</v>
      </c>
      <c r="R39" s="57">
        <f t="shared" si="31"/>
        <v>12.69575369375525</v>
      </c>
      <c r="S39" s="57">
        <f t="shared" si="32"/>
        <v>2.9999999999999472E-4</v>
      </c>
      <c r="T39" s="57">
        <f t="shared" si="33"/>
        <v>0.23424983785665299</v>
      </c>
      <c r="U39" s="57">
        <f t="shared" si="34"/>
        <v>2.9030089194284301</v>
      </c>
      <c r="V39" s="33">
        <f t="shared" si="37"/>
        <v>1</v>
      </c>
      <c r="W39" s="33">
        <f t="shared" si="35"/>
        <v>1</v>
      </c>
      <c r="X39" s="33">
        <f t="shared" si="35"/>
        <v>1</v>
      </c>
      <c r="Y39" s="33">
        <f t="shared" si="35"/>
        <v>1</v>
      </c>
      <c r="Z39" s="33">
        <f t="shared" si="35"/>
        <v>1</v>
      </c>
      <c r="AA39" s="57">
        <f t="shared" si="38"/>
        <v>0</v>
      </c>
    </row>
    <row r="40" spans="1:27">
      <c r="A40" s="64" t="s">
        <v>76</v>
      </c>
      <c r="B40" s="34">
        <v>0.39179999999999998</v>
      </c>
      <c r="C40" s="34">
        <v>4.6154000000000002</v>
      </c>
      <c r="D40" s="34">
        <v>6.2309000000000001</v>
      </c>
      <c r="E40" s="34">
        <v>0.43269999999999997</v>
      </c>
      <c r="F40" s="69">
        <v>3.2</v>
      </c>
      <c r="G40" s="48">
        <f t="shared" si="1"/>
        <v>3.1972852352862908</v>
      </c>
      <c r="H40" s="56">
        <f t="shared" si="22"/>
        <v>97846.2</v>
      </c>
      <c r="I40" s="56">
        <f t="shared" si="23"/>
        <v>4.0361513986098192</v>
      </c>
      <c r="J40" s="56">
        <f t="shared" si="24"/>
        <v>32.581042229050688</v>
      </c>
      <c r="K40" s="56">
        <f t="shared" si="25"/>
        <v>2346.1861955674844</v>
      </c>
      <c r="L40" s="56">
        <f t="shared" si="36"/>
        <v>12121.222955431616</v>
      </c>
      <c r="M40" s="56">
        <f t="shared" si="26"/>
        <v>13599.582942018282</v>
      </c>
      <c r="N40" s="56">
        <f t="shared" si="27"/>
        <v>30001.438500603184</v>
      </c>
      <c r="O40" s="56">
        <f t="shared" si="28"/>
        <v>2.0971758836758819E-2</v>
      </c>
      <c r="P40" s="56">
        <f t="shared" si="29"/>
        <v>26933.338199228725</v>
      </c>
      <c r="Q40" s="57">
        <f t="shared" si="30"/>
        <v>0.41705798171824426</v>
      </c>
      <c r="R40" s="57">
        <f t="shared" si="31"/>
        <v>-1.4385006031843659</v>
      </c>
      <c r="S40" s="57">
        <f t="shared" si="32"/>
        <v>4.0899999999999992E-2</v>
      </c>
      <c r="T40" s="57">
        <f t="shared" si="33"/>
        <v>0.22902824116324119</v>
      </c>
      <c r="U40" s="57">
        <f t="shared" si="34"/>
        <v>20933.338199228725</v>
      </c>
      <c r="V40" s="33">
        <f t="shared" si="37"/>
        <v>1</v>
      </c>
      <c r="W40" s="33">
        <f t="shared" si="35"/>
        <v>0</v>
      </c>
      <c r="X40" s="33">
        <f t="shared" si="35"/>
        <v>1</v>
      </c>
      <c r="Y40" s="33">
        <f t="shared" si="35"/>
        <v>1</v>
      </c>
      <c r="Z40" s="33">
        <f t="shared" si="35"/>
        <v>1</v>
      </c>
      <c r="AA40" s="57">
        <f t="shared" si="38"/>
        <v>1.4385006031843659</v>
      </c>
    </row>
    <row r="41" spans="1:27">
      <c r="A41" s="64" t="s">
        <v>77</v>
      </c>
      <c r="B41" s="34">
        <v>0.24540000000000001</v>
      </c>
      <c r="C41" s="34">
        <v>6.2148000000000003</v>
      </c>
      <c r="D41" s="34">
        <v>8.2545999999999999</v>
      </c>
      <c r="E41" s="34">
        <v>0.24660000000000001</v>
      </c>
      <c r="F41" s="69">
        <v>2.39</v>
      </c>
      <c r="G41" s="48">
        <f t="shared" si="1"/>
        <v>2.3931265448603436</v>
      </c>
      <c r="H41" s="56">
        <f t="shared" si="22"/>
        <v>102644.4</v>
      </c>
      <c r="I41" s="56">
        <f t="shared" si="23"/>
        <v>5.2648299839595962</v>
      </c>
      <c r="J41" s="56">
        <f t="shared" si="24"/>
        <v>45.899896100949611</v>
      </c>
      <c r="K41" s="56">
        <f t="shared" si="25"/>
        <v>2781.8553061465054</v>
      </c>
      <c r="L41" s="56">
        <f t="shared" si="36"/>
        <v>11773.562920861645</v>
      </c>
      <c r="M41" s="56">
        <f t="shared" si="26"/>
        <v>13602.116970805155</v>
      </c>
      <c r="N41" s="56">
        <f t="shared" si="27"/>
        <v>29994.760454440155</v>
      </c>
      <c r="O41" s="56">
        <f t="shared" si="28"/>
        <v>1.5826793004493848E-2</v>
      </c>
      <c r="P41" s="56">
        <f t="shared" si="29"/>
        <v>6146.7649616025965</v>
      </c>
      <c r="Q41" s="57">
        <f t="shared" si="30"/>
        <v>-2.1169708051547786</v>
      </c>
      <c r="R41" s="57">
        <f t="shared" si="31"/>
        <v>5.2395455598452827</v>
      </c>
      <c r="S41" s="57">
        <f t="shared" si="32"/>
        <v>1.2000000000000066E-3</v>
      </c>
      <c r="T41" s="57">
        <f t="shared" si="33"/>
        <v>0.23417320699550614</v>
      </c>
      <c r="U41" s="57">
        <f t="shared" si="34"/>
        <v>146.76496160259649</v>
      </c>
      <c r="V41" s="33">
        <f t="shared" si="37"/>
        <v>0</v>
      </c>
      <c r="W41" s="33">
        <f t="shared" si="35"/>
        <v>1</v>
      </c>
      <c r="X41" s="33">
        <f t="shared" si="35"/>
        <v>1</v>
      </c>
      <c r="Y41" s="33">
        <f t="shared" si="35"/>
        <v>1</v>
      </c>
      <c r="Z41" s="33">
        <f t="shared" si="35"/>
        <v>1</v>
      </c>
      <c r="AA41" s="57">
        <f t="shared" si="38"/>
        <v>2.1169708051547786</v>
      </c>
    </row>
    <row r="42" spans="1:27">
      <c r="A42" s="64" t="s">
        <v>78</v>
      </c>
      <c r="B42" s="34">
        <v>0.2792</v>
      </c>
      <c r="C42" s="34">
        <v>5.6256000000000004</v>
      </c>
      <c r="D42" s="34">
        <v>7.7511999999999999</v>
      </c>
      <c r="E42" s="34">
        <v>0.27960000000000002</v>
      </c>
      <c r="F42" s="69">
        <v>2.5299999999999998</v>
      </c>
      <c r="G42" s="48">
        <f t="shared" si="1"/>
        <v>2.530725825731881</v>
      </c>
      <c r="H42" s="56">
        <f t="shared" si="22"/>
        <v>100876.8</v>
      </c>
      <c r="I42" s="56">
        <f t="shared" si="23"/>
        <v>4.902415208853693</v>
      </c>
      <c r="J42" s="56">
        <f t="shared" si="24"/>
        <v>41.668852864929079</v>
      </c>
      <c r="K42" s="56">
        <f t="shared" si="25"/>
        <v>2701.1704470206942</v>
      </c>
      <c r="L42" s="56">
        <f t="shared" si="36"/>
        <v>11868.336288103716</v>
      </c>
      <c r="M42" s="56">
        <f t="shared" si="26"/>
        <v>13599.310820919745</v>
      </c>
      <c r="N42" s="56">
        <f t="shared" si="27"/>
        <v>30002.364538810583</v>
      </c>
      <c r="O42" s="56">
        <f t="shared" si="28"/>
        <v>1.6858933526011383E-2</v>
      </c>
      <c r="P42" s="56">
        <f t="shared" si="29"/>
        <v>8568.9329675347653</v>
      </c>
      <c r="Q42" s="57">
        <f t="shared" si="30"/>
        <v>0.68917908025468932</v>
      </c>
      <c r="R42" s="57">
        <f t="shared" si="31"/>
        <v>-2.3645388105833263</v>
      </c>
      <c r="S42" s="57">
        <f t="shared" si="32"/>
        <v>4.0000000000001146E-4</v>
      </c>
      <c r="T42" s="57">
        <f t="shared" si="33"/>
        <v>0.23314106647398861</v>
      </c>
      <c r="U42" s="57">
        <f t="shared" si="34"/>
        <v>2568.9329675347653</v>
      </c>
      <c r="V42" s="33">
        <f t="shared" si="37"/>
        <v>1</v>
      </c>
      <c r="W42" s="33">
        <f t="shared" si="35"/>
        <v>0</v>
      </c>
      <c r="X42" s="33">
        <f t="shared" si="35"/>
        <v>1</v>
      </c>
      <c r="Y42" s="33">
        <f t="shared" si="35"/>
        <v>1</v>
      </c>
      <c r="Z42" s="33">
        <f t="shared" si="35"/>
        <v>1</v>
      </c>
      <c r="AA42" s="57">
        <f t="shared" si="38"/>
        <v>2.3645388105833263</v>
      </c>
    </row>
    <row r="43" spans="1:27">
      <c r="A43" s="64" t="s">
        <v>201</v>
      </c>
      <c r="B43" s="34">
        <v>0.45750000000000002</v>
      </c>
      <c r="C43" s="34">
        <v>4.7313000000000001</v>
      </c>
      <c r="D43" s="34">
        <v>5.0853000000000002</v>
      </c>
      <c r="E43" s="34">
        <v>0.66</v>
      </c>
      <c r="F43" s="69">
        <v>4.12</v>
      </c>
      <c r="G43" s="48">
        <f t="shared" si="1"/>
        <v>4.1185550433342586</v>
      </c>
      <c r="H43" s="56">
        <f t="shared" si="22"/>
        <v>98193.9</v>
      </c>
      <c r="I43" s="56">
        <f t="shared" si="23"/>
        <v>3.6437560130310591</v>
      </c>
      <c r="J43" s="56">
        <f t="shared" si="24"/>
        <v>29.222149946994122</v>
      </c>
      <c r="K43" s="56">
        <f t="shared" si="25"/>
        <v>1960.0387962177169</v>
      </c>
      <c r="L43" s="56">
        <f t="shared" si="36"/>
        <v>12243.95242023506</v>
      </c>
      <c r="M43" s="56">
        <f t="shared" si="26"/>
        <v>13598.439672133329</v>
      </c>
      <c r="N43" s="56">
        <f t="shared" si="27"/>
        <v>29529.319833196088</v>
      </c>
      <c r="O43" s="56">
        <f t="shared" si="28"/>
        <v>2.5291839822872603E-2</v>
      </c>
      <c r="P43" s="56">
        <f t="shared" si="29"/>
        <v>81067.634741202506</v>
      </c>
      <c r="Q43" s="57">
        <f t="shared" si="30"/>
        <v>1.5603278666712868</v>
      </c>
      <c r="R43" s="57">
        <f t="shared" si="31"/>
        <v>470.68016680391156</v>
      </c>
      <c r="S43" s="57">
        <f t="shared" si="32"/>
        <v>0.20250000000000001</v>
      </c>
      <c r="T43" s="57">
        <f t="shared" si="33"/>
        <v>0.22470816017712739</v>
      </c>
      <c r="U43" s="57">
        <f t="shared" si="34"/>
        <v>75067.634741202506</v>
      </c>
      <c r="V43" s="33">
        <f t="shared" si="37"/>
        <v>1</v>
      </c>
      <c r="W43" s="33">
        <f t="shared" si="35"/>
        <v>1</v>
      </c>
      <c r="X43" s="33">
        <f t="shared" si="35"/>
        <v>1</v>
      </c>
      <c r="Y43" s="33">
        <f t="shared" si="35"/>
        <v>1</v>
      </c>
      <c r="Z43" s="33">
        <f t="shared" si="35"/>
        <v>1</v>
      </c>
      <c r="AA43" s="57">
        <f t="shared" si="38"/>
        <v>0</v>
      </c>
    </row>
    <row r="44" spans="1:27">
      <c r="A44" s="64" t="s">
        <v>88</v>
      </c>
      <c r="B44" s="34">
        <v>0.244428276</v>
      </c>
      <c r="C44" s="34">
        <v>6.2379672340000001</v>
      </c>
      <c r="D44" s="34">
        <v>8.2885761430000002</v>
      </c>
      <c r="E44" s="34">
        <v>0.24456618199999999</v>
      </c>
      <c r="F44" s="69">
        <v>2.3854346999999998</v>
      </c>
      <c r="G44" s="48">
        <f t="shared" si="1"/>
        <v>2.3854010630587625</v>
      </c>
      <c r="H44" s="56">
        <f t="shared" si="22"/>
        <v>102713.901702</v>
      </c>
      <c r="I44" s="56">
        <f t="shared" si="23"/>
        <v>5.2849881652452915</v>
      </c>
      <c r="J44" s="56">
        <f t="shared" si="24"/>
        <v>46.243459067904382</v>
      </c>
      <c r="K44" s="56">
        <f t="shared" si="25"/>
        <v>2782.541938294285</v>
      </c>
      <c r="L44" s="56">
        <f t="shared" si="36"/>
        <v>11738.779188298256</v>
      </c>
      <c r="M44" s="56">
        <f t="shared" si="26"/>
        <v>13568.160104313889</v>
      </c>
      <c r="N44" s="56">
        <f t="shared" si="27"/>
        <v>29996.754572431222</v>
      </c>
      <c r="O44" s="56">
        <f t="shared" si="28"/>
        <v>1.5762964443166768E-2</v>
      </c>
      <c r="P44" s="56">
        <f t="shared" si="29"/>
        <v>6013.07930495868</v>
      </c>
      <c r="Q44" s="57">
        <f t="shared" si="30"/>
        <v>31.839895686111049</v>
      </c>
      <c r="R44" s="57">
        <f t="shared" si="31"/>
        <v>3.2454275687778136</v>
      </c>
      <c r="S44" s="57">
        <f t="shared" si="32"/>
        <v>1.379059999999932E-4</v>
      </c>
      <c r="T44" s="57">
        <f t="shared" si="33"/>
        <v>0.23423703555683323</v>
      </c>
      <c r="U44" s="57">
        <f t="shared" si="34"/>
        <v>13.079304958680041</v>
      </c>
      <c r="V44" s="33">
        <f t="shared" si="37"/>
        <v>1</v>
      </c>
      <c r="W44" s="33">
        <f t="shared" si="35"/>
        <v>1</v>
      </c>
      <c r="X44" s="33">
        <f t="shared" si="35"/>
        <v>1</v>
      </c>
      <c r="Y44" s="33">
        <f t="shared" si="35"/>
        <v>1</v>
      </c>
      <c r="Z44" s="33">
        <f t="shared" si="35"/>
        <v>1</v>
      </c>
      <c r="AA44" s="57">
        <f t="shared" si="38"/>
        <v>0</v>
      </c>
    </row>
    <row r="45" spans="1:27">
      <c r="A45" s="64" t="s">
        <v>202</v>
      </c>
      <c r="B45" s="34">
        <v>0.2442</v>
      </c>
      <c r="C45" s="34">
        <v>6.2230999999999996</v>
      </c>
      <c r="D45" s="34">
        <v>8.2914999999999992</v>
      </c>
      <c r="E45" s="34">
        <v>0.24429999999999999</v>
      </c>
      <c r="F45" s="69">
        <v>2.38</v>
      </c>
      <c r="G45" s="48">
        <f t="shared" si="1"/>
        <v>2.3807514868303818</v>
      </c>
      <c r="H45" s="56">
        <f t="shared" si="22"/>
        <v>102669.3</v>
      </c>
      <c r="I45" s="56">
        <f t="shared" si="23"/>
        <v>5.2816935754547512</v>
      </c>
      <c r="J45" s="56">
        <f t="shared" si="24"/>
        <v>46.081701275951993</v>
      </c>
      <c r="K45" s="56">
        <f t="shared" si="25"/>
        <v>2791.7968516309334</v>
      </c>
      <c r="L45" s="56">
        <f t="shared" si="36"/>
        <v>11767.52956578498</v>
      </c>
      <c r="M45" s="56">
        <f t="shared" si="26"/>
        <v>13600.627051434025</v>
      </c>
      <c r="N45" s="56">
        <f t="shared" si="27"/>
        <v>30008.26313128875</v>
      </c>
      <c r="O45" s="56">
        <f t="shared" si="28"/>
        <v>1.576345138926101E-2</v>
      </c>
      <c r="P45" s="56">
        <f t="shared" si="29"/>
        <v>5994.9351006672205</v>
      </c>
      <c r="Q45" s="57">
        <f t="shared" si="30"/>
        <v>-0.62705143402490648</v>
      </c>
      <c r="R45" s="57">
        <f t="shared" si="31"/>
        <v>-8.2631312887497188</v>
      </c>
      <c r="S45" s="57">
        <f t="shared" si="32"/>
        <v>9.9999999999988987E-5</v>
      </c>
      <c r="T45" s="57">
        <f t="shared" si="33"/>
        <v>0.234236548610739</v>
      </c>
      <c r="U45" s="57">
        <f t="shared" si="34"/>
        <v>-5.0648993327795324</v>
      </c>
      <c r="V45" s="33">
        <f t="shared" si="37"/>
        <v>0</v>
      </c>
      <c r="W45" s="33">
        <f t="shared" si="35"/>
        <v>0</v>
      </c>
      <c r="X45" s="33">
        <f t="shared" si="35"/>
        <v>1</v>
      </c>
      <c r="Y45" s="33">
        <f t="shared" si="35"/>
        <v>1</v>
      </c>
      <c r="Z45" s="33">
        <f t="shared" si="35"/>
        <v>0</v>
      </c>
      <c r="AA45" s="57">
        <f t="shared" si="38"/>
        <v>13.955082055554158</v>
      </c>
    </row>
    <row r="46" spans="1:27">
      <c r="A46" s="64" t="s">
        <v>203</v>
      </c>
      <c r="B46" s="34">
        <v>0.24429999999999999</v>
      </c>
      <c r="C46" s="34">
        <v>6.2150999999999996</v>
      </c>
      <c r="D46" s="34">
        <v>8.2986000000000004</v>
      </c>
      <c r="E46" s="34">
        <v>0.24429999999999999</v>
      </c>
      <c r="F46" s="69">
        <v>2.3815</v>
      </c>
      <c r="G46" s="48">
        <f t="shared" si="1"/>
        <v>2.3814671585707097</v>
      </c>
      <c r="H46" s="56">
        <f t="shared" si="22"/>
        <v>102645.3</v>
      </c>
      <c r="I46" s="56">
        <f t="shared" si="23"/>
        <v>5.2822487734865353</v>
      </c>
      <c r="J46" s="56">
        <f t="shared" si="24"/>
        <v>46.08951274898606</v>
      </c>
      <c r="K46" s="56">
        <f t="shared" si="25"/>
        <v>2794.2461731239114</v>
      </c>
      <c r="L46" s="56">
        <f t="shared" si="36"/>
        <v>11764.021307452107</v>
      </c>
      <c r="M46" s="56">
        <f t="shared" si="26"/>
        <v>13596.938551194376</v>
      </c>
      <c r="N46" s="56">
        <f t="shared" si="27"/>
        <v>29956.936997879253</v>
      </c>
      <c r="O46" s="56">
        <f t="shared" si="28"/>
        <v>1.5723025976494918E-2</v>
      </c>
      <c r="P46" s="56">
        <f t="shared" si="29"/>
        <v>5998.4980889228664</v>
      </c>
      <c r="Q46" s="57">
        <f t="shared" si="30"/>
        <v>3.0614488056235132</v>
      </c>
      <c r="R46" s="57">
        <f t="shared" si="31"/>
        <v>43.063002120747115</v>
      </c>
      <c r="S46" s="57">
        <f t="shared" si="32"/>
        <v>0</v>
      </c>
      <c r="T46" s="57">
        <f t="shared" si="33"/>
        <v>0.23427697402350509</v>
      </c>
      <c r="U46" s="57">
        <f t="shared" si="34"/>
        <v>-1.5019110771336273</v>
      </c>
      <c r="V46" s="33">
        <f t="shared" si="37"/>
        <v>1</v>
      </c>
      <c r="W46" s="33">
        <f t="shared" si="35"/>
        <v>1</v>
      </c>
      <c r="X46" s="33">
        <f t="shared" si="35"/>
        <v>1</v>
      </c>
      <c r="Y46" s="33">
        <f t="shared" si="35"/>
        <v>1</v>
      </c>
      <c r="Z46" s="33">
        <f t="shared" si="35"/>
        <v>0</v>
      </c>
      <c r="AA46" s="57">
        <f t="shared" si="38"/>
        <v>1.5019110771336273</v>
      </c>
    </row>
    <row r="47" spans="1:27">
      <c r="A47" s="64" t="s">
        <v>204</v>
      </c>
      <c r="B47" s="34">
        <v>0.24432000000000001</v>
      </c>
      <c r="C47" s="34">
        <v>6.2152000000000003</v>
      </c>
      <c r="D47" s="34">
        <v>8.2965999999999998</v>
      </c>
      <c r="E47" s="34">
        <v>0.24435000000000001</v>
      </c>
      <c r="F47" s="69">
        <v>2.3815</v>
      </c>
      <c r="G47" s="48">
        <f t="shared" si="1"/>
        <v>2.3814788573070977</v>
      </c>
      <c r="H47" s="56">
        <f t="shared" si="22"/>
        <v>102645.6</v>
      </c>
      <c r="I47" s="56">
        <f t="shared" si="23"/>
        <v>5.2814776693270229</v>
      </c>
      <c r="J47" s="56">
        <f t="shared" si="24"/>
        <v>46.07608987609445</v>
      </c>
      <c r="K47" s="56">
        <f t="shared" si="25"/>
        <v>2793.972481948635</v>
      </c>
      <c r="L47" s="56">
        <f t="shared" si="36"/>
        <v>11765.764970780236</v>
      </c>
      <c r="M47" s="56">
        <f t="shared" si="26"/>
        <v>13598.692948491404</v>
      </c>
      <c r="N47" s="56">
        <f t="shared" si="27"/>
        <v>29965.248853769266</v>
      </c>
      <c r="O47" s="56">
        <f t="shared" si="28"/>
        <v>1.5731179774683541E-2</v>
      </c>
      <c r="P47" s="56">
        <f t="shared" si="29"/>
        <v>6001.1779126957736</v>
      </c>
      <c r="Q47" s="57">
        <f t="shared" si="30"/>
        <v>1.3070515085964871</v>
      </c>
      <c r="R47" s="57">
        <f t="shared" si="31"/>
        <v>34.751146230733866</v>
      </c>
      <c r="S47" s="57">
        <f t="shared" si="32"/>
        <v>3.0000000000002247E-5</v>
      </c>
      <c r="T47" s="57">
        <f t="shared" si="33"/>
        <v>0.23426882022531645</v>
      </c>
      <c r="U47" s="57">
        <f t="shared" si="34"/>
        <v>1.1779126957735571</v>
      </c>
      <c r="V47" s="33">
        <f t="shared" si="37"/>
        <v>1</v>
      </c>
      <c r="W47" s="33">
        <f t="shared" si="35"/>
        <v>1</v>
      </c>
      <c r="X47" s="33">
        <f t="shared" si="35"/>
        <v>1</v>
      </c>
      <c r="Y47" s="33">
        <f t="shared" si="35"/>
        <v>1</v>
      </c>
      <c r="Z47" s="33">
        <f t="shared" si="35"/>
        <v>1</v>
      </c>
      <c r="AA47" s="57">
        <f t="shared" si="38"/>
        <v>0</v>
      </c>
    </row>
    <row r="48" spans="1:27">
      <c r="A48" s="64" t="s">
        <v>205</v>
      </c>
      <c r="B48" s="34">
        <v>0.24399999999999999</v>
      </c>
      <c r="C48" s="34">
        <v>6.2190000000000003</v>
      </c>
      <c r="D48" s="34">
        <v>8.2919999999999998</v>
      </c>
      <c r="E48" s="34">
        <v>0.24399999999999999</v>
      </c>
      <c r="F48" s="69">
        <v>2.3820000000000001</v>
      </c>
      <c r="G48" s="48">
        <f t="shared" si="1"/>
        <v>2.3771100691689599</v>
      </c>
      <c r="H48" s="56">
        <f t="shared" si="22"/>
        <v>102657</v>
      </c>
      <c r="I48" s="56">
        <f t="shared" si="23"/>
        <v>5.280607375103739</v>
      </c>
      <c r="J48" s="56">
        <f t="shared" si="24"/>
        <v>46.007249922009244</v>
      </c>
      <c r="K48" s="56">
        <f t="shared" si="25"/>
        <v>2795.9272662038366</v>
      </c>
      <c r="L48" s="56">
        <f t="shared" si="36"/>
        <v>11782.736682261362</v>
      </c>
      <c r="M48" s="56">
        <f t="shared" si="26"/>
        <v>13617.930745150185</v>
      </c>
      <c r="N48" s="56">
        <f t="shared" si="27"/>
        <v>30041.535254977622</v>
      </c>
      <c r="O48" s="56">
        <f t="shared" si="28"/>
        <v>1.577997778307234E-2</v>
      </c>
      <c r="P48" s="56">
        <f t="shared" si="29"/>
        <v>5973.1269778956912</v>
      </c>
      <c r="Q48" s="57">
        <f t="shared" si="30"/>
        <v>-17.930745150184521</v>
      </c>
      <c r="R48" s="57">
        <f t="shared" si="31"/>
        <v>-41.535254977621662</v>
      </c>
      <c r="S48" s="57">
        <f t="shared" si="32"/>
        <v>0</v>
      </c>
      <c r="T48" s="57">
        <f t="shared" si="33"/>
        <v>0.23422002221692767</v>
      </c>
      <c r="U48" s="57">
        <f t="shared" si="34"/>
        <v>-26.873022104308802</v>
      </c>
      <c r="V48" s="33">
        <f t="shared" si="37"/>
        <v>0</v>
      </c>
      <c r="W48" s="33">
        <f t="shared" si="35"/>
        <v>0</v>
      </c>
      <c r="X48" s="33">
        <f t="shared" si="35"/>
        <v>1</v>
      </c>
      <c r="Y48" s="33">
        <f t="shared" si="35"/>
        <v>1</v>
      </c>
      <c r="Z48" s="33">
        <f t="shared" si="35"/>
        <v>0</v>
      </c>
      <c r="AA48" s="57">
        <f t="shared" si="38"/>
        <v>86.339022232114985</v>
      </c>
    </row>
    <row r="49" spans="1:27">
      <c r="A49" s="64" t="s">
        <v>79</v>
      </c>
      <c r="B49" s="34">
        <v>0.26</v>
      </c>
      <c r="C49" s="34">
        <v>4.992</v>
      </c>
      <c r="D49" s="34">
        <v>9.8995999999999995</v>
      </c>
      <c r="E49" s="34">
        <v>0.26019999999999999</v>
      </c>
      <c r="F49" s="69">
        <v>2.7290000000000001</v>
      </c>
      <c r="G49" s="48">
        <f t="shared" si="1"/>
        <v>2.7263855694207106</v>
      </c>
      <c r="H49" s="56">
        <f t="shared" si="22"/>
        <v>98975.999999999985</v>
      </c>
      <c r="I49" s="56">
        <f t="shared" si="23"/>
        <v>5.6598925820195563</v>
      </c>
      <c r="J49" s="56">
        <f t="shared" si="24"/>
        <v>51.176654575413998</v>
      </c>
      <c r="K49" s="56">
        <f t="shared" si="25"/>
        <v>3268.7998390650309</v>
      </c>
      <c r="L49" s="56">
        <f t="shared" si="36"/>
        <v>10946.27096760429</v>
      </c>
      <c r="M49" s="56">
        <f t="shared" si="26"/>
        <v>12730.464707610863</v>
      </c>
      <c r="N49" s="56">
        <f t="shared" si="27"/>
        <v>19764.596396075129</v>
      </c>
      <c r="O49" s="56">
        <f t="shared" si="28"/>
        <v>8.6958864637195765E-3</v>
      </c>
      <c r="P49" s="56">
        <f t="shared" si="29"/>
        <v>8135.4145386868513</v>
      </c>
      <c r="Q49" s="57">
        <f t="shared" si="30"/>
        <v>869.53529238913688</v>
      </c>
      <c r="R49" s="57">
        <f t="shared" si="31"/>
        <v>10235.403603924871</v>
      </c>
      <c r="S49" s="57">
        <f t="shared" si="32"/>
        <v>1.9999999999997797E-4</v>
      </c>
      <c r="T49" s="57">
        <f t="shared" si="33"/>
        <v>0.24130411353628042</v>
      </c>
      <c r="U49" s="57">
        <f t="shared" si="34"/>
        <v>2135.4145386868513</v>
      </c>
      <c r="V49" s="33">
        <f t="shared" si="37"/>
        <v>1</v>
      </c>
      <c r="W49" s="33">
        <f t="shared" si="35"/>
        <v>1</v>
      </c>
      <c r="X49" s="33">
        <f t="shared" si="35"/>
        <v>1</v>
      </c>
      <c r="Y49" s="33">
        <f t="shared" si="35"/>
        <v>1</v>
      </c>
      <c r="Z49" s="33">
        <f t="shared" si="35"/>
        <v>1</v>
      </c>
      <c r="AA49" s="57">
        <f t="shared" si="38"/>
        <v>0</v>
      </c>
    </row>
    <row r="50" spans="1:27">
      <c r="A50" s="64" t="s">
        <v>80</v>
      </c>
      <c r="B50" s="34">
        <v>0.26</v>
      </c>
      <c r="C50" s="34">
        <v>4.992</v>
      </c>
      <c r="D50" s="34">
        <v>9.9179999999999993</v>
      </c>
      <c r="E50" s="34">
        <v>0.26</v>
      </c>
      <c r="F50" s="69">
        <v>2.7288999999999999</v>
      </c>
      <c r="G50" s="48">
        <f t="shared" si="1"/>
        <v>2.7289476716736001</v>
      </c>
      <c r="H50" s="56">
        <f t="shared" si="22"/>
        <v>98975.999999999985</v>
      </c>
      <c r="I50" s="56">
        <f t="shared" si="23"/>
        <v>5.6681511094888775</v>
      </c>
      <c r="J50" s="56">
        <f t="shared" si="24"/>
        <v>51.348374407656934</v>
      </c>
      <c r="K50" s="56">
        <f t="shared" si="25"/>
        <v>3268.7998390650309</v>
      </c>
      <c r="L50" s="56">
        <f t="shared" si="36"/>
        <v>10925.582955341124</v>
      </c>
      <c r="M50" s="56">
        <f t="shared" si="26"/>
        <v>12708.528910870149</v>
      </c>
      <c r="N50" s="56">
        <f t="shared" si="27"/>
        <v>19706.476536328879</v>
      </c>
      <c r="O50" s="56">
        <f t="shared" si="28"/>
        <v>8.6542300220036755E-3</v>
      </c>
      <c r="P50" s="56">
        <f t="shared" si="29"/>
        <v>8125.8919862476423</v>
      </c>
      <c r="Q50" s="57">
        <f t="shared" si="30"/>
        <v>891.47108912985095</v>
      </c>
      <c r="R50" s="57">
        <f t="shared" si="31"/>
        <v>10293.523463671121</v>
      </c>
      <c r="S50" s="57">
        <f t="shared" si="32"/>
        <v>0</v>
      </c>
      <c r="T50" s="57">
        <f t="shared" si="33"/>
        <v>0.24134576997799634</v>
      </c>
      <c r="U50" s="57">
        <f t="shared" si="34"/>
        <v>2125.8919862476423</v>
      </c>
      <c r="V50" s="33">
        <f t="shared" si="37"/>
        <v>1</v>
      </c>
      <c r="W50" s="33">
        <f t="shared" si="35"/>
        <v>1</v>
      </c>
      <c r="X50" s="33">
        <f t="shared" si="35"/>
        <v>1</v>
      </c>
      <c r="Y50" s="33">
        <f t="shared" si="35"/>
        <v>1</v>
      </c>
      <c r="Z50" s="33">
        <f t="shared" si="35"/>
        <v>1</v>
      </c>
      <c r="AA50" s="57">
        <f t="shared" si="38"/>
        <v>0</v>
      </c>
    </row>
    <row r="51" spans="1:27">
      <c r="A51" s="64" t="s">
        <v>81</v>
      </c>
      <c r="B51" s="34">
        <v>0.26</v>
      </c>
      <c r="C51" s="34">
        <v>5.0049999999999999</v>
      </c>
      <c r="D51" s="34">
        <v>9.9179999999999993</v>
      </c>
      <c r="E51" s="34">
        <v>0.2601</v>
      </c>
      <c r="F51" s="69">
        <v>2.7324000000000002</v>
      </c>
      <c r="G51" s="48">
        <f t="shared" si="1"/>
        <v>2.7324381076934898</v>
      </c>
      <c r="H51" s="56">
        <f t="shared" si="22"/>
        <v>99015.000000000015</v>
      </c>
      <c r="I51" s="56">
        <f t="shared" si="23"/>
        <v>5.6710164212423155</v>
      </c>
      <c r="J51" s="56">
        <f t="shared" si="24"/>
        <v>51.502024909493954</v>
      </c>
      <c r="K51" s="56">
        <f t="shared" si="25"/>
        <v>3260.3094498726541</v>
      </c>
      <c r="L51" s="56">
        <f t="shared" si="36"/>
        <v>10902.788617264589</v>
      </c>
      <c r="M51" s="56">
        <f t="shared" si="26"/>
        <v>12683.54163780616</v>
      </c>
      <c r="N51" s="56">
        <f t="shared" si="27"/>
        <v>19698.90003631491</v>
      </c>
      <c r="O51" s="56">
        <f t="shared" si="28"/>
        <v>8.6509027517145537E-3</v>
      </c>
      <c r="P51" s="56">
        <f t="shared" si="29"/>
        <v>8135.2716220899538</v>
      </c>
      <c r="Q51" s="57">
        <f t="shared" si="30"/>
        <v>916.45836219384</v>
      </c>
      <c r="R51" s="57">
        <f t="shared" si="31"/>
        <v>10301.09996368509</v>
      </c>
      <c r="S51" s="57">
        <f t="shared" si="32"/>
        <v>9.9999999999988987E-5</v>
      </c>
      <c r="T51" s="57">
        <f t="shared" si="33"/>
        <v>0.24134909724828546</v>
      </c>
      <c r="U51" s="57">
        <f t="shared" si="34"/>
        <v>2135.2716220899538</v>
      </c>
      <c r="V51" s="33">
        <f t="shared" si="37"/>
        <v>1</v>
      </c>
      <c r="W51" s="33">
        <f t="shared" ref="W51:W64" si="39">IF(R51&gt;=0,1,0)</f>
        <v>1</v>
      </c>
      <c r="X51" s="33">
        <f t="shared" ref="X51:X64" si="40">IF(S51&gt;=0,1,0)</f>
        <v>1</v>
      </c>
      <c r="Y51" s="33">
        <f t="shared" ref="Y51:Y64" si="41">IF(T51&gt;=0,1,0)</f>
        <v>1</v>
      </c>
      <c r="Z51" s="33">
        <f t="shared" ref="Z51:Z64" si="42">IF(U51&gt;=0,1,0)</f>
        <v>1</v>
      </c>
      <c r="AA51" s="57">
        <f t="shared" si="38"/>
        <v>0</v>
      </c>
    </row>
    <row r="52" spans="1:27">
      <c r="A52" s="64" t="s">
        <v>82</v>
      </c>
      <c r="B52" s="34">
        <v>0.26650000000000001</v>
      </c>
      <c r="C52" s="34">
        <v>4.7839999999999998</v>
      </c>
      <c r="D52" s="34">
        <v>9.91</v>
      </c>
      <c r="E52" s="34">
        <v>0.26650000000000001</v>
      </c>
      <c r="F52" s="69">
        <v>2.762</v>
      </c>
      <c r="G52" s="48">
        <f t="shared" si="1"/>
        <v>2.7620284145048406</v>
      </c>
      <c r="H52" s="56">
        <f t="shared" si="22"/>
        <v>98352</v>
      </c>
      <c r="I52" s="56">
        <f t="shared" si="23"/>
        <v>5.6224507167693343</v>
      </c>
      <c r="J52" s="56">
        <f t="shared" si="24"/>
        <v>50.119792911074413</v>
      </c>
      <c r="K52" s="56">
        <f t="shared" si="25"/>
        <v>3327.7283621446763</v>
      </c>
      <c r="L52" s="56">
        <f t="shared" si="36"/>
        <v>11033.15159096581</v>
      </c>
      <c r="M52" s="56">
        <f t="shared" si="26"/>
        <v>12807.979925306659</v>
      </c>
      <c r="N52" s="56">
        <f t="shared" si="27"/>
        <v>19256.883991676492</v>
      </c>
      <c r="O52" s="56">
        <f t="shared" si="28"/>
        <v>8.4636153433537229E-3</v>
      </c>
      <c r="P52" s="56">
        <f t="shared" si="29"/>
        <v>8746.3816180486647</v>
      </c>
      <c r="Q52" s="57">
        <f t="shared" si="30"/>
        <v>792.02007469334058</v>
      </c>
      <c r="R52" s="57">
        <f t="shared" si="31"/>
        <v>10743.116008323508</v>
      </c>
      <c r="S52" s="57">
        <f t="shared" si="32"/>
        <v>0</v>
      </c>
      <c r="T52" s="57">
        <f t="shared" si="33"/>
        <v>0.24153638465664629</v>
      </c>
      <c r="U52" s="57">
        <f t="shared" si="34"/>
        <v>2746.3816180486647</v>
      </c>
      <c r="V52" s="33">
        <f t="shared" si="37"/>
        <v>1</v>
      </c>
      <c r="W52" s="33">
        <f t="shared" si="39"/>
        <v>1</v>
      </c>
      <c r="X52" s="33">
        <f t="shared" si="40"/>
        <v>1</v>
      </c>
      <c r="Y52" s="33">
        <f t="shared" si="41"/>
        <v>1</v>
      </c>
      <c r="Z52" s="33">
        <f t="shared" si="42"/>
        <v>1</v>
      </c>
      <c r="AA52" s="57">
        <f t="shared" si="38"/>
        <v>0</v>
      </c>
    </row>
    <row r="53" spans="1:27">
      <c r="A53" s="64" t="s">
        <v>83</v>
      </c>
      <c r="B53" s="34">
        <v>0.26</v>
      </c>
      <c r="C53" s="34">
        <v>4.9660000000000002</v>
      </c>
      <c r="D53" s="34">
        <v>9.9235000000000007</v>
      </c>
      <c r="E53" s="34">
        <v>0.26</v>
      </c>
      <c r="F53" s="69">
        <v>2.7250999999999999</v>
      </c>
      <c r="G53" s="48">
        <f t="shared" si="1"/>
        <v>2.7250852753046004</v>
      </c>
      <c r="H53" s="56">
        <f t="shared" si="22"/>
        <v>98898</v>
      </c>
      <c r="I53" s="56">
        <f t="shared" si="23"/>
        <v>5.664910154848001</v>
      </c>
      <c r="J53" s="56">
        <f t="shared" si="24"/>
        <v>51.092660272187324</v>
      </c>
      <c r="K53" s="56">
        <f t="shared" si="25"/>
        <v>3285.9139743480937</v>
      </c>
      <c r="L53" s="56">
        <f t="shared" si="36"/>
        <v>10965.337907823387</v>
      </c>
      <c r="M53" s="56">
        <f t="shared" si="26"/>
        <v>12752.320074500916</v>
      </c>
      <c r="N53" s="56">
        <f t="shared" si="27"/>
        <v>19684.63835723278</v>
      </c>
      <c r="O53" s="56">
        <f t="shared" si="28"/>
        <v>8.6398484361311246E-3</v>
      </c>
      <c r="P53" s="56">
        <f t="shared" si="29"/>
        <v>8128.6445286042908</v>
      </c>
      <c r="Q53" s="57">
        <f t="shared" si="30"/>
        <v>847.67992549908377</v>
      </c>
      <c r="R53" s="57">
        <f t="shared" si="31"/>
        <v>10315.36164276722</v>
      </c>
      <c r="S53" s="57">
        <f t="shared" si="32"/>
        <v>0</v>
      </c>
      <c r="T53" s="57">
        <f t="shared" si="33"/>
        <v>0.24136015156386886</v>
      </c>
      <c r="U53" s="57">
        <f t="shared" si="34"/>
        <v>2128.6445286042908</v>
      </c>
      <c r="V53" s="33">
        <f t="shared" si="37"/>
        <v>1</v>
      </c>
      <c r="W53" s="33">
        <f t="shared" si="39"/>
        <v>1</v>
      </c>
      <c r="X53" s="33">
        <f t="shared" si="40"/>
        <v>1</v>
      </c>
      <c r="Y53" s="33">
        <f t="shared" si="41"/>
        <v>1</v>
      </c>
      <c r="Z53" s="33">
        <f t="shared" si="42"/>
        <v>1</v>
      </c>
      <c r="AA53" s="57">
        <f t="shared" si="38"/>
        <v>0</v>
      </c>
    </row>
    <row r="54" spans="1:27">
      <c r="A54" s="64" t="s">
        <v>206</v>
      </c>
      <c r="B54" s="34">
        <v>0.26</v>
      </c>
      <c r="C54" s="34">
        <v>4.9725000000000001</v>
      </c>
      <c r="D54" s="34">
        <v>9.9156999999999993</v>
      </c>
      <c r="E54" s="34">
        <v>0.26</v>
      </c>
      <c r="F54" s="69">
        <v>2.7244999999999999</v>
      </c>
      <c r="G54" s="48">
        <f t="shared" si="1"/>
        <v>2.7245264325519498</v>
      </c>
      <c r="H54" s="56">
        <f t="shared" si="22"/>
        <v>98917.499999999985</v>
      </c>
      <c r="I54" s="56">
        <f t="shared" si="23"/>
        <v>5.6628311545551133</v>
      </c>
      <c r="J54" s="56">
        <f t="shared" si="24"/>
        <v>51.096791288869724</v>
      </c>
      <c r="K54" s="56">
        <f t="shared" si="25"/>
        <v>3281.6186619633249</v>
      </c>
      <c r="L54" s="56">
        <f t="shared" si="36"/>
        <v>10962.588581422762</v>
      </c>
      <c r="M54" s="56">
        <f t="shared" si="26"/>
        <v>12748.993858183801</v>
      </c>
      <c r="N54" s="56">
        <f t="shared" si="27"/>
        <v>19715.619643262402</v>
      </c>
      <c r="O54" s="56">
        <f t="shared" si="28"/>
        <v>8.6602536047310653E-3</v>
      </c>
      <c r="P54" s="56">
        <f t="shared" si="29"/>
        <v>8124.7403466622964</v>
      </c>
      <c r="Q54" s="57">
        <f t="shared" si="30"/>
        <v>851.00614181619858</v>
      </c>
      <c r="R54" s="57">
        <f t="shared" si="31"/>
        <v>10284.380356737598</v>
      </c>
      <c r="S54" s="57">
        <f t="shared" si="32"/>
        <v>0</v>
      </c>
      <c r="T54" s="57">
        <f t="shared" si="33"/>
        <v>0.24133974639526892</v>
      </c>
      <c r="U54" s="57">
        <f t="shared" si="34"/>
        <v>2124.7403466622964</v>
      </c>
      <c r="V54" s="33">
        <f t="shared" si="37"/>
        <v>1</v>
      </c>
      <c r="W54" s="33">
        <f t="shared" si="39"/>
        <v>1</v>
      </c>
      <c r="X54" s="33">
        <f t="shared" si="40"/>
        <v>1</v>
      </c>
      <c r="Y54" s="33">
        <f t="shared" si="41"/>
        <v>1</v>
      </c>
      <c r="Z54" s="33">
        <f t="shared" si="42"/>
        <v>1</v>
      </c>
      <c r="AA54" s="57">
        <f t="shared" si="38"/>
        <v>0</v>
      </c>
    </row>
    <row r="55" spans="1:27">
      <c r="A55" s="64" t="s">
        <v>207</v>
      </c>
      <c r="B55" s="34">
        <v>0.2407</v>
      </c>
      <c r="C55" s="34">
        <v>6.4851000000000001</v>
      </c>
      <c r="D55" s="34">
        <v>8.2399000000000004</v>
      </c>
      <c r="E55" s="34">
        <v>0.24970000000000001</v>
      </c>
      <c r="F55" s="69">
        <v>2.4426000000000001</v>
      </c>
      <c r="G55" s="48">
        <f t="shared" si="1"/>
        <v>2.4428137365834459</v>
      </c>
      <c r="H55" s="56">
        <f t="shared" si="22"/>
        <v>103455.3</v>
      </c>
      <c r="I55" s="56">
        <f t="shared" si="23"/>
        <v>5.3380028655387592</v>
      </c>
      <c r="J55" s="56">
        <f t="shared" si="24"/>
        <v>47.428586028323231</v>
      </c>
      <c r="K55" s="56">
        <f t="shared" si="25"/>
        <v>2717.9626537468039</v>
      </c>
      <c r="L55" s="56">
        <f t="shared" si="36"/>
        <v>11643.709713913557</v>
      </c>
      <c r="M55" s="56">
        <f t="shared" si="26"/>
        <v>13468.89773596166</v>
      </c>
      <c r="N55" s="56">
        <f t="shared" si="27"/>
        <v>29728.165623637648</v>
      </c>
      <c r="O55" s="56">
        <f t="shared" si="28"/>
        <v>1.5714107809380047E-2</v>
      </c>
      <c r="P55" s="56">
        <f t="shared" si="29"/>
        <v>6373.5866247410395</v>
      </c>
      <c r="Q55" s="57">
        <f t="shared" si="30"/>
        <v>131.10226403833985</v>
      </c>
      <c r="R55" s="57">
        <f t="shared" si="31"/>
        <v>271.83437636235249</v>
      </c>
      <c r="S55" s="57">
        <f t="shared" si="32"/>
        <v>9.000000000000008E-3</v>
      </c>
      <c r="T55" s="57">
        <f t="shared" si="33"/>
        <v>0.23428589219061996</v>
      </c>
      <c r="U55" s="57">
        <f t="shared" si="34"/>
        <v>373.58662474103949</v>
      </c>
      <c r="V55" s="33">
        <f t="shared" si="37"/>
        <v>1</v>
      </c>
      <c r="W55" s="33">
        <f t="shared" si="39"/>
        <v>1</v>
      </c>
      <c r="X55" s="33">
        <f t="shared" si="40"/>
        <v>1</v>
      </c>
      <c r="Y55" s="33">
        <f t="shared" si="41"/>
        <v>1</v>
      </c>
      <c r="Z55" s="33">
        <f t="shared" si="42"/>
        <v>1</v>
      </c>
      <c r="AA55" s="57">
        <f t="shared" si="38"/>
        <v>0</v>
      </c>
    </row>
    <row r="56" spans="1:27">
      <c r="A56" s="64" t="s">
        <v>208</v>
      </c>
      <c r="B56" s="34">
        <v>0.24436898000000001</v>
      </c>
      <c r="C56" s="34">
        <v>6.2175197400000002</v>
      </c>
      <c r="D56" s="34">
        <v>8.2914713899999999</v>
      </c>
      <c r="E56" s="34">
        <v>0.24436878000000001</v>
      </c>
      <c r="F56" s="69">
        <v>2.3809565827000001</v>
      </c>
      <c r="G56" s="48">
        <f t="shared" si="1"/>
        <v>2.3809550192515117</v>
      </c>
      <c r="H56" s="56">
        <f t="shared" si="22"/>
        <v>102652.55922</v>
      </c>
      <c r="I56" s="56">
        <f t="shared" si="23"/>
        <v>5.2801070666088634</v>
      </c>
      <c r="J56" s="56">
        <f t="shared" si="24"/>
        <v>46.061095122565682</v>
      </c>
      <c r="K56" s="56">
        <f t="shared" si="25"/>
        <v>2792.3702584486682</v>
      </c>
      <c r="L56" s="56">
        <f t="shared" si="36"/>
        <v>11767.338616260316</v>
      </c>
      <c r="M56" s="56">
        <f t="shared" si="26"/>
        <v>13599.999720632142</v>
      </c>
      <c r="N56" s="56">
        <f t="shared" si="27"/>
        <v>30000.024041174958</v>
      </c>
      <c r="O56" s="56">
        <f t="shared" si="28"/>
        <v>1.5759177742195624E-2</v>
      </c>
      <c r="P56" s="56">
        <f t="shared" si="29"/>
        <v>5999.9855771871289</v>
      </c>
      <c r="Q56" s="57">
        <f t="shared" si="30"/>
        <v>2.7936785772908479E-4</v>
      </c>
      <c r="R56" s="57">
        <f t="shared" si="31"/>
        <v>-2.4041174958256306E-2</v>
      </c>
      <c r="S56" s="57">
        <f t="shared" si="32"/>
        <v>-2.0000000000575113E-7</v>
      </c>
      <c r="T56" s="57">
        <f t="shared" si="33"/>
        <v>0.23424082225780438</v>
      </c>
      <c r="U56" s="57">
        <f t="shared" si="34"/>
        <v>-1.4422812871089263E-2</v>
      </c>
      <c r="V56" s="33">
        <f t="shared" si="37"/>
        <v>1</v>
      </c>
      <c r="W56" s="33">
        <f t="shared" si="39"/>
        <v>0</v>
      </c>
      <c r="X56" s="33">
        <f t="shared" si="40"/>
        <v>0</v>
      </c>
      <c r="Y56" s="33">
        <f t="shared" si="41"/>
        <v>1</v>
      </c>
      <c r="Z56" s="33">
        <f t="shared" si="42"/>
        <v>0</v>
      </c>
      <c r="AA56" s="57">
        <f t="shared" si="38"/>
        <v>3.8464187829345575E-2</v>
      </c>
    </row>
    <row r="57" spans="1:27" ht="27.75">
      <c r="A57" s="64" t="s">
        <v>209</v>
      </c>
      <c r="B57" s="34">
        <v>0.24438575000000001</v>
      </c>
      <c r="C57" s="34">
        <v>6.2183036999999999</v>
      </c>
      <c r="D57" s="34">
        <v>8.2911649999999995</v>
      </c>
      <c r="E57" s="34">
        <v>0.24438747999999999</v>
      </c>
      <c r="F57" s="69">
        <v>2.3812175</v>
      </c>
      <c r="G57" s="48">
        <f t="shared" si="1"/>
        <v>2.381217445072473</v>
      </c>
      <c r="H57" s="56">
        <f t="shared" si="22"/>
        <v>102654.9111</v>
      </c>
      <c r="I57" s="56">
        <f t="shared" si="23"/>
        <v>5.2802208171453211</v>
      </c>
      <c r="J57" s="56">
        <f t="shared" si="24"/>
        <v>46.069153870210776</v>
      </c>
      <c r="K57" s="56">
        <f t="shared" si="25"/>
        <v>2791.8266248996915</v>
      </c>
      <c r="L57" s="56">
        <f t="shared" si="36"/>
        <v>11765.803211830127</v>
      </c>
      <c r="M57" s="56">
        <f t="shared" si="26"/>
        <v>13598.245733241511</v>
      </c>
      <c r="N57" s="56">
        <f t="shared" si="27"/>
        <v>29999.945605091074</v>
      </c>
      <c r="O57" s="56">
        <f t="shared" si="28"/>
        <v>1.575971889916784E-2</v>
      </c>
      <c r="P57" s="56">
        <f t="shared" si="29"/>
        <v>6001.209123909739</v>
      </c>
      <c r="Q57" s="57">
        <f t="shared" si="30"/>
        <v>1.7542667584893934</v>
      </c>
      <c r="R57" s="57">
        <f t="shared" si="31"/>
        <v>5.4394908926042262E-2</v>
      </c>
      <c r="S57" s="57">
        <f t="shared" si="32"/>
        <v>1.7299999999775828E-6</v>
      </c>
      <c r="T57" s="57">
        <f t="shared" si="33"/>
        <v>0.23424028110083217</v>
      </c>
      <c r="U57" s="57">
        <f t="shared" si="34"/>
        <v>1.2091239097389916</v>
      </c>
      <c r="V57" s="33">
        <f t="shared" si="37"/>
        <v>1</v>
      </c>
      <c r="W57" s="33">
        <f t="shared" si="39"/>
        <v>1</v>
      </c>
      <c r="X57" s="33">
        <f t="shared" si="40"/>
        <v>1</v>
      </c>
      <c r="Y57" s="33">
        <f t="shared" si="41"/>
        <v>1</v>
      </c>
      <c r="Z57" s="33">
        <f t="shared" si="42"/>
        <v>1</v>
      </c>
      <c r="AA57" s="57">
        <f t="shared" si="38"/>
        <v>0</v>
      </c>
    </row>
    <row r="58" spans="1:27">
      <c r="A58" s="64" t="s">
        <v>210</v>
      </c>
      <c r="B58" s="34">
        <v>0.2443689758</v>
      </c>
      <c r="C58" s="34">
        <v>6.2175197151999999</v>
      </c>
      <c r="D58" s="34">
        <v>8.2914713904999999</v>
      </c>
      <c r="E58" s="34">
        <v>0.2443689758</v>
      </c>
      <c r="F58" s="69">
        <v>2.3809565799999999</v>
      </c>
      <c r="G58" s="48">
        <f t="shared" si="1"/>
        <v>2.3809565803100909</v>
      </c>
      <c r="H58" s="56">
        <f t="shared" si="22"/>
        <v>102652.5591456</v>
      </c>
      <c r="I58" s="56">
        <f t="shared" si="23"/>
        <v>5.2801070578127769</v>
      </c>
      <c r="J58" s="56">
        <f t="shared" si="24"/>
        <v>46.061094058031813</v>
      </c>
      <c r="K58" s="56">
        <f t="shared" si="25"/>
        <v>2792.3703175794913</v>
      </c>
      <c r="L58" s="56">
        <f t="shared" si="36"/>
        <v>11767.338860087562</v>
      </c>
      <c r="M58" s="56">
        <f t="shared" si="26"/>
        <v>13600.00000003756</v>
      </c>
      <c r="N58" s="56">
        <f t="shared" si="27"/>
        <v>30000.000000116317</v>
      </c>
      <c r="O58" s="56">
        <f t="shared" si="28"/>
        <v>1.5759165112344879E-2</v>
      </c>
      <c r="P58" s="56">
        <f t="shared" si="29"/>
        <v>5999.9999998795156</v>
      </c>
      <c r="Q58" s="57">
        <f t="shared" si="30"/>
        <v>-3.756031219381839E-8</v>
      </c>
      <c r="R58" s="57">
        <f t="shared" si="31"/>
        <v>-1.1631709639914334E-7</v>
      </c>
      <c r="S58" s="57">
        <f t="shared" si="32"/>
        <v>0</v>
      </c>
      <c r="T58" s="57">
        <f t="shared" si="33"/>
        <v>0.23424083488765512</v>
      </c>
      <c r="U58" s="57">
        <f t="shared" si="34"/>
        <v>-1.204844011226669E-7</v>
      </c>
      <c r="V58" s="33">
        <f t="shared" si="37"/>
        <v>0</v>
      </c>
      <c r="W58" s="33">
        <f t="shared" si="39"/>
        <v>0</v>
      </c>
      <c r="X58" s="33">
        <f t="shared" si="40"/>
        <v>1</v>
      </c>
      <c r="Y58" s="33">
        <f t="shared" si="41"/>
        <v>1</v>
      </c>
      <c r="Z58" s="33">
        <f t="shared" si="42"/>
        <v>0</v>
      </c>
      <c r="AA58" s="57">
        <f t="shared" si="38"/>
        <v>2.7436180971562862E-7</v>
      </c>
    </row>
    <row r="59" spans="1:27">
      <c r="A59" s="73" t="s">
        <v>211</v>
      </c>
      <c r="B59" s="74">
        <v>0.244364</v>
      </c>
      <c r="C59" s="74">
        <v>6.2181680000000004</v>
      </c>
      <c r="D59" s="74">
        <v>8.2921680000000002</v>
      </c>
      <c r="E59" s="74">
        <v>0.244365</v>
      </c>
      <c r="F59" s="76">
        <v>2.38117</v>
      </c>
      <c r="G59" s="48">
        <f t="shared" si="1"/>
        <v>2.3811793505095249</v>
      </c>
      <c r="H59" s="56">
        <f t="shared" si="22"/>
        <v>102654.504</v>
      </c>
      <c r="I59" s="56">
        <f t="shared" si="23"/>
        <v>5.2805774273096304</v>
      </c>
      <c r="J59" s="56">
        <f t="shared" si="24"/>
        <v>46.072745855746774</v>
      </c>
      <c r="K59" s="56">
        <f t="shared" si="25"/>
        <v>2792.136047663028</v>
      </c>
      <c r="L59" s="56">
        <f t="shared" si="36"/>
        <v>11765.63381595047</v>
      </c>
      <c r="M59" s="56">
        <f t="shared" si="26"/>
        <v>13598.172752737994</v>
      </c>
      <c r="N59" s="56">
        <f t="shared" si="27"/>
        <v>29995.447739952742</v>
      </c>
      <c r="O59" s="56">
        <f t="shared" si="28"/>
        <v>1.5755450087977897E-2</v>
      </c>
      <c r="P59" s="56">
        <f t="shared" si="29"/>
        <v>6000.0571290165672</v>
      </c>
      <c r="Q59" s="57">
        <f t="shared" si="30"/>
        <v>1.8272472620064946</v>
      </c>
      <c r="R59" s="57">
        <f t="shared" si="31"/>
        <v>4.5522600472577324</v>
      </c>
      <c r="S59" s="57">
        <f t="shared" si="32"/>
        <v>1.0000000000010001E-6</v>
      </c>
      <c r="T59" s="57">
        <f t="shared" si="33"/>
        <v>0.23424454991202209</v>
      </c>
      <c r="U59" s="57">
        <f t="shared" si="34"/>
        <v>5.7129016567159852E-2</v>
      </c>
      <c r="V59" s="33">
        <f t="shared" si="37"/>
        <v>1</v>
      </c>
      <c r="W59" s="33">
        <f t="shared" si="39"/>
        <v>1</v>
      </c>
      <c r="X59" s="33">
        <f t="shared" si="40"/>
        <v>1</v>
      </c>
      <c r="Y59" s="33">
        <f t="shared" si="41"/>
        <v>1</v>
      </c>
      <c r="Z59" s="33">
        <f t="shared" si="42"/>
        <v>1</v>
      </c>
      <c r="AA59" s="57">
        <f t="shared" si="38"/>
        <v>0</v>
      </c>
    </row>
    <row r="60" spans="1:27">
      <c r="A60" s="78" t="s">
        <v>213</v>
      </c>
      <c r="B60" s="75">
        <v>0.20329</v>
      </c>
      <c r="C60" s="75">
        <v>3.4711400000000001</v>
      </c>
      <c r="D60" s="75">
        <v>9.0350999999999999</v>
      </c>
      <c r="E60" s="75">
        <v>0.20115</v>
      </c>
      <c r="F60" s="77">
        <v>1.72102</v>
      </c>
      <c r="G60" s="72">
        <f t="shared" si="1"/>
        <v>1.6860717963136669</v>
      </c>
      <c r="H60" s="56">
        <f t="shared" si="22"/>
        <v>94413.42</v>
      </c>
      <c r="I60" s="56">
        <f t="shared" ref="I60:I62" si="43">SQRT( (C60^2)/4 +((D60+B60)/2)^2)</f>
        <v>4.9344873769141415</v>
      </c>
      <c r="J60" s="56">
        <f t="shared" ref="J60:J62" si="44">2*( (B60*C60/SQRT(2))*((C60^2/12)+( (B60+D60)/2)^2))</f>
        <v>22.294941614439264</v>
      </c>
      <c r="K60" s="56">
        <f t="shared" ref="K60:K62" si="45">P/(SQRT(2)*B60*C60)</f>
        <v>6012.403327001105</v>
      </c>
      <c r="L60" s="56">
        <f t="shared" ref="L60:L62" si="46">(H60*I60)/J60</f>
        <v>20896.301827476684</v>
      </c>
      <c r="M60" s="56">
        <f t="shared" ref="M60:M62" si="47">SQRT(K60^2+2*K60*L60*(C60/(2*I60))+L60^2)</f>
        <v>23689.304073344902</v>
      </c>
      <c r="N60" s="56">
        <f t="shared" ref="N60:N62" si="48">(6*P*L)/(E60*D60^2)</f>
        <v>30693.369821867909</v>
      </c>
      <c r="O60" s="56">
        <f t="shared" ref="O60:O62" si="49">(4*P*L^3)/(E*E60*D60^3)</f>
        <v>1.4796369431036516E-2</v>
      </c>
      <c r="P60" s="56">
        <f t="shared" ref="P60:P62" si="50">(4.013*SQRT((E*G*D60^2*E60^6)/36)/L^2)*(1-(D60*SQRT(E/(4*G)))/(2*L))</f>
        <v>3546.5215406566667</v>
      </c>
      <c r="Q60" s="57">
        <f t="shared" ref="Q60:Q62" si="51">τ_max-M60</f>
        <v>-10089.304073344902</v>
      </c>
      <c r="R60" s="57">
        <f t="shared" ref="R60:R62" si="52">σ_max-N60</f>
        <v>-693.3698218679092</v>
      </c>
      <c r="S60" s="57">
        <f t="shared" ref="S60:S62" si="53">E60-B60</f>
        <v>-2.140000000000003E-3</v>
      </c>
      <c r="T60" s="57">
        <f t="shared" ref="T60:T62" si="54">δ_max-O60</f>
        <v>0.23520363056896348</v>
      </c>
      <c r="U60" s="57">
        <f t="shared" ref="U60:U62" si="55">P60-P</f>
        <v>-2453.4784593433333</v>
      </c>
      <c r="V60" s="33">
        <f t="shared" si="37"/>
        <v>0</v>
      </c>
      <c r="W60" s="33">
        <f t="shared" si="39"/>
        <v>0</v>
      </c>
      <c r="X60" s="33">
        <f t="shared" si="40"/>
        <v>0</v>
      </c>
      <c r="Y60" s="33">
        <f t="shared" si="41"/>
        <v>1</v>
      </c>
      <c r="Z60" s="33">
        <f t="shared" si="42"/>
        <v>0</v>
      </c>
      <c r="AA60" s="57">
        <f t="shared" si="38"/>
        <v>13236.154494556144</v>
      </c>
    </row>
    <row r="61" spans="1:27" ht="24">
      <c r="A61" s="78" t="s">
        <v>214</v>
      </c>
      <c r="B61" s="75">
        <v>0.20573</v>
      </c>
      <c r="C61" s="75">
        <v>3.4704899999999999</v>
      </c>
      <c r="D61" s="75">
        <v>9.0366239999999998</v>
      </c>
      <c r="E61" s="75">
        <v>0.20573</v>
      </c>
      <c r="F61" s="77">
        <v>1.724853</v>
      </c>
      <c r="G61" s="72">
        <f t="shared" si="1"/>
        <v>1.7248558100137852</v>
      </c>
      <c r="H61" s="56">
        <f t="shared" si="22"/>
        <v>94411.47</v>
      </c>
      <c r="I61" s="56">
        <f t="shared" si="43"/>
        <v>4.9362285274644648</v>
      </c>
      <c r="J61" s="56">
        <f t="shared" si="44"/>
        <v>22.576425795001452</v>
      </c>
      <c r="K61" s="56">
        <f t="shared" si="45"/>
        <v>5942.2077183593155</v>
      </c>
      <c r="L61" s="56">
        <f t="shared" si="46"/>
        <v>20642.620570924853</v>
      </c>
      <c r="M61" s="56">
        <f t="shared" si="47"/>
        <v>23402.297057820073</v>
      </c>
      <c r="N61" s="56">
        <f t="shared" si="48"/>
        <v>29999.946877623061</v>
      </c>
      <c r="O61" s="56">
        <f t="shared" si="49"/>
        <v>1.4459651667392898E-2</v>
      </c>
      <c r="P61" s="56">
        <f t="shared" si="50"/>
        <v>3794.75314968578</v>
      </c>
      <c r="Q61" s="57">
        <f t="shared" si="51"/>
        <v>-9802.297057820073</v>
      </c>
      <c r="R61" s="57">
        <f t="shared" si="52"/>
        <v>5.312237693942734E-2</v>
      </c>
      <c r="S61" s="57">
        <f t="shared" si="53"/>
        <v>0</v>
      </c>
      <c r="T61" s="57">
        <f t="shared" si="54"/>
        <v>0.23554034833260709</v>
      </c>
      <c r="U61" s="57">
        <f t="shared" si="55"/>
        <v>-2205.24685031422</v>
      </c>
      <c r="V61" s="33">
        <f t="shared" si="37"/>
        <v>0</v>
      </c>
      <c r="W61" s="33">
        <f t="shared" si="39"/>
        <v>1</v>
      </c>
      <c r="X61" s="33">
        <f t="shared" si="40"/>
        <v>1</v>
      </c>
      <c r="Y61" s="33">
        <f t="shared" si="41"/>
        <v>1</v>
      </c>
      <c r="Z61" s="33">
        <f t="shared" si="42"/>
        <v>0</v>
      </c>
      <c r="AA61" s="57">
        <f t="shared" si="38"/>
        <v>12007.543908134292</v>
      </c>
    </row>
    <row r="62" spans="1:27">
      <c r="A62" s="78" t="s">
        <v>178</v>
      </c>
      <c r="B62" s="75">
        <v>0.20541499999999999</v>
      </c>
      <c r="C62" s="75">
        <v>3.4723459999999999</v>
      </c>
      <c r="D62" s="75">
        <v>9.0352200000000007</v>
      </c>
      <c r="E62" s="75">
        <v>0.20116000000000001</v>
      </c>
      <c r="F62" s="77">
        <v>1.72359</v>
      </c>
      <c r="G62" s="72">
        <f t="shared" si="1"/>
        <v>1.6896600450732804</v>
      </c>
      <c r="H62" s="56">
        <f t="shared" si="22"/>
        <v>94417.038</v>
      </c>
      <c r="I62" s="56">
        <f t="shared" si="43"/>
        <v>4.9357502455792126</v>
      </c>
      <c r="J62" s="56">
        <f t="shared" si="44"/>
        <v>22.54698442090551</v>
      </c>
      <c r="K62" s="56">
        <f t="shared" si="45"/>
        <v>5948.1389472352967</v>
      </c>
      <c r="L62" s="56">
        <f t="shared" si="46"/>
        <v>20668.791435508789</v>
      </c>
      <c r="M62" s="56">
        <f t="shared" si="47"/>
        <v>23432.228190781978</v>
      </c>
      <c r="N62" s="56">
        <f t="shared" si="48"/>
        <v>30691.028749745386</v>
      </c>
      <c r="O62" s="56">
        <f t="shared" si="49"/>
        <v>1.4795044368224437E-2</v>
      </c>
      <c r="P62" s="56">
        <f t="shared" si="50"/>
        <v>3547.0814801526926</v>
      </c>
      <c r="Q62" s="57">
        <f t="shared" si="51"/>
        <v>-9832.2281907819779</v>
      </c>
      <c r="R62" s="57">
        <f t="shared" si="52"/>
        <v>-691.02874974538645</v>
      </c>
      <c r="S62" s="57">
        <f t="shared" si="53"/>
        <v>-4.254999999999981E-3</v>
      </c>
      <c r="T62" s="57">
        <f t="shared" si="54"/>
        <v>0.23520495563177557</v>
      </c>
      <c r="U62" s="57">
        <f t="shared" si="55"/>
        <v>-2452.9185198473074</v>
      </c>
      <c r="V62" s="33">
        <f t="shared" si="37"/>
        <v>0</v>
      </c>
      <c r="W62" s="33">
        <f t="shared" si="39"/>
        <v>0</v>
      </c>
      <c r="X62" s="33">
        <f t="shared" si="40"/>
        <v>0</v>
      </c>
      <c r="Y62" s="33">
        <f t="shared" si="41"/>
        <v>1</v>
      </c>
      <c r="Z62" s="33">
        <f t="shared" si="42"/>
        <v>0</v>
      </c>
      <c r="AA62" s="57">
        <f t="shared" si="38"/>
        <v>12976.179715374672</v>
      </c>
    </row>
    <row r="63" spans="1:27">
      <c r="A63" s="78" t="s">
        <v>85</v>
      </c>
      <c r="B63" s="75">
        <v>0.205731</v>
      </c>
      <c r="C63" s="75">
        <v>3.4704670000000002</v>
      </c>
      <c r="D63" s="75">
        <v>9.0366239999999998</v>
      </c>
      <c r="E63" s="75">
        <v>0.20573</v>
      </c>
      <c r="F63" s="77">
        <v>1.7248509999999999</v>
      </c>
      <c r="G63" s="72">
        <f t="shared" ref="G63:G64" si="56">1.10471*B63^2*C63+0.04811*D63*E63*(14+C63)</f>
        <v>1.7248542549390939</v>
      </c>
      <c r="H63" s="56">
        <f t="shared" ref="H63:H64" si="57">P*(L+C63/2)</f>
        <v>94411.400999999998</v>
      </c>
      <c r="I63" s="56">
        <f t="shared" ref="I63:I64" si="58">SQRT( (C63^2)/4 +((D63+B63)/2)^2)</f>
        <v>4.9362249529401003</v>
      </c>
      <c r="J63" s="56">
        <f t="shared" ref="J63:J64" si="59">2*( (B63*C63/SQRT(2))*((C63^2/12)+( (B63+D63)/2)^2))</f>
        <v>22.576377144768284</v>
      </c>
      <c r="K63" s="56">
        <f t="shared" ref="K63:K64" si="60">P/(SQRT(2)*B63*C63)</f>
        <v>5942.2182158739315</v>
      </c>
      <c r="L63" s="56">
        <f t="shared" ref="L63:L64" si="61">(H63*I63)/J63</f>
        <v>20642.635019331716</v>
      </c>
      <c r="M63" s="56">
        <f t="shared" ref="M63:M64" si="62">SQRT(K63^2+2*K63*L63*(C63/(2*I63))+L63^2)</f>
        <v>23402.306135703795</v>
      </c>
      <c r="N63" s="56">
        <f t="shared" ref="N63:N64" si="63">(6*P*L)/(E63*D63^2)</f>
        <v>29999.946877623061</v>
      </c>
      <c r="O63" s="56">
        <f t="shared" ref="O63:O64" si="64">(4*P*L^3)/(E*E63*D63^3)</f>
        <v>1.4459651667392898E-2</v>
      </c>
      <c r="P63" s="56">
        <f t="shared" ref="P63:P64" si="65">(4.013*SQRT((E*G*D63^2*E63^6)/36)/L^2)*(1-(D63*SQRT(E/(4*G)))/(2*L))</f>
        <v>3794.75314968578</v>
      </c>
      <c r="Q63" s="57">
        <f t="shared" ref="Q63:Q64" si="66">τ_max-M63</f>
        <v>-9802.306135703795</v>
      </c>
      <c r="R63" s="57">
        <f t="shared" ref="R63:R64" si="67">σ_max-N63</f>
        <v>5.312237693942734E-2</v>
      </c>
      <c r="S63" s="57">
        <f t="shared" ref="S63:S64" si="68">E63-B63</f>
        <v>-1.0000000000010001E-6</v>
      </c>
      <c r="T63" s="57">
        <f t="shared" ref="T63:T64" si="69">δ_max-O63</f>
        <v>0.23554034833260709</v>
      </c>
      <c r="U63" s="57">
        <f t="shared" ref="U63:U64" si="70">P63-P</f>
        <v>-2205.24685031422</v>
      </c>
      <c r="V63" s="33">
        <f t="shared" si="37"/>
        <v>0</v>
      </c>
      <c r="W63" s="33">
        <f t="shared" si="39"/>
        <v>1</v>
      </c>
      <c r="X63" s="33">
        <f t="shared" si="40"/>
        <v>0</v>
      </c>
      <c r="Y63" s="33">
        <f t="shared" si="41"/>
        <v>1</v>
      </c>
      <c r="Z63" s="33">
        <f t="shared" si="42"/>
        <v>0</v>
      </c>
      <c r="AA63" s="57">
        <f t="shared" si="38"/>
        <v>12007.552987018014</v>
      </c>
    </row>
    <row r="64" spans="1:27">
      <c r="A64" s="78" t="s">
        <v>175</v>
      </c>
      <c r="B64" s="75">
        <v>0.19447500000000001</v>
      </c>
      <c r="C64" s="75">
        <v>2.5709200000000001</v>
      </c>
      <c r="D64" s="75">
        <v>10</v>
      </c>
      <c r="E64" s="75">
        <v>0.20182700000000001</v>
      </c>
      <c r="F64" s="77">
        <v>1.7163999999999999</v>
      </c>
      <c r="G64" s="72">
        <f t="shared" si="56"/>
        <v>1.7164341292953662</v>
      </c>
      <c r="H64" s="56">
        <f t="shared" si="57"/>
        <v>91712.760000000009</v>
      </c>
      <c r="I64" s="56">
        <f t="shared" si="58"/>
        <v>5.2568277071829401</v>
      </c>
      <c r="J64" s="56">
        <f t="shared" si="59"/>
        <v>18.760641484289973</v>
      </c>
      <c r="K64" s="56">
        <f t="shared" si="60"/>
        <v>8485.6264507238138</v>
      </c>
      <c r="L64" s="56">
        <f t="shared" si="61"/>
        <v>25698.384475495768</v>
      </c>
      <c r="M64" s="56">
        <f t="shared" si="62"/>
        <v>28966.554365238699</v>
      </c>
      <c r="N64" s="56">
        <f t="shared" si="63"/>
        <v>24971.881859216061</v>
      </c>
      <c r="O64" s="56">
        <f t="shared" si="64"/>
        <v>1.0876641876458551E-2</v>
      </c>
      <c r="P64" s="56">
        <f t="shared" si="65"/>
        <v>3820.0219615239248</v>
      </c>
      <c r="Q64" s="57">
        <f t="shared" si="66"/>
        <v>-15366.554365238699</v>
      </c>
      <c r="R64" s="57">
        <f t="shared" si="67"/>
        <v>5028.1181407839395</v>
      </c>
      <c r="S64" s="57">
        <f t="shared" si="68"/>
        <v>7.3519999999999974E-3</v>
      </c>
      <c r="T64" s="57">
        <f t="shared" si="69"/>
        <v>0.23912335812354146</v>
      </c>
      <c r="U64" s="57">
        <f t="shared" si="70"/>
        <v>-2179.9780384760752</v>
      </c>
      <c r="V64" s="33">
        <f t="shared" si="37"/>
        <v>0</v>
      </c>
      <c r="W64" s="33">
        <f t="shared" si="39"/>
        <v>1</v>
      </c>
      <c r="X64" s="33">
        <f t="shared" si="40"/>
        <v>1</v>
      </c>
      <c r="Y64" s="33">
        <f t="shared" si="41"/>
        <v>1</v>
      </c>
      <c r="Z64" s="33">
        <f t="shared" si="42"/>
        <v>0</v>
      </c>
      <c r="AA64" s="57">
        <f t="shared" si="38"/>
        <v>17546.532403714773</v>
      </c>
    </row>
  </sheetData>
  <mergeCells count="11">
    <mergeCell ref="D1:G1"/>
    <mergeCell ref="A33:G33"/>
    <mergeCell ref="A7:G7"/>
    <mergeCell ref="H33:P33"/>
    <mergeCell ref="V33:Z33"/>
    <mergeCell ref="Q33:U33"/>
    <mergeCell ref="AA33:AA34"/>
    <mergeCell ref="H7:P7"/>
    <mergeCell ref="Q7:U7"/>
    <mergeCell ref="V7:Z7"/>
    <mergeCell ref="AA7:AA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33E6-2CEE-4F45-A312-0ECE3FD67253}">
  <dimension ref="A5:AH88"/>
  <sheetViews>
    <sheetView topLeftCell="E25" zoomScale="115" zoomScaleNormal="115" workbookViewId="0">
      <selection activeCell="A21" sqref="A21:XFD21"/>
    </sheetView>
  </sheetViews>
  <sheetFormatPr defaultRowHeight="15"/>
  <cols>
    <col min="1" max="1" width="26.7109375" bestFit="1" customWidth="1"/>
    <col min="2" max="3" width="15.140625" bestFit="1" customWidth="1"/>
    <col min="4" max="4" width="16.140625" bestFit="1" customWidth="1"/>
    <col min="5" max="8" width="15.140625" bestFit="1" customWidth="1"/>
    <col min="9" max="9" width="18.140625" bestFit="1" customWidth="1"/>
    <col min="10" max="10" width="18.28515625" bestFit="1" customWidth="1"/>
    <col min="11" max="21" width="14.28515625" customWidth="1"/>
    <col min="22" max="22" width="5.7109375" customWidth="1"/>
    <col min="23" max="23" width="4.5703125" bestFit="1" customWidth="1"/>
    <col min="24" max="24" width="5" customWidth="1"/>
    <col min="25" max="26" width="5" bestFit="1" customWidth="1"/>
    <col min="27" max="27" width="5" customWidth="1"/>
    <col min="28" max="31" width="5" bestFit="1" customWidth="1"/>
    <col min="32" max="32" width="6" bestFit="1" customWidth="1"/>
    <col min="33" max="33" width="5.7109375" bestFit="1" customWidth="1"/>
    <col min="34" max="34" width="15" bestFit="1" customWidth="1"/>
  </cols>
  <sheetData>
    <row r="5" spans="1:34" ht="51.75" customHeight="1">
      <c r="A5" s="90" t="s">
        <v>162</v>
      </c>
      <c r="B5" s="90"/>
      <c r="C5" s="90"/>
      <c r="D5" s="90"/>
      <c r="E5" s="90"/>
      <c r="F5" s="90"/>
      <c r="G5" s="90"/>
      <c r="H5" s="90"/>
      <c r="I5" s="90"/>
      <c r="J5" s="90"/>
      <c r="K5" s="88" t="s">
        <v>121</v>
      </c>
      <c r="L5" s="88"/>
      <c r="M5" s="88"/>
      <c r="N5" s="88"/>
      <c r="O5" s="88"/>
      <c r="P5" s="88"/>
      <c r="Q5" s="88"/>
      <c r="R5" s="88"/>
      <c r="S5" s="88"/>
      <c r="T5" s="88"/>
      <c r="U5" s="88"/>
      <c r="V5" s="88" t="s">
        <v>122</v>
      </c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90" t="s">
        <v>123</v>
      </c>
    </row>
    <row r="6" spans="1:34" s="1" customFormat="1" ht="21.75" customHeight="1">
      <c r="A6" s="53" t="s">
        <v>126</v>
      </c>
      <c r="B6" s="53" t="s">
        <v>0</v>
      </c>
      <c r="C6" s="53" t="s">
        <v>1</v>
      </c>
      <c r="D6" s="53" t="s">
        <v>2</v>
      </c>
      <c r="E6" s="53" t="s">
        <v>3</v>
      </c>
      <c r="F6" s="53" t="s">
        <v>31</v>
      </c>
      <c r="G6" s="53" t="s">
        <v>32</v>
      </c>
      <c r="H6" s="53" t="s">
        <v>33</v>
      </c>
      <c r="I6" s="53" t="s">
        <v>29</v>
      </c>
      <c r="J6" s="53" t="s">
        <v>28</v>
      </c>
      <c r="K6" s="53" t="s">
        <v>20</v>
      </c>
      <c r="L6" s="53" t="s">
        <v>21</v>
      </c>
      <c r="M6" s="53" t="s">
        <v>22</v>
      </c>
      <c r="N6" s="53" t="s">
        <v>23</v>
      </c>
      <c r="O6" s="53" t="s">
        <v>24</v>
      </c>
      <c r="P6" s="53" t="s">
        <v>25</v>
      </c>
      <c r="Q6" s="53" t="s">
        <v>34</v>
      </c>
      <c r="R6" s="53" t="s">
        <v>35</v>
      </c>
      <c r="S6" s="53" t="s">
        <v>36</v>
      </c>
      <c r="T6" s="53" t="s">
        <v>37</v>
      </c>
      <c r="U6" s="53" t="s">
        <v>38</v>
      </c>
      <c r="V6" s="53"/>
      <c r="W6" s="53" t="s">
        <v>20</v>
      </c>
      <c r="X6" s="53" t="s">
        <v>21</v>
      </c>
      <c r="Y6" s="53" t="s">
        <v>22</v>
      </c>
      <c r="Z6" s="53" t="s">
        <v>23</v>
      </c>
      <c r="AA6" s="53" t="s">
        <v>24</v>
      </c>
      <c r="AB6" s="53" t="s">
        <v>25</v>
      </c>
      <c r="AC6" s="53" t="s">
        <v>34</v>
      </c>
      <c r="AD6" s="53" t="s">
        <v>35</v>
      </c>
      <c r="AE6" s="53" t="s">
        <v>36</v>
      </c>
      <c r="AF6" s="53" t="s">
        <v>37</v>
      </c>
      <c r="AG6" s="53" t="s">
        <v>38</v>
      </c>
      <c r="AH6" s="90"/>
    </row>
    <row r="7" spans="1:34">
      <c r="A7" s="49" t="s">
        <v>163</v>
      </c>
      <c r="B7" s="69">
        <v>3.5</v>
      </c>
      <c r="C7" s="69">
        <v>0.7</v>
      </c>
      <c r="D7" s="69">
        <v>17</v>
      </c>
      <c r="E7" s="69">
        <v>7.3</v>
      </c>
      <c r="F7" s="69">
        <v>7.7153</v>
      </c>
      <c r="G7" s="69">
        <v>3.3502000000000001</v>
      </c>
      <c r="H7" s="69">
        <v>5.2866999999999997</v>
      </c>
      <c r="I7" s="69">
        <v>2994.471</v>
      </c>
      <c r="J7" s="48">
        <f>0.7854*B7*C7^2 *(3.3333*D7^2+14.9334*D7-43.0932)-1.5079*B7*(G7^2+H7^2)+7.4769*(G7^3+H7^3)+0.7854*(E7*G7^2+F7*H7^2)</f>
        <v>2994.3615085748447</v>
      </c>
      <c r="K7" s="47">
        <f>(27/(B7*C7^2*D7))-1</f>
        <v>-7.3915280397873317E-2</v>
      </c>
      <c r="L7" s="47">
        <f>(397.5/(B7*C7^2*D7^2))-1</f>
        <v>-0.1979985271419491</v>
      </c>
      <c r="M7" s="47">
        <f>((1.93*E7^3)/(C7*D7*G7^4))-1</f>
        <v>-0.4991634781945391</v>
      </c>
      <c r="N7" s="47">
        <f>((1.93*F7^3)/(C7*D7*H7^4))-1</f>
        <v>-0.90464792801991578</v>
      </c>
      <c r="O7" s="47">
        <f>((1/(110*G7^3))*SQRT( ((745*E7)/(C7*D7))^2 + 16900000))-1</f>
        <v>1.3133091144368336E-5</v>
      </c>
      <c r="P7" s="47">
        <f>((1/(85*H7^3))*SQRT( ((745*F7)/(C7*D7))^2 + 157500000))-1</f>
        <v>-2.5842976326240219E-5</v>
      </c>
      <c r="Q7" s="47">
        <f>((C7*D7)/40)-1</f>
        <v>-0.70250000000000001</v>
      </c>
      <c r="R7" s="47">
        <f>(5*C7/B7)-1</f>
        <v>0</v>
      </c>
      <c r="S7" s="47">
        <f>(B7/(12*C7))-1</f>
        <v>-0.58333333333333326</v>
      </c>
      <c r="T7" s="47">
        <f>((1.5*G7+1.9)/E7)-1</f>
        <v>-5.13287671232876E-2</v>
      </c>
      <c r="U7" s="47">
        <f>((1.1*H7+1.9)/F7)-1</f>
        <v>9.0728811581453073E-6</v>
      </c>
      <c r="V7" s="33"/>
      <c r="W7" s="33">
        <f>IF(K7&lt;=0,1,0)</f>
        <v>1</v>
      </c>
      <c r="X7" s="33">
        <f t="shared" ref="X7:AG7" si="0">IF(L7&lt;=0,1,0)</f>
        <v>1</v>
      </c>
      <c r="Y7" s="33">
        <f t="shared" si="0"/>
        <v>1</v>
      </c>
      <c r="Z7" s="33">
        <f t="shared" si="0"/>
        <v>1</v>
      </c>
      <c r="AA7" s="33">
        <f t="shared" si="0"/>
        <v>0</v>
      </c>
      <c r="AB7" s="33">
        <f t="shared" si="0"/>
        <v>1</v>
      </c>
      <c r="AC7" s="33">
        <f t="shared" si="0"/>
        <v>1</v>
      </c>
      <c r="AD7" s="33">
        <f t="shared" si="0"/>
        <v>1</v>
      </c>
      <c r="AE7" s="33">
        <f t="shared" si="0"/>
        <v>1</v>
      </c>
      <c r="AF7" s="33">
        <f t="shared" si="0"/>
        <v>1</v>
      </c>
      <c r="AG7" s="33">
        <f t="shared" si="0"/>
        <v>0</v>
      </c>
      <c r="AH7" s="48">
        <f>SUMIF(K7:U7,"&gt;0")</f>
        <v>2.2205972302513644E-5</v>
      </c>
    </row>
    <row r="8" spans="1:34">
      <c r="A8" s="49" t="s">
        <v>164</v>
      </c>
      <c r="B8" s="69">
        <v>3.4975000000000001</v>
      </c>
      <c r="C8" s="69">
        <v>0.7</v>
      </c>
      <c r="D8" s="69">
        <v>17</v>
      </c>
      <c r="E8" s="69">
        <v>7.4863</v>
      </c>
      <c r="F8" s="69">
        <v>7.8053999999999997</v>
      </c>
      <c r="G8" s="69">
        <v>3.7244999999999999</v>
      </c>
      <c r="H8" s="69">
        <v>5.2853000000000003</v>
      </c>
      <c r="I8" s="69">
        <v>3680</v>
      </c>
      <c r="J8" s="48">
        <f t="shared" ref="J8:J41" si="1">0.7854*B8*C8^2 *(3.3333*D8^2+14.9334*D8-43.0932)-1.5079*B8*(G8^2+H8^2)+7.4769*(G8^3+H8^3)+0.7854*(E8*G8^2+F8*H8^2)</f>
        <v>3102.8673724290693</v>
      </c>
      <c r="K8" s="47">
        <f t="shared" ref="K8:K41" si="2">(27/(B8*C8^2*D8))-1</f>
        <v>-7.3253318482503604E-2</v>
      </c>
      <c r="L8" s="47">
        <f t="shared" ref="L8:L41" si="3">(397.5/(B8*C8^2*D8^2))-1</f>
        <v>-0.19742525947014211</v>
      </c>
      <c r="M8" s="47">
        <f t="shared" ref="M8:M41" si="4">((1.93*E8^3)/(C8*D8*G8^4))-1</f>
        <v>-0.64637731832973544</v>
      </c>
      <c r="N8" s="47">
        <f t="shared" ref="N8:N41" si="5">((1.93*F8^3)/(C8*D8*H8^4))-1</f>
        <v>-0.90116352084876361</v>
      </c>
      <c r="O8" s="47">
        <f t="shared" ref="O8:O41" si="6">((1/(110*G8^3))*SQRT( ((745*E8)/(C8*D8))^2 + 16900000))-1</f>
        <v>-0.27196717636158474</v>
      </c>
      <c r="P8" s="47">
        <f t="shared" ref="P8:P41" si="7">((1/(85*H8^3))*SQRT( ((745*F8)/(C8*D8))^2 + 157500000))-1</f>
        <v>7.8639114197431859E-4</v>
      </c>
      <c r="Q8" s="47">
        <f t="shared" ref="Q8:Q41" si="8">((C8*D8)/40)-1</f>
        <v>-0.70250000000000001</v>
      </c>
      <c r="R8" s="47">
        <f t="shared" ref="R8:R41" si="9">(5*C8/B8)-1</f>
        <v>7.1479628305937126E-4</v>
      </c>
      <c r="S8" s="47">
        <f t="shared" ref="S8:S41" si="10">(B8/(12*C8))-1</f>
        <v>-0.58363095238095231</v>
      </c>
      <c r="T8" s="47">
        <f t="shared" ref="T8:T41" si="11">((1.5*G8+1.9)/E8)-1</f>
        <v>6.0109800569030369E-5</v>
      </c>
      <c r="U8" s="47">
        <f t="shared" ref="U8:U41" si="12">((1.1*H8+1.9)/F8)-1</f>
        <v>-1.1731621697798733E-2</v>
      </c>
      <c r="V8" s="33"/>
      <c r="W8" s="33">
        <f t="shared" ref="W8:W41" si="13">IF(K8&lt;=0,1,0)</f>
        <v>1</v>
      </c>
      <c r="X8" s="33">
        <f t="shared" ref="X8:X41" si="14">IF(L8&lt;=0,1,0)</f>
        <v>1</v>
      </c>
      <c r="Y8" s="33">
        <f t="shared" ref="Y8:Y41" si="15">IF(M8&lt;=0,1,0)</f>
        <v>1</v>
      </c>
      <c r="Z8" s="33">
        <f t="shared" ref="Z8:Z41" si="16">IF(N8&lt;=0,1,0)</f>
        <v>1</v>
      </c>
      <c r="AA8" s="33">
        <f t="shared" ref="AA8:AA41" si="17">IF(O8&lt;=0,1,0)</f>
        <v>1</v>
      </c>
      <c r="AB8" s="33">
        <f t="shared" ref="AB8:AB41" si="18">IF(P8&lt;=0,1,0)</f>
        <v>0</v>
      </c>
      <c r="AC8" s="33">
        <f t="shared" ref="AC8:AC41" si="19">IF(Q8&lt;=0,1,0)</f>
        <v>1</v>
      </c>
      <c r="AD8" s="33">
        <f t="shared" ref="AD8:AD41" si="20">IF(R8&lt;=0,1,0)</f>
        <v>0</v>
      </c>
      <c r="AE8" s="33">
        <f t="shared" ref="AE8:AE41" si="21">IF(S8&lt;=0,1,0)</f>
        <v>1</v>
      </c>
      <c r="AF8" s="33">
        <f t="shared" ref="AF8:AF41" si="22">IF(T8&lt;=0,1,0)</f>
        <v>0</v>
      </c>
      <c r="AG8" s="33">
        <f t="shared" ref="AG8:AG41" si="23">IF(U8&lt;=0,1,0)</f>
        <v>1</v>
      </c>
      <c r="AH8" s="48">
        <f t="shared" ref="AH8:AH41" si="24">SUMIF(K8:U8,"&gt;0")</f>
        <v>1.5612972256027202E-3</v>
      </c>
    </row>
    <row r="9" spans="1:34">
      <c r="A9" s="49" t="s">
        <v>165</v>
      </c>
      <c r="B9" s="69">
        <v>3.4975999999999998</v>
      </c>
      <c r="C9" s="69">
        <v>0.7</v>
      </c>
      <c r="D9" s="69">
        <v>17</v>
      </c>
      <c r="E9" s="69">
        <v>7.3</v>
      </c>
      <c r="F9" s="69">
        <v>7.8</v>
      </c>
      <c r="G9" s="69">
        <v>3.3500999999999999</v>
      </c>
      <c r="H9" s="69">
        <v>5.2857000000000003</v>
      </c>
      <c r="I9" s="69">
        <v>3000</v>
      </c>
      <c r="J9" s="48">
        <f t="shared" si="1"/>
        <v>2994.6168233806193</v>
      </c>
      <c r="K9" s="47">
        <f t="shared" si="2"/>
        <v>-7.3279815128246995E-2</v>
      </c>
      <c r="L9" s="47">
        <f t="shared" si="3"/>
        <v>-0.19744820591171719</v>
      </c>
      <c r="M9" s="47">
        <f t="shared" si="4"/>
        <v>-0.49910367592629634</v>
      </c>
      <c r="N9" s="47">
        <f t="shared" si="5"/>
        <v>-0.90139836542234508</v>
      </c>
      <c r="O9" s="47">
        <f t="shared" si="6"/>
        <v>1.0268650599520868E-4</v>
      </c>
      <c r="P9" s="47">
        <f t="shared" si="7"/>
        <v>5.5815464365216449E-4</v>
      </c>
      <c r="Q9" s="47">
        <f t="shared" si="8"/>
        <v>-0.70250000000000001</v>
      </c>
      <c r="R9" s="47">
        <f t="shared" si="9"/>
        <v>6.8618481244286933E-4</v>
      </c>
      <c r="S9" s="47">
        <f t="shared" si="10"/>
        <v>-0.58361904761904759</v>
      </c>
      <c r="T9" s="47">
        <f t="shared" si="11"/>
        <v>-5.1349315068493051E-2</v>
      </c>
      <c r="U9" s="47">
        <f t="shared" si="12"/>
        <v>-1.0991025641025498E-2</v>
      </c>
      <c r="V9" s="33"/>
      <c r="W9" s="33">
        <f t="shared" si="13"/>
        <v>1</v>
      </c>
      <c r="X9" s="33">
        <f t="shared" si="14"/>
        <v>1</v>
      </c>
      <c r="Y9" s="33">
        <f t="shared" si="15"/>
        <v>1</v>
      </c>
      <c r="Z9" s="33">
        <f t="shared" si="16"/>
        <v>1</v>
      </c>
      <c r="AA9" s="33">
        <f t="shared" si="17"/>
        <v>0</v>
      </c>
      <c r="AB9" s="33">
        <f t="shared" si="18"/>
        <v>0</v>
      </c>
      <c r="AC9" s="33">
        <f t="shared" si="19"/>
        <v>1</v>
      </c>
      <c r="AD9" s="33">
        <f t="shared" si="20"/>
        <v>0</v>
      </c>
      <c r="AE9" s="33">
        <f t="shared" si="21"/>
        <v>1</v>
      </c>
      <c r="AF9" s="33">
        <f t="shared" si="22"/>
        <v>1</v>
      </c>
      <c r="AG9" s="33">
        <f t="shared" si="23"/>
        <v>1</v>
      </c>
      <c r="AH9" s="48">
        <f t="shared" si="24"/>
        <v>1.3470259620902425E-3</v>
      </c>
    </row>
    <row r="10" spans="1:34">
      <c r="A10" s="49" t="s">
        <v>128</v>
      </c>
      <c r="B10" s="69">
        <v>3.2431999999999999</v>
      </c>
      <c r="C10" s="69">
        <v>0.7</v>
      </c>
      <c r="D10" s="69">
        <v>17</v>
      </c>
      <c r="E10" s="69">
        <v>7.3</v>
      </c>
      <c r="F10" s="69">
        <v>7.7153359999999997</v>
      </c>
      <c r="G10" s="69">
        <v>3.3502149999999999</v>
      </c>
      <c r="H10" s="69">
        <v>5.2866499999999998</v>
      </c>
      <c r="I10" s="69">
        <v>2892.7460999999998</v>
      </c>
      <c r="J10" s="48">
        <f t="shared" si="1"/>
        <v>2893.4688026427561</v>
      </c>
      <c r="K10" s="47">
        <f t="shared" si="2"/>
        <v>-5.8691458823278975E-4</v>
      </c>
      <c r="L10" s="47">
        <f t="shared" si="3"/>
        <v>-0.13449520381007085</v>
      </c>
      <c r="M10" s="47">
        <f t="shared" si="4"/>
        <v>-0.49917244776499703</v>
      </c>
      <c r="N10" s="47">
        <f t="shared" si="5"/>
        <v>-0.90464298588085212</v>
      </c>
      <c r="O10" s="47">
        <f t="shared" si="6"/>
        <v>-2.9899888753792681E-7</v>
      </c>
      <c r="P10" s="47">
        <f t="shared" si="7"/>
        <v>2.5368159377592292E-6</v>
      </c>
      <c r="Q10" s="47">
        <f t="shared" si="8"/>
        <v>-0.70250000000000001</v>
      </c>
      <c r="R10" s="47">
        <f t="shared" si="9"/>
        <v>7.9181055747409967E-2</v>
      </c>
      <c r="S10" s="47">
        <f t="shared" si="10"/>
        <v>-0.61390476190476184</v>
      </c>
      <c r="T10" s="47">
        <f t="shared" si="11"/>
        <v>-5.1325684931506799E-2</v>
      </c>
      <c r="U10" s="47">
        <f t="shared" si="12"/>
        <v>-2.7218516470695064E-6</v>
      </c>
      <c r="V10" s="33"/>
      <c r="W10" s="33">
        <f t="shared" si="13"/>
        <v>1</v>
      </c>
      <c r="X10" s="33">
        <f t="shared" si="14"/>
        <v>1</v>
      </c>
      <c r="Y10" s="33">
        <f t="shared" si="15"/>
        <v>1</v>
      </c>
      <c r="Z10" s="33">
        <f t="shared" si="16"/>
        <v>1</v>
      </c>
      <c r="AA10" s="33">
        <f t="shared" si="17"/>
        <v>1</v>
      </c>
      <c r="AB10" s="33">
        <f t="shared" si="18"/>
        <v>0</v>
      </c>
      <c r="AC10" s="33">
        <f t="shared" si="19"/>
        <v>1</v>
      </c>
      <c r="AD10" s="33">
        <f t="shared" si="20"/>
        <v>0</v>
      </c>
      <c r="AE10" s="33">
        <f t="shared" si="21"/>
        <v>1</v>
      </c>
      <c r="AF10" s="33">
        <f t="shared" si="22"/>
        <v>1</v>
      </c>
      <c r="AG10" s="33">
        <f t="shared" si="23"/>
        <v>1</v>
      </c>
      <c r="AH10" s="48">
        <f t="shared" si="24"/>
        <v>7.9183592563347727E-2</v>
      </c>
    </row>
    <row r="11" spans="1:34">
      <c r="A11" s="49" t="s">
        <v>149</v>
      </c>
      <c r="B11" s="69">
        <v>3.5</v>
      </c>
      <c r="C11" s="69">
        <v>0.7</v>
      </c>
      <c r="D11" s="69">
        <v>17</v>
      </c>
      <c r="E11" s="69">
        <v>7.3</v>
      </c>
      <c r="F11" s="69">
        <v>7.7153198999999999</v>
      </c>
      <c r="G11" s="69">
        <v>3.3502146000000002</v>
      </c>
      <c r="H11" s="69">
        <v>5.286645</v>
      </c>
      <c r="I11" s="69">
        <v>2994.4710660999999</v>
      </c>
      <c r="J11" s="48">
        <f>0.7854*B11*C11^2 *(3.3333*D11^2+14.9334*D11-43.0932)-1.5079*B11*(G11^2+H11^2)+7.4769*(G11^3+H11^3)+0.7854*(E11*G11^2+F11*H11^2)</f>
        <v>2994.3307307016089</v>
      </c>
      <c r="K11" s="47">
        <f t="shared" si="2"/>
        <v>-7.3915280397873317E-2</v>
      </c>
      <c r="L11" s="47">
        <f t="shared" si="3"/>
        <v>-0.1979985271419491</v>
      </c>
      <c r="M11" s="47">
        <f t="shared" si="4"/>
        <v>-0.49917220857905742</v>
      </c>
      <c r="N11" s="47">
        <f t="shared" si="5"/>
        <v>-0.90464322209413572</v>
      </c>
      <c r="O11" s="47">
        <f t="shared" si="6"/>
        <v>5.9187057921405994E-8</v>
      </c>
      <c r="P11" s="47">
        <f t="shared" si="7"/>
        <v>5.3710774732262934E-6</v>
      </c>
      <c r="Q11" s="47">
        <f t="shared" si="8"/>
        <v>-0.70250000000000001</v>
      </c>
      <c r="R11" s="47">
        <f t="shared" si="9"/>
        <v>0</v>
      </c>
      <c r="S11" s="47">
        <f t="shared" si="10"/>
        <v>-0.58333333333333326</v>
      </c>
      <c r="T11" s="47">
        <f t="shared" si="11"/>
        <v>-5.1325767123287624E-2</v>
      </c>
      <c r="U11" s="47">
        <f t="shared" si="12"/>
        <v>-1.3479674381144946E-6</v>
      </c>
      <c r="V11" s="33"/>
      <c r="W11" s="33">
        <f t="shared" si="13"/>
        <v>1</v>
      </c>
      <c r="X11" s="33">
        <f t="shared" si="14"/>
        <v>1</v>
      </c>
      <c r="Y11" s="33">
        <f t="shared" si="15"/>
        <v>1</v>
      </c>
      <c r="Z11" s="33">
        <f t="shared" si="16"/>
        <v>1</v>
      </c>
      <c r="AA11" s="33">
        <f t="shared" si="17"/>
        <v>0</v>
      </c>
      <c r="AB11" s="33">
        <f t="shared" si="18"/>
        <v>0</v>
      </c>
      <c r="AC11" s="33">
        <f t="shared" si="19"/>
        <v>1</v>
      </c>
      <c r="AD11" s="33">
        <f t="shared" si="20"/>
        <v>1</v>
      </c>
      <c r="AE11" s="33">
        <f t="shared" si="21"/>
        <v>1</v>
      </c>
      <c r="AF11" s="33">
        <f t="shared" si="22"/>
        <v>1</v>
      </c>
      <c r="AG11" s="33">
        <f t="shared" si="23"/>
        <v>1</v>
      </c>
      <c r="AH11" s="48">
        <f t="shared" si="24"/>
        <v>5.4302645311476994E-6</v>
      </c>
    </row>
    <row r="12" spans="1:34" ht="25.5">
      <c r="A12" s="49" t="s">
        <v>166</v>
      </c>
      <c r="B12" s="69">
        <v>3.50021</v>
      </c>
      <c r="C12" s="69">
        <v>0.7</v>
      </c>
      <c r="D12" s="69">
        <v>17</v>
      </c>
      <c r="E12" s="69">
        <v>7.3</v>
      </c>
      <c r="F12" s="69">
        <v>7.7153118899999997</v>
      </c>
      <c r="G12" s="69">
        <v>3.350214689</v>
      </c>
      <c r="H12" s="69">
        <v>5.2866553999999999</v>
      </c>
      <c r="I12" s="69">
        <v>2994.4710315000002</v>
      </c>
      <c r="J12" s="48">
        <f t="shared" si="1"/>
        <v>2994.4196668859267</v>
      </c>
      <c r="K12" s="47">
        <f t="shared" si="2"/>
        <v>-7.3970842147344396E-2</v>
      </c>
      <c r="L12" s="47">
        <f t="shared" si="3"/>
        <v>-0.19804664434328845</v>
      </c>
      <c r="M12" s="47">
        <f t="shared" si="4"/>
        <v>-0.49917226179794127</v>
      </c>
      <c r="N12" s="47">
        <f t="shared" si="5"/>
        <v>-0.90464426943583909</v>
      </c>
      <c r="O12" s="47">
        <f t="shared" si="6"/>
        <v>-2.0509329567985901E-8</v>
      </c>
      <c r="P12" s="47">
        <f t="shared" si="7"/>
        <v>-5.3213014739039721E-7</v>
      </c>
      <c r="Q12" s="47">
        <f t="shared" si="8"/>
        <v>-0.70250000000000001</v>
      </c>
      <c r="R12" s="47">
        <f t="shared" si="9"/>
        <v>-5.9996400216033585E-5</v>
      </c>
      <c r="S12" s="47">
        <f t="shared" si="10"/>
        <v>-0.58330833333333332</v>
      </c>
      <c r="T12" s="47">
        <f t="shared" si="11"/>
        <v>-5.1325748835616358E-2</v>
      </c>
      <c r="U12" s="47">
        <f t="shared" si="12"/>
        <v>1.1729921134406851E-6</v>
      </c>
      <c r="V12" s="33"/>
      <c r="W12" s="33">
        <f t="shared" si="13"/>
        <v>1</v>
      </c>
      <c r="X12" s="33">
        <f t="shared" si="14"/>
        <v>1</v>
      </c>
      <c r="Y12" s="33">
        <f t="shared" si="15"/>
        <v>1</v>
      </c>
      <c r="Z12" s="33">
        <f t="shared" si="16"/>
        <v>1</v>
      </c>
      <c r="AA12" s="33">
        <f t="shared" si="17"/>
        <v>1</v>
      </c>
      <c r="AB12" s="33">
        <f t="shared" si="18"/>
        <v>1</v>
      </c>
      <c r="AC12" s="33">
        <f t="shared" si="19"/>
        <v>1</v>
      </c>
      <c r="AD12" s="33">
        <f t="shared" si="20"/>
        <v>1</v>
      </c>
      <c r="AE12" s="33">
        <f t="shared" si="21"/>
        <v>1</v>
      </c>
      <c r="AF12" s="33">
        <f t="shared" si="22"/>
        <v>1</v>
      </c>
      <c r="AG12" s="33">
        <f t="shared" si="23"/>
        <v>0</v>
      </c>
      <c r="AH12" s="48">
        <f t="shared" si="24"/>
        <v>1.1729921134406851E-6</v>
      </c>
    </row>
    <row r="13" spans="1:34" ht="30.75" customHeight="1">
      <c r="A13" s="49" t="s">
        <v>131</v>
      </c>
      <c r="B13" s="69">
        <v>3.5</v>
      </c>
      <c r="C13" s="69">
        <v>0.7</v>
      </c>
      <c r="D13" s="69">
        <v>17</v>
      </c>
      <c r="E13" s="69">
        <v>7.3</v>
      </c>
      <c r="F13" s="69">
        <v>7.8</v>
      </c>
      <c r="G13" s="69">
        <v>2.9</v>
      </c>
      <c r="H13" s="69">
        <v>5.286683</v>
      </c>
      <c r="I13" s="69">
        <v>2895.3333500946101</v>
      </c>
      <c r="J13" s="48">
        <f t="shared" si="1"/>
        <v>2896.1344156788373</v>
      </c>
      <c r="K13" s="47">
        <f t="shared" si="2"/>
        <v>-7.3915280397873317E-2</v>
      </c>
      <c r="L13" s="47">
        <f t="shared" si="3"/>
        <v>-0.1979985271419491</v>
      </c>
      <c r="M13" s="47">
        <f t="shared" si="4"/>
        <v>-0.10795464448721648</v>
      </c>
      <c r="N13" s="47">
        <f t="shared" si="5"/>
        <v>-0.90147168048726278</v>
      </c>
      <c r="O13" s="47">
        <f t="shared" si="6"/>
        <v>0.54178534314368965</v>
      </c>
      <c r="P13" s="47">
        <f t="shared" si="7"/>
        <v>1.3037925228331915E-7</v>
      </c>
      <c r="Q13" s="47">
        <f t="shared" si="8"/>
        <v>-0.70250000000000001</v>
      </c>
      <c r="R13" s="47">
        <f t="shared" si="9"/>
        <v>0</v>
      </c>
      <c r="S13" s="47">
        <f t="shared" si="10"/>
        <v>-0.58333333333333326</v>
      </c>
      <c r="T13" s="47">
        <f t="shared" si="11"/>
        <v>-0.14383561643835618</v>
      </c>
      <c r="U13" s="47">
        <f t="shared" si="12"/>
        <v>-1.0852397435897387E-2</v>
      </c>
      <c r="V13" s="33"/>
      <c r="W13" s="33">
        <f t="shared" si="13"/>
        <v>1</v>
      </c>
      <c r="X13" s="33">
        <f t="shared" si="14"/>
        <v>1</v>
      </c>
      <c r="Y13" s="33">
        <f t="shared" si="15"/>
        <v>1</v>
      </c>
      <c r="Z13" s="33">
        <f t="shared" si="16"/>
        <v>1</v>
      </c>
      <c r="AA13" s="33">
        <f t="shared" si="17"/>
        <v>0</v>
      </c>
      <c r="AB13" s="33">
        <f t="shared" si="18"/>
        <v>0</v>
      </c>
      <c r="AC13" s="33">
        <f t="shared" si="19"/>
        <v>1</v>
      </c>
      <c r="AD13" s="33">
        <f t="shared" si="20"/>
        <v>1</v>
      </c>
      <c r="AE13" s="33">
        <f t="shared" si="21"/>
        <v>1</v>
      </c>
      <c r="AF13" s="33">
        <f t="shared" si="22"/>
        <v>1</v>
      </c>
      <c r="AG13" s="33">
        <f t="shared" si="23"/>
        <v>1</v>
      </c>
      <c r="AH13" s="48">
        <f t="shared" si="24"/>
        <v>0.54178547352294193</v>
      </c>
    </row>
    <row r="14" spans="1:34">
      <c r="A14" s="49" t="s">
        <v>167</v>
      </c>
      <c r="B14" s="69">
        <v>3.5</v>
      </c>
      <c r="C14" s="69">
        <v>0.7</v>
      </c>
      <c r="D14" s="69">
        <v>17</v>
      </c>
      <c r="E14" s="69">
        <v>7.3</v>
      </c>
      <c r="F14" s="69">
        <v>7.7153200000000002</v>
      </c>
      <c r="G14" s="69">
        <v>3.3502100000000001</v>
      </c>
      <c r="H14" s="69">
        <v>5.2866499999999998</v>
      </c>
      <c r="I14" s="69">
        <v>2994.4710660000001</v>
      </c>
      <c r="J14" s="48">
        <f t="shared" si="1"/>
        <v>2994.3327366285475</v>
      </c>
      <c r="K14" s="47">
        <f t="shared" si="2"/>
        <v>-7.3915280397873317E-2</v>
      </c>
      <c r="L14" s="47">
        <f t="shared" si="3"/>
        <v>-0.1979985271419491</v>
      </c>
      <c r="M14" s="47">
        <f t="shared" si="4"/>
        <v>-0.49916945793048861</v>
      </c>
      <c r="N14" s="47">
        <f t="shared" si="5"/>
        <v>-0.90464357913138405</v>
      </c>
      <c r="O14" s="47">
        <f t="shared" si="6"/>
        <v>4.1783377278115097E-6</v>
      </c>
      <c r="P14" s="47">
        <f t="shared" si="7"/>
        <v>2.5337485358711831E-6</v>
      </c>
      <c r="Q14" s="47">
        <f t="shared" si="8"/>
        <v>-0.70250000000000001</v>
      </c>
      <c r="R14" s="47">
        <f t="shared" si="9"/>
        <v>0</v>
      </c>
      <c r="S14" s="47">
        <f t="shared" si="10"/>
        <v>-0.58333333333333326</v>
      </c>
      <c r="T14" s="47">
        <f t="shared" si="11"/>
        <v>-5.1326712328767177E-2</v>
      </c>
      <c r="U14" s="47">
        <f t="shared" si="12"/>
        <v>-6.4806125987804108E-7</v>
      </c>
      <c r="V14" s="33"/>
      <c r="W14" s="33">
        <f t="shared" si="13"/>
        <v>1</v>
      </c>
      <c r="X14" s="33">
        <f t="shared" si="14"/>
        <v>1</v>
      </c>
      <c r="Y14" s="33">
        <f t="shared" si="15"/>
        <v>1</v>
      </c>
      <c r="Z14" s="33">
        <f t="shared" si="16"/>
        <v>1</v>
      </c>
      <c r="AA14" s="33">
        <f t="shared" si="17"/>
        <v>0</v>
      </c>
      <c r="AB14" s="33">
        <f t="shared" si="18"/>
        <v>0</v>
      </c>
      <c r="AC14" s="33">
        <f t="shared" si="19"/>
        <v>1</v>
      </c>
      <c r="AD14" s="33">
        <f t="shared" si="20"/>
        <v>1</v>
      </c>
      <c r="AE14" s="33">
        <f t="shared" si="21"/>
        <v>1</v>
      </c>
      <c r="AF14" s="33">
        <f t="shared" si="22"/>
        <v>1</v>
      </c>
      <c r="AG14" s="33">
        <f t="shared" si="23"/>
        <v>1</v>
      </c>
      <c r="AH14" s="48">
        <f t="shared" si="24"/>
        <v>6.7120862636826928E-6</v>
      </c>
    </row>
    <row r="15" spans="1:34">
      <c r="A15" s="49" t="s">
        <v>168</v>
      </c>
      <c r="B15" s="69">
        <v>3.5</v>
      </c>
      <c r="C15" s="69">
        <v>0.7</v>
      </c>
      <c r="D15" s="69">
        <v>17</v>
      </c>
      <c r="E15" s="69">
        <v>7.3</v>
      </c>
      <c r="F15" s="69">
        <v>7.715319</v>
      </c>
      <c r="G15" s="69">
        <v>3.3502139999999998</v>
      </c>
      <c r="H15" s="69">
        <v>5.2866540000000004</v>
      </c>
      <c r="I15" s="69">
        <v>2994.471</v>
      </c>
      <c r="J15" s="48">
        <f t="shared" si="1"/>
        <v>2994.3362746409775</v>
      </c>
      <c r="K15" s="47">
        <f t="shared" si="2"/>
        <v>-7.3915280397873317E-2</v>
      </c>
      <c r="L15" s="47">
        <f t="shared" si="3"/>
        <v>-0.1979985271419491</v>
      </c>
      <c r="M15" s="47">
        <f t="shared" si="4"/>
        <v>-0.49917184979988005</v>
      </c>
      <c r="N15" s="47">
        <f t="shared" si="5"/>
        <v>-0.90464390480417645</v>
      </c>
      <c r="O15" s="47">
        <f t="shared" si="6"/>
        <v>5.9646629724241507E-7</v>
      </c>
      <c r="P15" s="47">
        <f t="shared" si="7"/>
        <v>2.6368606498294866E-7</v>
      </c>
      <c r="Q15" s="47">
        <f t="shared" si="8"/>
        <v>-0.70250000000000001</v>
      </c>
      <c r="R15" s="47">
        <f t="shared" si="9"/>
        <v>0</v>
      </c>
      <c r="S15" s="47">
        <f t="shared" si="10"/>
        <v>-0.58333333333333326</v>
      </c>
      <c r="T15" s="47">
        <f t="shared" si="11"/>
        <v>-5.1325890410958808E-2</v>
      </c>
      <c r="U15" s="47">
        <f t="shared" si="12"/>
        <v>5.1844907478226787E-8</v>
      </c>
      <c r="V15" s="33"/>
      <c r="W15" s="33">
        <f t="shared" si="13"/>
        <v>1</v>
      </c>
      <c r="X15" s="33">
        <f t="shared" si="14"/>
        <v>1</v>
      </c>
      <c r="Y15" s="33">
        <f t="shared" si="15"/>
        <v>1</v>
      </c>
      <c r="Z15" s="33">
        <f t="shared" si="16"/>
        <v>1</v>
      </c>
      <c r="AA15" s="33">
        <f t="shared" si="17"/>
        <v>0</v>
      </c>
      <c r="AB15" s="33">
        <f t="shared" si="18"/>
        <v>0</v>
      </c>
      <c r="AC15" s="33">
        <f t="shared" si="19"/>
        <v>1</v>
      </c>
      <c r="AD15" s="33">
        <f t="shared" si="20"/>
        <v>1</v>
      </c>
      <c r="AE15" s="33">
        <f t="shared" si="21"/>
        <v>1</v>
      </c>
      <c r="AF15" s="33">
        <f t="shared" si="22"/>
        <v>1</v>
      </c>
      <c r="AG15" s="33">
        <f t="shared" si="23"/>
        <v>0</v>
      </c>
      <c r="AH15" s="48">
        <f t="shared" si="24"/>
        <v>9.1199726970359052E-7</v>
      </c>
    </row>
    <row r="16" spans="1:34">
      <c r="A16" s="49" t="s">
        <v>169</v>
      </c>
      <c r="B16" s="69">
        <v>3.5015000000000001</v>
      </c>
      <c r="C16" s="69">
        <v>0.7</v>
      </c>
      <c r="D16" s="69">
        <v>17</v>
      </c>
      <c r="E16" s="69">
        <v>7.6050000000000004</v>
      </c>
      <c r="F16" s="69">
        <v>7.8181000000000003</v>
      </c>
      <c r="G16" s="69">
        <v>3.3519999999999999</v>
      </c>
      <c r="H16" s="69">
        <v>5.2874999999999996</v>
      </c>
      <c r="I16" s="69">
        <v>3000.9810000000002</v>
      </c>
      <c r="J16" s="48">
        <f t="shared" si="1"/>
        <v>3000.8665669086686</v>
      </c>
      <c r="K16" s="47">
        <f t="shared" si="2"/>
        <v>-7.4312003824805517E-2</v>
      </c>
      <c r="L16" s="47">
        <f t="shared" si="3"/>
        <v>-0.19834209481559961</v>
      </c>
      <c r="M16" s="47">
        <f t="shared" si="4"/>
        <v>-0.43494338569521995</v>
      </c>
      <c r="N16" s="47">
        <f t="shared" si="5"/>
        <v>-0.90084548617497306</v>
      </c>
      <c r="O16" s="47">
        <f t="shared" si="6"/>
        <v>-1.0772545005629519E-3</v>
      </c>
      <c r="P16" s="47">
        <f t="shared" si="7"/>
        <v>-4.5983376584124436E-4</v>
      </c>
      <c r="Q16" s="47">
        <f t="shared" si="8"/>
        <v>-0.70250000000000001</v>
      </c>
      <c r="R16" s="47">
        <f t="shared" si="9"/>
        <v>-4.2838783378551515E-4</v>
      </c>
      <c r="S16" s="47">
        <f t="shared" si="10"/>
        <v>-0.5831547619047619</v>
      </c>
      <c r="T16" s="47">
        <f t="shared" si="11"/>
        <v>-8.9020381328073772E-2</v>
      </c>
      <c r="U16" s="47">
        <f t="shared" si="12"/>
        <v>-1.3027461915299132E-2</v>
      </c>
      <c r="V16" s="33"/>
      <c r="W16" s="33">
        <f t="shared" si="13"/>
        <v>1</v>
      </c>
      <c r="X16" s="33">
        <f t="shared" si="14"/>
        <v>1</v>
      </c>
      <c r="Y16" s="33">
        <f t="shared" si="15"/>
        <v>1</v>
      </c>
      <c r="Z16" s="33">
        <f t="shared" si="16"/>
        <v>1</v>
      </c>
      <c r="AA16" s="33">
        <f t="shared" si="17"/>
        <v>1</v>
      </c>
      <c r="AB16" s="33">
        <f t="shared" si="18"/>
        <v>1</v>
      </c>
      <c r="AC16" s="33">
        <f t="shared" si="19"/>
        <v>1</v>
      </c>
      <c r="AD16" s="33">
        <f t="shared" si="20"/>
        <v>1</v>
      </c>
      <c r="AE16" s="33">
        <f t="shared" si="21"/>
        <v>1</v>
      </c>
      <c r="AF16" s="33">
        <f t="shared" si="22"/>
        <v>1</v>
      </c>
      <c r="AG16" s="33">
        <f t="shared" si="23"/>
        <v>1</v>
      </c>
      <c r="AH16" s="48">
        <f t="shared" si="24"/>
        <v>0</v>
      </c>
    </row>
    <row r="17" spans="1:34">
      <c r="A17" s="49" t="s">
        <v>170</v>
      </c>
      <c r="B17" s="69">
        <v>3.4971000000000001</v>
      </c>
      <c r="C17" s="69">
        <v>0.7</v>
      </c>
      <c r="D17" s="69">
        <v>17</v>
      </c>
      <c r="E17" s="69">
        <v>7.3</v>
      </c>
      <c r="F17" s="69">
        <v>7.8</v>
      </c>
      <c r="G17" s="69">
        <v>3.35</v>
      </c>
      <c r="H17" s="69">
        <v>5.2866</v>
      </c>
      <c r="I17" s="69">
        <v>2996.1136999999999</v>
      </c>
      <c r="J17" s="48">
        <f t="shared" si="1"/>
        <v>2994.967169508071</v>
      </c>
      <c r="K17" s="47">
        <f t="shared" si="2"/>
        <v>-7.3147316746034252E-2</v>
      </c>
      <c r="L17" s="47">
        <f t="shared" si="3"/>
        <v>-0.19733346058071599</v>
      </c>
      <c r="M17" s="47">
        <f t="shared" si="4"/>
        <v>-0.49904386473194262</v>
      </c>
      <c r="N17" s="47">
        <f t="shared" si="5"/>
        <v>-0.90146549273474819</v>
      </c>
      <c r="O17" s="47">
        <f t="shared" si="6"/>
        <v>1.9225061410987898E-4</v>
      </c>
      <c r="P17" s="47">
        <f t="shared" si="7"/>
        <v>4.7231340513764764E-5</v>
      </c>
      <c r="Q17" s="47">
        <f t="shared" si="8"/>
        <v>-0.70250000000000001</v>
      </c>
      <c r="R17" s="47">
        <f t="shared" si="9"/>
        <v>8.292585284950249E-4</v>
      </c>
      <c r="S17" s="47">
        <f t="shared" si="10"/>
        <v>-0.58367857142857127</v>
      </c>
      <c r="T17" s="47">
        <f t="shared" si="11"/>
        <v>-5.1369863013698502E-2</v>
      </c>
      <c r="U17" s="47">
        <f t="shared" si="12"/>
        <v>-1.0864102564102418E-2</v>
      </c>
      <c r="V17" s="33"/>
      <c r="W17" s="33">
        <f t="shared" si="13"/>
        <v>1</v>
      </c>
      <c r="X17" s="33">
        <f t="shared" si="14"/>
        <v>1</v>
      </c>
      <c r="Y17" s="33">
        <f t="shared" si="15"/>
        <v>1</v>
      </c>
      <c r="Z17" s="33">
        <f t="shared" si="16"/>
        <v>1</v>
      </c>
      <c r="AA17" s="33">
        <f t="shared" si="17"/>
        <v>0</v>
      </c>
      <c r="AB17" s="33">
        <f t="shared" si="18"/>
        <v>0</v>
      </c>
      <c r="AC17" s="33">
        <f t="shared" si="19"/>
        <v>1</v>
      </c>
      <c r="AD17" s="33">
        <f t="shared" si="20"/>
        <v>0</v>
      </c>
      <c r="AE17" s="33">
        <f t="shared" si="21"/>
        <v>1</v>
      </c>
      <c r="AF17" s="33">
        <f t="shared" si="22"/>
        <v>1</v>
      </c>
      <c r="AG17" s="33">
        <f t="shared" si="23"/>
        <v>1</v>
      </c>
      <c r="AH17" s="48">
        <f t="shared" si="24"/>
        <v>1.0687404831186686E-3</v>
      </c>
    </row>
    <row r="18" spans="1:34" ht="25.5">
      <c r="A18" s="49" t="s">
        <v>171</v>
      </c>
      <c r="B18" s="69" t="s">
        <v>39</v>
      </c>
      <c r="C18" s="69" t="s">
        <v>39</v>
      </c>
      <c r="D18" s="69" t="s">
        <v>39</v>
      </c>
      <c r="E18" s="69" t="s">
        <v>39</v>
      </c>
      <c r="F18" s="69" t="s">
        <v>39</v>
      </c>
      <c r="G18" s="69" t="s">
        <v>39</v>
      </c>
      <c r="H18" s="69" t="s">
        <v>39</v>
      </c>
      <c r="I18" s="69" t="s">
        <v>39</v>
      </c>
      <c r="J18" s="48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48"/>
    </row>
    <row r="19" spans="1:34" ht="20.45" customHeight="1">
      <c r="A19" s="49" t="s">
        <v>172</v>
      </c>
      <c r="B19" s="70">
        <v>3.5000024299999999</v>
      </c>
      <c r="C19" s="70">
        <v>0.7</v>
      </c>
      <c r="D19" s="70">
        <v>17</v>
      </c>
      <c r="E19" s="70">
        <v>7.30024549</v>
      </c>
      <c r="F19" s="70">
        <v>7.8000407699999998</v>
      </c>
      <c r="G19" s="70">
        <v>3.3502511199999998</v>
      </c>
      <c r="H19" s="70">
        <v>5.2865202299999998</v>
      </c>
      <c r="I19" s="70">
        <v>2996.2577999999999</v>
      </c>
      <c r="J19" s="48">
        <f t="shared" si="1"/>
        <v>2996.1235129768797</v>
      </c>
      <c r="K19" s="47">
        <f t="shared" si="2"/>
        <v>-7.3915923364818004E-2</v>
      </c>
      <c r="L19" s="47">
        <f t="shared" si="3"/>
        <v>-0.19799908395972798</v>
      </c>
      <c r="M19" s="47">
        <f t="shared" si="4"/>
        <v>-0.49914351950722624</v>
      </c>
      <c r="N19" s="47">
        <f t="shared" si="5"/>
        <v>-0.90145800012674515</v>
      </c>
      <c r="O19" s="47">
        <f t="shared" si="6"/>
        <v>-3.2231952513561701E-5</v>
      </c>
      <c r="P19" s="47">
        <f t="shared" si="7"/>
        <v>9.2510026643788379E-5</v>
      </c>
      <c r="Q19" s="47">
        <f t="shared" si="8"/>
        <v>-0.70250000000000001</v>
      </c>
      <c r="R19" s="47">
        <f t="shared" si="9"/>
        <v>-6.9428523219450256E-7</v>
      </c>
      <c r="S19" s="47">
        <f t="shared" si="10"/>
        <v>-0.58333304404761899</v>
      </c>
      <c r="T19" s="47">
        <f t="shared" si="11"/>
        <v>-5.1350164938083531E-2</v>
      </c>
      <c r="U19" s="47">
        <f t="shared" si="12"/>
        <v>-1.0880522230911294E-2</v>
      </c>
      <c r="V19" s="33"/>
      <c r="W19" s="33">
        <f t="shared" si="13"/>
        <v>1</v>
      </c>
      <c r="X19" s="33">
        <f t="shared" si="14"/>
        <v>1</v>
      </c>
      <c r="Y19" s="33">
        <f t="shared" si="15"/>
        <v>1</v>
      </c>
      <c r="Z19" s="33">
        <f t="shared" si="16"/>
        <v>1</v>
      </c>
      <c r="AA19" s="33">
        <f t="shared" si="17"/>
        <v>1</v>
      </c>
      <c r="AB19" s="33">
        <f t="shared" si="18"/>
        <v>0</v>
      </c>
      <c r="AC19" s="33">
        <f t="shared" si="19"/>
        <v>1</v>
      </c>
      <c r="AD19" s="33">
        <f t="shared" si="20"/>
        <v>1</v>
      </c>
      <c r="AE19" s="33">
        <f t="shared" si="21"/>
        <v>1</v>
      </c>
      <c r="AF19" s="33">
        <f t="shared" si="22"/>
        <v>1</v>
      </c>
      <c r="AG19" s="33">
        <f t="shared" si="23"/>
        <v>1</v>
      </c>
      <c r="AH19" s="48">
        <f t="shared" si="24"/>
        <v>9.2510026643788379E-5</v>
      </c>
    </row>
    <row r="20" spans="1:34">
      <c r="A20" s="50" t="s">
        <v>173</v>
      </c>
      <c r="B20" s="70" t="s">
        <v>39</v>
      </c>
      <c r="C20" s="70" t="s">
        <v>39</v>
      </c>
      <c r="D20" s="70" t="s">
        <v>39</v>
      </c>
      <c r="E20" s="70" t="s">
        <v>39</v>
      </c>
      <c r="F20" s="70" t="s">
        <v>39</v>
      </c>
      <c r="G20" s="70" t="s">
        <v>39</v>
      </c>
      <c r="H20" s="70" t="s">
        <v>39</v>
      </c>
      <c r="I20" s="70" t="s">
        <v>39</v>
      </c>
      <c r="J20" s="48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48"/>
    </row>
    <row r="21" spans="1:34" ht="25.5">
      <c r="A21" s="50" t="s">
        <v>174</v>
      </c>
      <c r="B21" s="70">
        <v>3.5</v>
      </c>
      <c r="C21" s="70">
        <v>0.7</v>
      </c>
      <c r="D21" s="70">
        <v>17</v>
      </c>
      <c r="E21" s="70">
        <v>7.3</v>
      </c>
      <c r="F21" s="70">
        <v>7.72</v>
      </c>
      <c r="G21" s="70">
        <v>3.35</v>
      </c>
      <c r="H21" s="70">
        <v>5.29</v>
      </c>
      <c r="I21" s="70">
        <v>2994</v>
      </c>
      <c r="J21" s="48">
        <f t="shared" si="1"/>
        <v>2996.5112692487</v>
      </c>
      <c r="K21" s="47">
        <f t="shared" si="2"/>
        <v>-7.3915280397873317E-2</v>
      </c>
      <c r="L21" s="47">
        <f t="shared" si="3"/>
        <v>-0.1979985271419491</v>
      </c>
      <c r="M21" s="47">
        <f t="shared" si="4"/>
        <v>-0.49904386473194262</v>
      </c>
      <c r="N21" s="47">
        <f t="shared" si="5"/>
        <v>-0.9047117040510142</v>
      </c>
      <c r="O21" s="47">
        <f t="shared" si="6"/>
        <v>1.9225061410987898E-4</v>
      </c>
      <c r="P21" s="47">
        <f t="shared" si="7"/>
        <v>-1.8951834043152704E-3</v>
      </c>
      <c r="Q21" s="47">
        <f t="shared" si="8"/>
        <v>-0.70250000000000001</v>
      </c>
      <c r="R21" s="47">
        <f t="shared" si="9"/>
        <v>0</v>
      </c>
      <c r="S21" s="47">
        <f t="shared" si="10"/>
        <v>-0.58333333333333326</v>
      </c>
      <c r="T21" s="47">
        <f t="shared" si="11"/>
        <v>-5.1369863013698502E-2</v>
      </c>
      <c r="U21" s="47">
        <f t="shared" si="12"/>
        <v>-1.2953367875634392E-4</v>
      </c>
      <c r="V21" s="33"/>
      <c r="W21" s="33">
        <f t="shared" si="13"/>
        <v>1</v>
      </c>
      <c r="X21" s="33">
        <f t="shared" si="14"/>
        <v>1</v>
      </c>
      <c r="Y21" s="33">
        <f t="shared" si="15"/>
        <v>1</v>
      </c>
      <c r="Z21" s="33">
        <f t="shared" si="16"/>
        <v>1</v>
      </c>
      <c r="AA21" s="33">
        <f t="shared" si="17"/>
        <v>0</v>
      </c>
      <c r="AB21" s="33">
        <f t="shared" si="18"/>
        <v>1</v>
      </c>
      <c r="AC21" s="33">
        <f t="shared" si="19"/>
        <v>1</v>
      </c>
      <c r="AD21" s="33">
        <f t="shared" si="20"/>
        <v>1</v>
      </c>
      <c r="AE21" s="33">
        <f t="shared" si="21"/>
        <v>1</v>
      </c>
      <c r="AF21" s="33">
        <f t="shared" si="22"/>
        <v>1</v>
      </c>
      <c r="AG21" s="33">
        <f t="shared" si="23"/>
        <v>1</v>
      </c>
      <c r="AH21" s="48">
        <f t="shared" si="24"/>
        <v>1.9225061410987898E-4</v>
      </c>
    </row>
    <row r="22" spans="1:34">
      <c r="A22" s="7"/>
      <c r="B22" s="8"/>
      <c r="C22" s="8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10"/>
    </row>
    <row r="23" spans="1:34" ht="48" customHeight="1">
      <c r="A23" s="90" t="s">
        <v>181</v>
      </c>
      <c r="B23" s="90"/>
      <c r="C23" s="90"/>
      <c r="D23" s="90"/>
      <c r="E23" s="90"/>
      <c r="F23" s="90"/>
      <c r="G23" s="90"/>
      <c r="H23" s="90"/>
      <c r="I23" s="90"/>
      <c r="J23" s="90"/>
      <c r="K23" s="88" t="s">
        <v>121</v>
      </c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 t="s">
        <v>122</v>
      </c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90" t="s">
        <v>123</v>
      </c>
    </row>
    <row r="24" spans="1:34" s="1" customFormat="1">
      <c r="A24" s="53" t="s">
        <v>126</v>
      </c>
      <c r="B24" s="53" t="s">
        <v>0</v>
      </c>
      <c r="C24" s="53" t="s">
        <v>1</v>
      </c>
      <c r="D24" s="53" t="s">
        <v>2</v>
      </c>
      <c r="E24" s="53" t="s">
        <v>3</v>
      </c>
      <c r="F24" s="53" t="s">
        <v>31</v>
      </c>
      <c r="G24" s="53" t="s">
        <v>32</v>
      </c>
      <c r="H24" s="53" t="s">
        <v>33</v>
      </c>
      <c r="I24" s="53" t="s">
        <v>29</v>
      </c>
      <c r="J24" s="53" t="s">
        <v>28</v>
      </c>
      <c r="K24" s="53" t="s">
        <v>20</v>
      </c>
      <c r="L24" s="53" t="s">
        <v>21</v>
      </c>
      <c r="M24" s="53" t="s">
        <v>22</v>
      </c>
      <c r="N24" s="53" t="s">
        <v>23</v>
      </c>
      <c r="O24" s="53" t="s">
        <v>24</v>
      </c>
      <c r="P24" s="53" t="s">
        <v>25</v>
      </c>
      <c r="Q24" s="53" t="s">
        <v>34</v>
      </c>
      <c r="R24" s="53" t="s">
        <v>35</v>
      </c>
      <c r="S24" s="53" t="s">
        <v>36</v>
      </c>
      <c r="T24" s="53" t="s">
        <v>37</v>
      </c>
      <c r="U24" s="53" t="s">
        <v>38</v>
      </c>
      <c r="V24" s="53"/>
      <c r="W24" s="53" t="s">
        <v>20</v>
      </c>
      <c r="X24" s="53" t="s">
        <v>21</v>
      </c>
      <c r="Y24" s="53" t="s">
        <v>22</v>
      </c>
      <c r="Z24" s="53" t="s">
        <v>23</v>
      </c>
      <c r="AA24" s="53" t="s">
        <v>24</v>
      </c>
      <c r="AB24" s="53" t="s">
        <v>25</v>
      </c>
      <c r="AC24" s="53" t="s">
        <v>34</v>
      </c>
      <c r="AD24" s="53" t="s">
        <v>35</v>
      </c>
      <c r="AE24" s="53" t="s">
        <v>36</v>
      </c>
      <c r="AF24" s="53" t="s">
        <v>37</v>
      </c>
      <c r="AG24" s="16" t="s">
        <v>38</v>
      </c>
      <c r="AH24" s="90"/>
    </row>
    <row r="25" spans="1:34">
      <c r="A25" s="49" t="s">
        <v>175</v>
      </c>
      <c r="B25" s="71">
        <v>3.5038399999999998</v>
      </c>
      <c r="C25" s="71">
        <v>0.7</v>
      </c>
      <c r="D25" s="71">
        <v>17</v>
      </c>
      <c r="E25" s="71">
        <v>7.3</v>
      </c>
      <c r="F25" s="70">
        <v>7.72933</v>
      </c>
      <c r="G25" s="70">
        <v>3.35649</v>
      </c>
      <c r="H25" s="70">
        <v>5.2866999999999997</v>
      </c>
      <c r="I25" s="71">
        <v>2997.9157</v>
      </c>
      <c r="J25" s="48">
        <f t="shared" si="1"/>
        <v>2997.7832718179693</v>
      </c>
      <c r="K25" s="47">
        <f t="shared" si="2"/>
        <v>-7.4930214105825788E-2</v>
      </c>
      <c r="L25" s="47">
        <f t="shared" si="3"/>
        <v>-0.19887747300014325</v>
      </c>
      <c r="M25" s="47">
        <f t="shared" si="4"/>
        <v>-0.50290717173396127</v>
      </c>
      <c r="N25" s="47">
        <f t="shared" si="5"/>
        <v>-0.90412679840701349</v>
      </c>
      <c r="O25" s="47">
        <f t="shared" si="6"/>
        <v>-5.5983561182949559E-3</v>
      </c>
      <c r="P25" s="47">
        <f t="shared" si="7"/>
        <v>-2.3150892400458645E-5</v>
      </c>
      <c r="Q25" s="47">
        <f t="shared" si="8"/>
        <v>-0.70250000000000001</v>
      </c>
      <c r="R25" s="47">
        <f t="shared" si="9"/>
        <v>-1.0959404539019335E-3</v>
      </c>
      <c r="S25" s="47">
        <f t="shared" si="10"/>
        <v>-0.58287619047619044</v>
      </c>
      <c r="T25" s="47">
        <f t="shared" si="11"/>
        <v>-5.0036301369863034E-2</v>
      </c>
      <c r="U25" s="47">
        <f t="shared" si="12"/>
        <v>-1.8061073857630339E-3</v>
      </c>
      <c r="V25" s="33"/>
      <c r="W25" s="33">
        <f t="shared" si="13"/>
        <v>1</v>
      </c>
      <c r="X25" s="33">
        <f t="shared" si="14"/>
        <v>1</v>
      </c>
      <c r="Y25" s="33">
        <f t="shared" si="15"/>
        <v>1</v>
      </c>
      <c r="Z25" s="33">
        <f t="shared" si="16"/>
        <v>1</v>
      </c>
      <c r="AA25" s="33">
        <f t="shared" si="17"/>
        <v>1</v>
      </c>
      <c r="AB25" s="33">
        <f t="shared" si="18"/>
        <v>1</v>
      </c>
      <c r="AC25" s="33">
        <f t="shared" si="19"/>
        <v>1</v>
      </c>
      <c r="AD25" s="33">
        <f t="shared" si="20"/>
        <v>1</v>
      </c>
      <c r="AE25" s="33">
        <f t="shared" si="21"/>
        <v>1</v>
      </c>
      <c r="AF25" s="33">
        <f t="shared" si="22"/>
        <v>1</v>
      </c>
      <c r="AG25" s="33">
        <f t="shared" si="23"/>
        <v>1</v>
      </c>
      <c r="AH25" s="48">
        <f t="shared" si="24"/>
        <v>0</v>
      </c>
    </row>
    <row r="26" spans="1:34">
      <c r="A26" s="49" t="s">
        <v>84</v>
      </c>
      <c r="B26" s="71">
        <v>3.5011999999999999</v>
      </c>
      <c r="C26" s="71">
        <v>0.7</v>
      </c>
      <c r="D26" s="71">
        <v>17</v>
      </c>
      <c r="E26" s="71">
        <v>7.3</v>
      </c>
      <c r="F26" s="70">
        <v>7.8</v>
      </c>
      <c r="G26" s="70">
        <v>3.3340999999999998</v>
      </c>
      <c r="H26" s="70">
        <v>5.2652999999999999</v>
      </c>
      <c r="I26" s="71">
        <v>2990.9580000000001</v>
      </c>
      <c r="J26" s="48">
        <f t="shared" si="1"/>
        <v>2979.0563554780019</v>
      </c>
      <c r="K26" s="47">
        <f t="shared" si="2"/>
        <v>-7.4232686333987385E-2</v>
      </c>
      <c r="L26" s="47">
        <f t="shared" si="3"/>
        <v>-0.19827340483172107</v>
      </c>
      <c r="M26" s="47">
        <f t="shared" si="4"/>
        <v>-0.4894192441936499</v>
      </c>
      <c r="N26" s="47">
        <f t="shared" si="5"/>
        <v>-0.89986136390874549</v>
      </c>
      <c r="O26" s="47">
        <f t="shared" si="6"/>
        <v>1.4570059450515371E-2</v>
      </c>
      <c r="P26" s="47">
        <f t="shared" si="7"/>
        <v>1.2233028345749242E-2</v>
      </c>
      <c r="Q26" s="47">
        <f t="shared" si="8"/>
        <v>-0.70250000000000001</v>
      </c>
      <c r="R26" s="47">
        <f t="shared" si="9"/>
        <v>-3.4273963212605452E-4</v>
      </c>
      <c r="S26" s="47">
        <f t="shared" si="10"/>
        <v>-0.58319047619047615</v>
      </c>
      <c r="T26" s="47">
        <f t="shared" si="11"/>
        <v>-5.4636986301369928E-2</v>
      </c>
      <c r="U26" s="47">
        <f t="shared" si="12"/>
        <v>-1.3867948717948719E-2</v>
      </c>
      <c r="V26" s="33"/>
      <c r="W26" s="33">
        <f t="shared" si="13"/>
        <v>1</v>
      </c>
      <c r="X26" s="33">
        <f t="shared" si="14"/>
        <v>1</v>
      </c>
      <c r="Y26" s="33">
        <f t="shared" si="15"/>
        <v>1</v>
      </c>
      <c r="Z26" s="33">
        <f t="shared" si="16"/>
        <v>1</v>
      </c>
      <c r="AA26" s="33">
        <f t="shared" si="17"/>
        <v>0</v>
      </c>
      <c r="AB26" s="33">
        <f t="shared" si="18"/>
        <v>0</v>
      </c>
      <c r="AC26" s="33">
        <f t="shared" si="19"/>
        <v>1</v>
      </c>
      <c r="AD26" s="33">
        <f t="shared" si="20"/>
        <v>1</v>
      </c>
      <c r="AE26" s="33">
        <f t="shared" si="21"/>
        <v>1</v>
      </c>
      <c r="AF26" s="33">
        <f t="shared" si="22"/>
        <v>1</v>
      </c>
      <c r="AG26" s="33">
        <f t="shared" si="23"/>
        <v>1</v>
      </c>
      <c r="AH26" s="48">
        <f t="shared" si="24"/>
        <v>2.6803087796264613E-2</v>
      </c>
    </row>
    <row r="27" spans="1:34">
      <c r="A27" s="49" t="s">
        <v>86</v>
      </c>
      <c r="B27" s="71">
        <v>3.5000000199999999</v>
      </c>
      <c r="C27" s="71">
        <v>0.7</v>
      </c>
      <c r="D27" s="71">
        <v>17</v>
      </c>
      <c r="E27" s="71">
        <v>7.3000000900000002</v>
      </c>
      <c r="F27" s="70">
        <v>7.8</v>
      </c>
      <c r="G27" s="70">
        <v>3.3502146800000001</v>
      </c>
      <c r="H27" s="70">
        <v>5.2866832500000003</v>
      </c>
      <c r="I27" s="71">
        <v>2996.2321569999999</v>
      </c>
      <c r="J27" s="48">
        <f t="shared" si="1"/>
        <v>2996.213881786804</v>
      </c>
      <c r="K27" s="47">
        <f t="shared" si="2"/>
        <v>-7.3915285689786003E-2</v>
      </c>
      <c r="L27" s="47">
        <f t="shared" si="3"/>
        <v>-0.19799853172481463</v>
      </c>
      <c r="M27" s="47">
        <f t="shared" si="4"/>
        <v>-0.49917223789249066</v>
      </c>
      <c r="N27" s="47">
        <f t="shared" si="5"/>
        <v>-0.90147169912433778</v>
      </c>
      <c r="O27" s="47">
        <f t="shared" si="6"/>
        <v>-1.2299635865353764E-8</v>
      </c>
      <c r="P27" s="47">
        <f t="shared" si="7"/>
        <v>-1.1486644635461118E-8</v>
      </c>
      <c r="Q27" s="47">
        <f t="shared" si="8"/>
        <v>-0.70250000000000001</v>
      </c>
      <c r="R27" s="47">
        <f t="shared" si="9"/>
        <v>-5.7142856002556641E-9</v>
      </c>
      <c r="S27" s="47">
        <f t="shared" si="10"/>
        <v>-0.58333333095238094</v>
      </c>
      <c r="T27" s="47">
        <f t="shared" si="11"/>
        <v>-5.1325762380915352E-2</v>
      </c>
      <c r="U27" s="47">
        <f t="shared" si="12"/>
        <v>-1.085236217948693E-2</v>
      </c>
      <c r="V27" s="33"/>
      <c r="W27" s="33">
        <f t="shared" si="13"/>
        <v>1</v>
      </c>
      <c r="X27" s="33">
        <f t="shared" si="14"/>
        <v>1</v>
      </c>
      <c r="Y27" s="33">
        <f t="shared" si="15"/>
        <v>1</v>
      </c>
      <c r="Z27" s="33">
        <f t="shared" si="16"/>
        <v>1</v>
      </c>
      <c r="AA27" s="33">
        <f t="shared" si="17"/>
        <v>1</v>
      </c>
      <c r="AB27" s="33">
        <f t="shared" si="18"/>
        <v>1</v>
      </c>
      <c r="AC27" s="33">
        <f t="shared" si="19"/>
        <v>1</v>
      </c>
      <c r="AD27" s="33">
        <f t="shared" si="20"/>
        <v>1</v>
      </c>
      <c r="AE27" s="33">
        <f t="shared" si="21"/>
        <v>1</v>
      </c>
      <c r="AF27" s="33">
        <f t="shared" si="22"/>
        <v>1</v>
      </c>
      <c r="AG27" s="33">
        <f t="shared" si="23"/>
        <v>1</v>
      </c>
      <c r="AH27" s="48">
        <f t="shared" si="24"/>
        <v>0</v>
      </c>
    </row>
    <row r="28" spans="1:34">
      <c r="A28" s="49" t="s">
        <v>87</v>
      </c>
      <c r="B28" s="71">
        <v>3.5</v>
      </c>
      <c r="C28" s="71">
        <v>0.7</v>
      </c>
      <c r="D28" s="71">
        <v>17</v>
      </c>
      <c r="E28" s="71">
        <v>7.3079999999999998</v>
      </c>
      <c r="F28" s="70">
        <v>7.8019999999999996</v>
      </c>
      <c r="G28" s="70">
        <v>3.35</v>
      </c>
      <c r="H28" s="70">
        <v>5.2869999999999999</v>
      </c>
      <c r="I28" s="71">
        <v>2996.60481329</v>
      </c>
      <c r="J28" s="48">
        <f t="shared" si="1"/>
        <v>2996.4750230796963</v>
      </c>
      <c r="K28" s="47">
        <f t="shared" si="2"/>
        <v>-7.3915280397873317E-2</v>
      </c>
      <c r="L28" s="47">
        <f t="shared" si="3"/>
        <v>-0.1979985271419491</v>
      </c>
      <c r="M28" s="47">
        <f t="shared" si="4"/>
        <v>-0.49739508008918631</v>
      </c>
      <c r="N28" s="47">
        <f t="shared" si="5"/>
        <v>-0.90141951648911545</v>
      </c>
      <c r="O28" s="47">
        <f t="shared" si="6"/>
        <v>2.0563901690029418E-4</v>
      </c>
      <c r="P28" s="47">
        <f t="shared" si="7"/>
        <v>-1.7934642542938306E-4</v>
      </c>
      <c r="Q28" s="47">
        <f t="shared" si="8"/>
        <v>-0.70250000000000001</v>
      </c>
      <c r="R28" s="47">
        <f t="shared" si="9"/>
        <v>0</v>
      </c>
      <c r="S28" s="47">
        <f t="shared" si="10"/>
        <v>-0.58333333333333326</v>
      </c>
      <c r="T28" s="47">
        <f t="shared" si="11"/>
        <v>-5.2408319649698831E-2</v>
      </c>
      <c r="U28" s="47">
        <f t="shared" si="12"/>
        <v>-1.1061266341963583E-2</v>
      </c>
      <c r="V28" s="33"/>
      <c r="W28" s="33">
        <f t="shared" si="13"/>
        <v>1</v>
      </c>
      <c r="X28" s="33">
        <f t="shared" si="14"/>
        <v>1</v>
      </c>
      <c r="Y28" s="33">
        <f t="shared" si="15"/>
        <v>1</v>
      </c>
      <c r="Z28" s="33">
        <f t="shared" si="16"/>
        <v>1</v>
      </c>
      <c r="AA28" s="33">
        <f t="shared" si="17"/>
        <v>0</v>
      </c>
      <c r="AB28" s="33">
        <f t="shared" si="18"/>
        <v>1</v>
      </c>
      <c r="AC28" s="33">
        <f t="shared" si="19"/>
        <v>1</v>
      </c>
      <c r="AD28" s="33">
        <f t="shared" si="20"/>
        <v>1</v>
      </c>
      <c r="AE28" s="33">
        <f t="shared" si="21"/>
        <v>1</v>
      </c>
      <c r="AF28" s="33">
        <f t="shared" si="22"/>
        <v>1</v>
      </c>
      <c r="AG28" s="33">
        <f t="shared" si="23"/>
        <v>1</v>
      </c>
      <c r="AH28" s="48">
        <f t="shared" si="24"/>
        <v>2.0563901690029418E-4</v>
      </c>
    </row>
    <row r="29" spans="1:34">
      <c r="A29" s="49" t="s">
        <v>88</v>
      </c>
      <c r="B29" s="71">
        <v>3.5000068099999999</v>
      </c>
      <c r="C29" s="71">
        <v>0.70000001000000001</v>
      </c>
      <c r="D29" s="71">
        <v>17</v>
      </c>
      <c r="E29" s="71">
        <v>7.3276020500000003</v>
      </c>
      <c r="F29" s="70">
        <v>7.7153217500000002</v>
      </c>
      <c r="G29" s="70">
        <v>3.35026702</v>
      </c>
      <c r="H29" s="70">
        <v>5.2866540500000001</v>
      </c>
      <c r="I29" s="71">
        <v>2994.7442409999999</v>
      </c>
      <c r="J29" s="48">
        <f t="shared" si="1"/>
        <v>2994.5959246838956</v>
      </c>
      <c r="K29" s="47">
        <f t="shared" si="2"/>
        <v>-7.3917108750147564E-2</v>
      </c>
      <c r="L29" s="47">
        <f t="shared" si="3"/>
        <v>-0.19800011051891864</v>
      </c>
      <c r="M29" s="47">
        <f t="shared" si="4"/>
        <v>-0.49350136511992126</v>
      </c>
      <c r="N29" s="47">
        <f t="shared" si="5"/>
        <v>-0.90464380780941367</v>
      </c>
      <c r="O29" s="47">
        <f t="shared" si="6"/>
        <v>-6.3621184176465562E-7</v>
      </c>
      <c r="P29" s="47">
        <f t="shared" si="7"/>
        <v>2.3581880181922088E-7</v>
      </c>
      <c r="Q29" s="47">
        <f t="shared" si="8"/>
        <v>-0.70249999574999999</v>
      </c>
      <c r="R29" s="47">
        <f t="shared" si="9"/>
        <v>-1.9314248134172374E-6</v>
      </c>
      <c r="S29" s="47">
        <f t="shared" si="10"/>
        <v>-0.58333252857144013</v>
      </c>
      <c r="T29" s="47">
        <f t="shared" si="11"/>
        <v>-5.4888559348006738E-2</v>
      </c>
      <c r="U29" s="47">
        <f t="shared" si="12"/>
        <v>-2.9746005070219184E-7</v>
      </c>
      <c r="V29" s="33"/>
      <c r="W29" s="33">
        <f t="shared" si="13"/>
        <v>1</v>
      </c>
      <c r="X29" s="33">
        <f t="shared" si="14"/>
        <v>1</v>
      </c>
      <c r="Y29" s="33">
        <f t="shared" si="15"/>
        <v>1</v>
      </c>
      <c r="Z29" s="33">
        <f t="shared" si="16"/>
        <v>1</v>
      </c>
      <c r="AA29" s="33">
        <f t="shared" si="17"/>
        <v>1</v>
      </c>
      <c r="AB29" s="33">
        <f t="shared" si="18"/>
        <v>0</v>
      </c>
      <c r="AC29" s="33">
        <f t="shared" si="19"/>
        <v>1</v>
      </c>
      <c r="AD29" s="33">
        <f t="shared" si="20"/>
        <v>1</v>
      </c>
      <c r="AE29" s="33">
        <f t="shared" si="21"/>
        <v>1</v>
      </c>
      <c r="AF29" s="33">
        <f t="shared" si="22"/>
        <v>1</v>
      </c>
      <c r="AG29" s="33">
        <f t="shared" si="23"/>
        <v>1</v>
      </c>
      <c r="AH29" s="48">
        <f t="shared" si="24"/>
        <v>2.3581880181922088E-7</v>
      </c>
    </row>
    <row r="30" spans="1:34">
      <c r="A30" s="49" t="s">
        <v>179</v>
      </c>
      <c r="B30" s="71">
        <v>3.5</v>
      </c>
      <c r="C30" s="71">
        <v>0.7</v>
      </c>
      <c r="D30" s="71">
        <v>17</v>
      </c>
      <c r="E30" s="71">
        <v>7.3</v>
      </c>
      <c r="F30" s="70">
        <v>7.8</v>
      </c>
      <c r="G30" s="70">
        <v>3.3502149999999999</v>
      </c>
      <c r="H30" s="70">
        <v>5.286683</v>
      </c>
      <c r="I30" s="71">
        <v>2996.3481999999999</v>
      </c>
      <c r="J30" s="48">
        <f t="shared" si="1"/>
        <v>2996.2137957067539</v>
      </c>
      <c r="K30" s="47">
        <f t="shared" si="2"/>
        <v>-7.3915280397873317E-2</v>
      </c>
      <c r="L30" s="47">
        <f t="shared" si="3"/>
        <v>-0.1979985271419491</v>
      </c>
      <c r="M30" s="47">
        <f t="shared" si="4"/>
        <v>-0.49917244776499703</v>
      </c>
      <c r="N30" s="47">
        <f t="shared" si="5"/>
        <v>-0.90147168048726278</v>
      </c>
      <c r="O30" s="47">
        <f t="shared" si="6"/>
        <v>-2.9899888753792681E-7</v>
      </c>
      <c r="P30" s="47">
        <f t="shared" si="7"/>
        <v>1.3037925228331915E-7</v>
      </c>
      <c r="Q30" s="47">
        <f t="shared" si="8"/>
        <v>-0.70250000000000001</v>
      </c>
      <c r="R30" s="47">
        <f t="shared" si="9"/>
        <v>0</v>
      </c>
      <c r="S30" s="47">
        <f t="shared" si="10"/>
        <v>-0.58333333333333326</v>
      </c>
      <c r="T30" s="47">
        <f t="shared" si="11"/>
        <v>-5.1325684931506799E-2</v>
      </c>
      <c r="U30" s="47">
        <f t="shared" si="12"/>
        <v>-1.0852397435897387E-2</v>
      </c>
      <c r="V30" s="33"/>
      <c r="W30" s="33">
        <f t="shared" si="13"/>
        <v>1</v>
      </c>
      <c r="X30" s="33">
        <f t="shared" si="14"/>
        <v>1</v>
      </c>
      <c r="Y30" s="33">
        <f t="shared" si="15"/>
        <v>1</v>
      </c>
      <c r="Z30" s="33">
        <f t="shared" si="16"/>
        <v>1</v>
      </c>
      <c r="AA30" s="33">
        <f t="shared" si="17"/>
        <v>1</v>
      </c>
      <c r="AB30" s="33">
        <f t="shared" si="18"/>
        <v>0</v>
      </c>
      <c r="AC30" s="33">
        <f t="shared" si="19"/>
        <v>1</v>
      </c>
      <c r="AD30" s="33">
        <f t="shared" si="20"/>
        <v>1</v>
      </c>
      <c r="AE30" s="33">
        <f t="shared" si="21"/>
        <v>1</v>
      </c>
      <c r="AF30" s="33">
        <f t="shared" si="22"/>
        <v>1</v>
      </c>
      <c r="AG30" s="33">
        <f t="shared" si="23"/>
        <v>1</v>
      </c>
      <c r="AH30" s="48">
        <f t="shared" si="24"/>
        <v>1.3037925228331915E-7</v>
      </c>
    </row>
    <row r="31" spans="1:34">
      <c r="A31" s="49" t="s">
        <v>89</v>
      </c>
      <c r="B31" s="71">
        <v>3.5</v>
      </c>
      <c r="C31" s="71">
        <v>0.7</v>
      </c>
      <c r="D31" s="71">
        <v>17</v>
      </c>
      <c r="E31" s="71">
        <v>7.3</v>
      </c>
      <c r="F31" s="70">
        <v>7.715319</v>
      </c>
      <c r="G31" s="70">
        <v>3.350282</v>
      </c>
      <c r="H31" s="70">
        <v>5.2866540000000004</v>
      </c>
      <c r="I31" s="71">
        <v>2994.4719209999998</v>
      </c>
      <c r="J31" s="48">
        <f t="shared" si="1"/>
        <v>2994.3536023797647</v>
      </c>
      <c r="K31" s="47">
        <f t="shared" si="2"/>
        <v>-7.3915280397873317E-2</v>
      </c>
      <c r="L31" s="47">
        <f t="shared" si="3"/>
        <v>-0.1979985271419491</v>
      </c>
      <c r="M31" s="47">
        <f t="shared" si="4"/>
        <v>-0.49921250939495476</v>
      </c>
      <c r="N31" s="47">
        <f t="shared" si="5"/>
        <v>-0.90464390480417645</v>
      </c>
      <c r="O31" s="47">
        <f t="shared" si="6"/>
        <v>-6.0292730838296116E-5</v>
      </c>
      <c r="P31" s="47">
        <f t="shared" si="7"/>
        <v>2.6368606498294866E-7</v>
      </c>
      <c r="Q31" s="47">
        <f t="shared" si="8"/>
        <v>-0.70250000000000001</v>
      </c>
      <c r="R31" s="47">
        <f t="shared" si="9"/>
        <v>0</v>
      </c>
      <c r="S31" s="47">
        <f t="shared" si="10"/>
        <v>-0.58333333333333326</v>
      </c>
      <c r="T31" s="47">
        <f t="shared" si="11"/>
        <v>-5.1311917808219087E-2</v>
      </c>
      <c r="U31" s="47">
        <f t="shared" si="12"/>
        <v>5.1844907478226787E-8</v>
      </c>
      <c r="V31" s="33"/>
      <c r="W31" s="33">
        <f t="shared" si="13"/>
        <v>1</v>
      </c>
      <c r="X31" s="33">
        <f t="shared" si="14"/>
        <v>1</v>
      </c>
      <c r="Y31" s="33">
        <f t="shared" si="15"/>
        <v>1</v>
      </c>
      <c r="Z31" s="33">
        <f t="shared" si="16"/>
        <v>1</v>
      </c>
      <c r="AA31" s="33">
        <f t="shared" si="17"/>
        <v>1</v>
      </c>
      <c r="AB31" s="33">
        <f t="shared" si="18"/>
        <v>0</v>
      </c>
      <c r="AC31" s="33">
        <f t="shared" si="19"/>
        <v>1</v>
      </c>
      <c r="AD31" s="33">
        <f t="shared" si="20"/>
        <v>1</v>
      </c>
      <c r="AE31" s="33">
        <f t="shared" si="21"/>
        <v>1</v>
      </c>
      <c r="AF31" s="33">
        <f t="shared" si="22"/>
        <v>1</v>
      </c>
      <c r="AG31" s="33">
        <f t="shared" si="23"/>
        <v>0</v>
      </c>
      <c r="AH31" s="48">
        <f t="shared" si="24"/>
        <v>3.1553097246117545E-7</v>
      </c>
    </row>
    <row r="32" spans="1:34" ht="25.5">
      <c r="A32" s="49" t="s">
        <v>90</v>
      </c>
      <c r="B32" s="71">
        <v>3.5</v>
      </c>
      <c r="C32" s="71">
        <v>0.7</v>
      </c>
      <c r="D32" s="71">
        <v>17</v>
      </c>
      <c r="E32" s="71">
        <v>7.3</v>
      </c>
      <c r="F32" s="70">
        <v>7.71</v>
      </c>
      <c r="G32" s="70">
        <v>3.35</v>
      </c>
      <c r="H32" s="70">
        <v>5.29</v>
      </c>
      <c r="I32" s="71">
        <v>2994</v>
      </c>
      <c r="J32" s="48">
        <f t="shared" si="1"/>
        <v>2996.2914821272998</v>
      </c>
      <c r="K32" s="47">
        <f t="shared" si="2"/>
        <v>-7.3915280397873317E-2</v>
      </c>
      <c r="L32" s="47">
        <f t="shared" si="3"/>
        <v>-0.1979985271419491</v>
      </c>
      <c r="M32" s="47">
        <f t="shared" si="4"/>
        <v>-0.49904386473194262</v>
      </c>
      <c r="N32" s="47">
        <f t="shared" si="5"/>
        <v>-0.90508151591166885</v>
      </c>
      <c r="O32" s="47">
        <f t="shared" si="6"/>
        <v>1.9225061410987898E-4</v>
      </c>
      <c r="P32" s="47">
        <f t="shared" si="7"/>
        <v>-1.8970968094469409E-3</v>
      </c>
      <c r="Q32" s="47">
        <f t="shared" si="8"/>
        <v>-0.70250000000000001</v>
      </c>
      <c r="R32" s="47">
        <f t="shared" si="9"/>
        <v>0</v>
      </c>
      <c r="S32" s="47">
        <f t="shared" si="10"/>
        <v>-0.58333333333333326</v>
      </c>
      <c r="T32" s="47">
        <f t="shared" si="11"/>
        <v>-5.1369863013698502E-2</v>
      </c>
      <c r="U32" s="47">
        <f t="shared" si="12"/>
        <v>1.1673151750974942E-3</v>
      </c>
      <c r="V32" s="33"/>
      <c r="W32" s="33">
        <f t="shared" si="13"/>
        <v>1</v>
      </c>
      <c r="X32" s="33">
        <f t="shared" si="14"/>
        <v>1</v>
      </c>
      <c r="Y32" s="33">
        <f t="shared" si="15"/>
        <v>1</v>
      </c>
      <c r="Z32" s="33">
        <f t="shared" si="16"/>
        <v>1</v>
      </c>
      <c r="AA32" s="33">
        <f t="shared" si="17"/>
        <v>0</v>
      </c>
      <c r="AB32" s="33">
        <f t="shared" si="18"/>
        <v>1</v>
      </c>
      <c r="AC32" s="33">
        <f t="shared" si="19"/>
        <v>1</v>
      </c>
      <c r="AD32" s="33">
        <f t="shared" si="20"/>
        <v>1</v>
      </c>
      <c r="AE32" s="33">
        <f t="shared" si="21"/>
        <v>1</v>
      </c>
      <c r="AF32" s="33">
        <f t="shared" si="22"/>
        <v>1</v>
      </c>
      <c r="AG32" s="33">
        <f t="shared" si="23"/>
        <v>0</v>
      </c>
      <c r="AH32" s="48">
        <f t="shared" si="24"/>
        <v>1.3595657892073731E-3</v>
      </c>
    </row>
    <row r="33" spans="1:34">
      <c r="A33" s="49" t="s">
        <v>91</v>
      </c>
      <c r="B33" s="71">
        <v>3.5</v>
      </c>
      <c r="C33" s="71">
        <v>0.7</v>
      </c>
      <c r="D33" s="71">
        <v>17</v>
      </c>
      <c r="E33" s="71">
        <v>7.3</v>
      </c>
      <c r="F33" s="70">
        <v>7.7153199099999998</v>
      </c>
      <c r="G33" s="70">
        <v>3.3502146700000002</v>
      </c>
      <c r="H33" s="70">
        <v>5.2866544600000003</v>
      </c>
      <c r="I33" s="71">
        <v>2994.4710660000001</v>
      </c>
      <c r="J33" s="48">
        <f t="shared" si="1"/>
        <v>2994.3367575235688</v>
      </c>
      <c r="K33" s="47">
        <f t="shared" si="2"/>
        <v>-7.3915280397873317E-2</v>
      </c>
      <c r="L33" s="47">
        <f t="shared" si="3"/>
        <v>-0.1979985271419491</v>
      </c>
      <c r="M33" s="47">
        <f t="shared" si="4"/>
        <v>-0.49917225043660718</v>
      </c>
      <c r="N33" s="47">
        <f t="shared" si="5"/>
        <v>-0.90464390425156338</v>
      </c>
      <c r="O33" s="47">
        <f t="shared" si="6"/>
        <v>-3.4954947825127647E-9</v>
      </c>
      <c r="P33" s="47">
        <f t="shared" si="7"/>
        <v>2.8258260176272643E-9</v>
      </c>
      <c r="Q33" s="47">
        <f t="shared" si="8"/>
        <v>-0.70250000000000001</v>
      </c>
      <c r="R33" s="47">
        <f t="shared" si="9"/>
        <v>0</v>
      </c>
      <c r="S33" s="47">
        <f t="shared" si="10"/>
        <v>-0.58333333333333326</v>
      </c>
      <c r="T33" s="47">
        <f t="shared" si="11"/>
        <v>-5.132575273972606E-2</v>
      </c>
      <c r="U33" s="47">
        <f t="shared" si="12"/>
        <v>-5.1844883941498665E-10</v>
      </c>
      <c r="V33" s="33"/>
      <c r="W33" s="33">
        <f t="shared" si="13"/>
        <v>1</v>
      </c>
      <c r="X33" s="33">
        <f t="shared" si="14"/>
        <v>1</v>
      </c>
      <c r="Y33" s="33">
        <f t="shared" si="15"/>
        <v>1</v>
      </c>
      <c r="Z33" s="33">
        <f t="shared" si="16"/>
        <v>1</v>
      </c>
      <c r="AA33" s="33">
        <f t="shared" si="17"/>
        <v>1</v>
      </c>
      <c r="AB33" s="33">
        <f t="shared" si="18"/>
        <v>0</v>
      </c>
      <c r="AC33" s="33">
        <f t="shared" si="19"/>
        <v>1</v>
      </c>
      <c r="AD33" s="33">
        <f t="shared" si="20"/>
        <v>1</v>
      </c>
      <c r="AE33" s="33">
        <f t="shared" si="21"/>
        <v>1</v>
      </c>
      <c r="AF33" s="33">
        <f t="shared" si="22"/>
        <v>1</v>
      </c>
      <c r="AG33" s="33">
        <f t="shared" si="23"/>
        <v>1</v>
      </c>
      <c r="AH33" s="48">
        <f t="shared" si="24"/>
        <v>2.8258260176272643E-9</v>
      </c>
    </row>
    <row r="34" spans="1:34">
      <c r="A34" s="49" t="s">
        <v>180</v>
      </c>
      <c r="B34" s="71">
        <v>3.5</v>
      </c>
      <c r="C34" s="71">
        <v>0.7</v>
      </c>
      <c r="D34" s="71">
        <v>17</v>
      </c>
      <c r="E34" s="71">
        <v>7.3000034999999999</v>
      </c>
      <c r="F34" s="70">
        <v>7.7153225000000001</v>
      </c>
      <c r="G34" s="70">
        <v>3.3502147</v>
      </c>
      <c r="H34" s="70">
        <v>5.2866545</v>
      </c>
      <c r="I34" s="71">
        <v>2994.4712</v>
      </c>
      <c r="J34" s="48">
        <f t="shared" si="1"/>
        <v>2994.3368782814669</v>
      </c>
      <c r="K34" s="47">
        <f t="shared" si="2"/>
        <v>-7.3915280397873317E-2</v>
      </c>
      <c r="L34" s="47">
        <f t="shared" si="3"/>
        <v>-0.1979985271419491</v>
      </c>
      <c r="M34" s="47">
        <f t="shared" si="4"/>
        <v>-0.49917154800655528</v>
      </c>
      <c r="N34" s="47">
        <f t="shared" si="5"/>
        <v>-0.90464381110557102</v>
      </c>
      <c r="O34" s="47">
        <f t="shared" si="6"/>
        <v>-2.4506310758454219E-8</v>
      </c>
      <c r="P34" s="47">
        <f t="shared" si="7"/>
        <v>-1.9376304671858691E-8</v>
      </c>
      <c r="Q34" s="47">
        <f t="shared" si="8"/>
        <v>-0.70250000000000001</v>
      </c>
      <c r="R34" s="47">
        <f t="shared" si="9"/>
        <v>0</v>
      </c>
      <c r="S34" s="47">
        <f t="shared" si="10"/>
        <v>-0.58333333333333326</v>
      </c>
      <c r="T34" s="47">
        <f t="shared" si="11"/>
        <v>-5.1326201418944506E-2</v>
      </c>
      <c r="U34" s="47">
        <f t="shared" si="12"/>
        <v>-3.305111355711432E-7</v>
      </c>
      <c r="V34" s="33"/>
      <c r="W34" s="33">
        <f t="shared" si="13"/>
        <v>1</v>
      </c>
      <c r="X34" s="33">
        <f t="shared" si="14"/>
        <v>1</v>
      </c>
      <c r="Y34" s="33">
        <f t="shared" si="15"/>
        <v>1</v>
      </c>
      <c r="Z34" s="33">
        <f t="shared" si="16"/>
        <v>1</v>
      </c>
      <c r="AA34" s="33">
        <f t="shared" si="17"/>
        <v>1</v>
      </c>
      <c r="AB34" s="33">
        <f t="shared" si="18"/>
        <v>1</v>
      </c>
      <c r="AC34" s="33">
        <f t="shared" si="19"/>
        <v>1</v>
      </c>
      <c r="AD34" s="33">
        <f t="shared" si="20"/>
        <v>1</v>
      </c>
      <c r="AE34" s="33">
        <f t="shared" si="21"/>
        <v>1</v>
      </c>
      <c r="AF34" s="33">
        <f t="shared" si="22"/>
        <v>1</v>
      </c>
      <c r="AG34" s="33">
        <f t="shared" si="23"/>
        <v>1</v>
      </c>
      <c r="AH34" s="48">
        <f t="shared" si="24"/>
        <v>0</v>
      </c>
    </row>
    <row r="35" spans="1:34">
      <c r="A35" s="49" t="s">
        <v>92</v>
      </c>
      <c r="B35" s="71">
        <v>3.5</v>
      </c>
      <c r="C35" s="71">
        <v>0.7</v>
      </c>
      <c r="D35" s="71">
        <v>17</v>
      </c>
      <c r="E35" s="71">
        <v>7.3</v>
      </c>
      <c r="F35" s="70">
        <v>7.7153199115</v>
      </c>
      <c r="G35" s="70">
        <v>3.3502146660999998</v>
      </c>
      <c r="H35" s="70">
        <v>5.2866544649999998</v>
      </c>
      <c r="I35" s="71">
        <v>2994.4710660000001</v>
      </c>
      <c r="J35" s="48">
        <f t="shared" si="1"/>
        <v>2994.3367597386041</v>
      </c>
      <c r="K35" s="47">
        <f t="shared" si="2"/>
        <v>-7.3915280397873317E-2</v>
      </c>
      <c r="L35" s="47">
        <f t="shared" si="3"/>
        <v>-0.1979985271419491</v>
      </c>
      <c r="M35" s="47">
        <f t="shared" si="4"/>
        <v>-0.49917224810454364</v>
      </c>
      <c r="N35" s="47">
        <f t="shared" si="5"/>
        <v>-0.90464390455668908</v>
      </c>
      <c r="O35" s="47">
        <f t="shared" si="6"/>
        <v>-3.1810110101559985E-12</v>
      </c>
      <c r="P35" s="47">
        <f t="shared" si="7"/>
        <v>-1.1219358775349519E-11</v>
      </c>
      <c r="Q35" s="47">
        <f t="shared" si="8"/>
        <v>-0.70250000000000001</v>
      </c>
      <c r="R35" s="47">
        <f t="shared" si="9"/>
        <v>0</v>
      </c>
      <c r="S35" s="47">
        <f t="shared" si="10"/>
        <v>-0.58333333333333326</v>
      </c>
      <c r="T35" s="47">
        <f t="shared" si="11"/>
        <v>-5.1325753541095809E-2</v>
      </c>
      <c r="U35" s="47">
        <f t="shared" si="12"/>
        <v>0</v>
      </c>
      <c r="V35" s="33"/>
      <c r="W35" s="33">
        <f t="shared" si="13"/>
        <v>1</v>
      </c>
      <c r="X35" s="33">
        <f t="shared" si="14"/>
        <v>1</v>
      </c>
      <c r="Y35" s="33">
        <f t="shared" si="15"/>
        <v>1</v>
      </c>
      <c r="Z35" s="33">
        <f t="shared" si="16"/>
        <v>1</v>
      </c>
      <c r="AA35" s="33">
        <f t="shared" si="17"/>
        <v>1</v>
      </c>
      <c r="AB35" s="33">
        <f t="shared" si="18"/>
        <v>1</v>
      </c>
      <c r="AC35" s="33">
        <f t="shared" si="19"/>
        <v>1</v>
      </c>
      <c r="AD35" s="33">
        <f t="shared" si="20"/>
        <v>1</v>
      </c>
      <c r="AE35" s="33">
        <f t="shared" si="21"/>
        <v>1</v>
      </c>
      <c r="AF35" s="33">
        <f t="shared" si="22"/>
        <v>1</v>
      </c>
      <c r="AG35" s="33">
        <f t="shared" si="23"/>
        <v>1</v>
      </c>
      <c r="AH35" s="48">
        <f t="shared" si="24"/>
        <v>0</v>
      </c>
    </row>
    <row r="36" spans="1:34">
      <c r="A36" s="49" t="s">
        <v>93</v>
      </c>
      <c r="B36" s="71">
        <v>3.506122</v>
      </c>
      <c r="C36" s="71">
        <v>0.70000616999999998</v>
      </c>
      <c r="D36" s="71">
        <v>17</v>
      </c>
      <c r="E36" s="71">
        <v>7.5491260000000002</v>
      </c>
      <c r="F36" s="70">
        <v>7.8593299999999999</v>
      </c>
      <c r="G36" s="70">
        <v>3.3655759999999999</v>
      </c>
      <c r="H36" s="70">
        <v>5.2897730000000003</v>
      </c>
      <c r="I36" s="71">
        <v>3008.08</v>
      </c>
      <c r="J36" s="48">
        <f t="shared" si="1"/>
        <v>3008.0633505374335</v>
      </c>
      <c r="K36" s="47">
        <f t="shared" si="2"/>
        <v>-7.5548603289988248E-2</v>
      </c>
      <c r="L36" s="47">
        <f t="shared" si="3"/>
        <v>-0.19941300611714674</v>
      </c>
      <c r="M36" s="47">
        <f t="shared" si="4"/>
        <v>-0.45617529402733947</v>
      </c>
      <c r="N36" s="47">
        <f t="shared" si="5"/>
        <v>-0.89944238814094168</v>
      </c>
      <c r="O36" s="47">
        <f t="shared" si="6"/>
        <v>-1.3212600479773684E-2</v>
      </c>
      <c r="P36" s="47">
        <f t="shared" si="7"/>
        <v>-1.7397758364723348E-3</v>
      </c>
      <c r="Q36" s="47">
        <f t="shared" si="8"/>
        <v>-0.70249737774999998</v>
      </c>
      <c r="R36" s="47">
        <f t="shared" si="9"/>
        <v>-1.7372898033781725E-3</v>
      </c>
      <c r="S36" s="47">
        <f t="shared" si="10"/>
        <v>-0.58260820282007897</v>
      </c>
      <c r="T36" s="47">
        <f t="shared" si="11"/>
        <v>-7.9580338174247034E-2</v>
      </c>
      <c r="U36" s="47">
        <f t="shared" si="12"/>
        <v>-1.788698273262479E-2</v>
      </c>
      <c r="V36" s="33"/>
      <c r="W36" s="33">
        <f t="shared" si="13"/>
        <v>1</v>
      </c>
      <c r="X36" s="33">
        <f t="shared" si="14"/>
        <v>1</v>
      </c>
      <c r="Y36" s="33">
        <f t="shared" si="15"/>
        <v>1</v>
      </c>
      <c r="Z36" s="33">
        <f t="shared" si="16"/>
        <v>1</v>
      </c>
      <c r="AA36" s="33">
        <f t="shared" si="17"/>
        <v>1</v>
      </c>
      <c r="AB36" s="33">
        <f t="shared" si="18"/>
        <v>1</v>
      </c>
      <c r="AC36" s="33">
        <f t="shared" si="19"/>
        <v>1</v>
      </c>
      <c r="AD36" s="33">
        <f t="shared" si="20"/>
        <v>1</v>
      </c>
      <c r="AE36" s="33">
        <f t="shared" si="21"/>
        <v>1</v>
      </c>
      <c r="AF36" s="33">
        <f t="shared" si="22"/>
        <v>1</v>
      </c>
      <c r="AG36" s="33">
        <f t="shared" si="23"/>
        <v>1</v>
      </c>
      <c r="AH36" s="48">
        <f t="shared" si="24"/>
        <v>0</v>
      </c>
    </row>
    <row r="37" spans="1:34" ht="25.5">
      <c r="A37" s="49" t="s">
        <v>94</v>
      </c>
      <c r="B37" s="71">
        <v>3.5</v>
      </c>
      <c r="C37" s="71">
        <v>0.7</v>
      </c>
      <c r="D37" s="71">
        <v>17</v>
      </c>
      <c r="E37" s="71">
        <v>7.3</v>
      </c>
      <c r="F37" s="70">
        <v>7.8</v>
      </c>
      <c r="G37" s="70">
        <v>3.3502146000000002</v>
      </c>
      <c r="H37" s="70">
        <v>5.2866831999999997</v>
      </c>
      <c r="I37" s="71">
        <v>2996.3481652999999</v>
      </c>
      <c r="J37" s="48">
        <f t="shared" si="1"/>
        <v>2996.2138209583318</v>
      </c>
      <c r="K37" s="47">
        <f t="shared" si="2"/>
        <v>-7.3915280397873317E-2</v>
      </c>
      <c r="L37" s="47">
        <f t="shared" si="3"/>
        <v>-0.1979985271419491</v>
      </c>
      <c r="M37" s="47">
        <f t="shared" si="4"/>
        <v>-0.49917220857905742</v>
      </c>
      <c r="N37" s="47">
        <f t="shared" si="5"/>
        <v>-0.90147169539692318</v>
      </c>
      <c r="O37" s="47">
        <f t="shared" si="6"/>
        <v>5.9187057921405994E-8</v>
      </c>
      <c r="P37" s="47">
        <f t="shared" si="7"/>
        <v>1.6886532838711332E-8</v>
      </c>
      <c r="Q37" s="47">
        <f t="shared" si="8"/>
        <v>-0.70250000000000001</v>
      </c>
      <c r="R37" s="47">
        <f t="shared" si="9"/>
        <v>0</v>
      </c>
      <c r="S37" s="47">
        <f t="shared" si="10"/>
        <v>-0.58333333333333326</v>
      </c>
      <c r="T37" s="47">
        <f t="shared" si="11"/>
        <v>-5.1325767123287624E-2</v>
      </c>
      <c r="U37" s="47">
        <f t="shared" si="12"/>
        <v>-1.0852369230769154E-2</v>
      </c>
      <c r="V37" s="33"/>
      <c r="W37" s="33">
        <f t="shared" si="13"/>
        <v>1</v>
      </c>
      <c r="X37" s="33">
        <f t="shared" si="14"/>
        <v>1</v>
      </c>
      <c r="Y37" s="33">
        <f t="shared" si="15"/>
        <v>1</v>
      </c>
      <c r="Z37" s="33">
        <f t="shared" si="16"/>
        <v>1</v>
      </c>
      <c r="AA37" s="33">
        <f t="shared" si="17"/>
        <v>0</v>
      </c>
      <c r="AB37" s="33">
        <f t="shared" si="18"/>
        <v>0</v>
      </c>
      <c r="AC37" s="33">
        <f t="shared" si="19"/>
        <v>1</v>
      </c>
      <c r="AD37" s="33">
        <f t="shared" si="20"/>
        <v>1</v>
      </c>
      <c r="AE37" s="33">
        <f t="shared" si="21"/>
        <v>1</v>
      </c>
      <c r="AF37" s="33">
        <f t="shared" si="22"/>
        <v>1</v>
      </c>
      <c r="AG37" s="33">
        <f t="shared" si="23"/>
        <v>1</v>
      </c>
      <c r="AH37" s="48">
        <f t="shared" si="24"/>
        <v>7.6073590760117327E-8</v>
      </c>
    </row>
    <row r="38" spans="1:34" ht="25.5">
      <c r="A38" s="49" t="s">
        <v>176</v>
      </c>
      <c r="B38" s="71">
        <v>3.5</v>
      </c>
      <c r="C38" s="71">
        <v>1</v>
      </c>
      <c r="D38" s="71">
        <v>17</v>
      </c>
      <c r="E38" s="71">
        <v>7.3</v>
      </c>
      <c r="F38" s="70">
        <v>7.7153199099999998</v>
      </c>
      <c r="G38" s="70">
        <v>3.3502146700000002</v>
      </c>
      <c r="H38" s="70">
        <v>5.2866544600000003</v>
      </c>
      <c r="I38" s="71">
        <v>3040.6299279999998</v>
      </c>
      <c r="J38" s="48">
        <f t="shared" si="1"/>
        <v>4640.3509541272697</v>
      </c>
      <c r="K38" s="47">
        <f t="shared" si="2"/>
        <v>-0.54621848739495804</v>
      </c>
      <c r="L38" s="47">
        <f t="shared" si="3"/>
        <v>-0.60701927829955515</v>
      </c>
      <c r="M38" s="47">
        <f t="shared" si="4"/>
        <v>-0.64942057530562503</v>
      </c>
      <c r="N38" s="47">
        <f t="shared" si="5"/>
        <v>-0.9332507329760944</v>
      </c>
      <c r="O38" s="47">
        <f t="shared" si="6"/>
        <v>-3.1178943512977231E-3</v>
      </c>
      <c r="P38" s="47">
        <f t="shared" si="7"/>
        <v>-3.7724365769564727E-4</v>
      </c>
      <c r="Q38" s="47">
        <f t="shared" si="8"/>
        <v>-0.57499999999999996</v>
      </c>
      <c r="R38" s="47">
        <f t="shared" si="9"/>
        <v>0.4285714285714286</v>
      </c>
      <c r="S38" s="47">
        <f t="shared" si="10"/>
        <v>-0.70833333333333326</v>
      </c>
      <c r="T38" s="47">
        <f t="shared" si="11"/>
        <v>-5.132575273972606E-2</v>
      </c>
      <c r="U38" s="47">
        <f t="shared" si="12"/>
        <v>-5.1844883941498665E-10</v>
      </c>
      <c r="V38" s="33"/>
      <c r="W38" s="33">
        <f t="shared" si="13"/>
        <v>1</v>
      </c>
      <c r="X38" s="33">
        <f t="shared" si="14"/>
        <v>1</v>
      </c>
      <c r="Y38" s="33">
        <f t="shared" si="15"/>
        <v>1</v>
      </c>
      <c r="Z38" s="33">
        <f t="shared" si="16"/>
        <v>1</v>
      </c>
      <c r="AA38" s="33">
        <f t="shared" si="17"/>
        <v>1</v>
      </c>
      <c r="AB38" s="33">
        <f t="shared" si="18"/>
        <v>1</v>
      </c>
      <c r="AC38" s="33">
        <f t="shared" si="19"/>
        <v>1</v>
      </c>
      <c r="AD38" s="33">
        <f t="shared" si="20"/>
        <v>0</v>
      </c>
      <c r="AE38" s="33">
        <f t="shared" si="21"/>
        <v>1</v>
      </c>
      <c r="AF38" s="33">
        <f t="shared" si="22"/>
        <v>1</v>
      </c>
      <c r="AG38" s="33">
        <f t="shared" si="23"/>
        <v>1</v>
      </c>
      <c r="AH38" s="48">
        <f t="shared" si="24"/>
        <v>0.4285714285714286</v>
      </c>
    </row>
    <row r="39" spans="1:34">
      <c r="A39" s="49" t="s">
        <v>177</v>
      </c>
      <c r="B39" s="71">
        <v>3.5</v>
      </c>
      <c r="C39" s="71">
        <v>0.7</v>
      </c>
      <c r="D39" s="71">
        <v>17</v>
      </c>
      <c r="E39" s="71">
        <v>7.3</v>
      </c>
      <c r="F39" s="70">
        <v>7.7153199099999998</v>
      </c>
      <c r="G39" s="70">
        <v>3.3505409500000001</v>
      </c>
      <c r="H39" s="70">
        <v>5.2866544600000003</v>
      </c>
      <c r="I39" s="71">
        <v>2994.4250000000002</v>
      </c>
      <c r="J39" s="48">
        <f t="shared" si="1"/>
        <v>2994.4199064959116</v>
      </c>
      <c r="K39" s="47">
        <f t="shared" si="2"/>
        <v>-7.3915280397873317E-2</v>
      </c>
      <c r="L39" s="47">
        <f t="shared" si="3"/>
        <v>-0.1979985271419491</v>
      </c>
      <c r="M39" s="47">
        <f t="shared" si="4"/>
        <v>-0.4993673069513479</v>
      </c>
      <c r="N39" s="47">
        <f t="shared" si="5"/>
        <v>-0.90464390425156338</v>
      </c>
      <c r="O39" s="47">
        <f t="shared" si="6"/>
        <v>-2.9211891613178942E-4</v>
      </c>
      <c r="P39" s="47">
        <f t="shared" si="7"/>
        <v>2.8258260176272643E-9</v>
      </c>
      <c r="Q39" s="47">
        <f t="shared" si="8"/>
        <v>-0.70250000000000001</v>
      </c>
      <c r="R39" s="47">
        <f t="shared" si="9"/>
        <v>0</v>
      </c>
      <c r="S39" s="47">
        <f t="shared" si="10"/>
        <v>-0.58333333333333326</v>
      </c>
      <c r="T39" s="47">
        <f t="shared" si="11"/>
        <v>-5.125870890410944E-2</v>
      </c>
      <c r="U39" s="47">
        <f t="shared" si="12"/>
        <v>-5.1844883941498665E-10</v>
      </c>
      <c r="V39" s="33"/>
      <c r="W39" s="33">
        <f t="shared" si="13"/>
        <v>1</v>
      </c>
      <c r="X39" s="33">
        <f t="shared" si="14"/>
        <v>1</v>
      </c>
      <c r="Y39" s="33">
        <f t="shared" si="15"/>
        <v>1</v>
      </c>
      <c r="Z39" s="33">
        <f t="shared" si="16"/>
        <v>1</v>
      </c>
      <c r="AA39" s="33">
        <f t="shared" si="17"/>
        <v>1</v>
      </c>
      <c r="AB39" s="33">
        <f t="shared" si="18"/>
        <v>0</v>
      </c>
      <c r="AC39" s="33">
        <f t="shared" si="19"/>
        <v>1</v>
      </c>
      <c r="AD39" s="33">
        <f t="shared" si="20"/>
        <v>1</v>
      </c>
      <c r="AE39" s="33">
        <f t="shared" si="21"/>
        <v>1</v>
      </c>
      <c r="AF39" s="33">
        <f t="shared" si="22"/>
        <v>1</v>
      </c>
      <c r="AG39" s="33">
        <f t="shared" si="23"/>
        <v>1</v>
      </c>
      <c r="AH39" s="48">
        <f t="shared" si="24"/>
        <v>2.8258260176272643E-9</v>
      </c>
    </row>
    <row r="40" spans="1:34">
      <c r="A40" s="49" t="s">
        <v>160</v>
      </c>
      <c r="B40" s="71">
        <v>3.5001000000000002</v>
      </c>
      <c r="C40" s="71">
        <v>0.7</v>
      </c>
      <c r="D40" s="71">
        <v>17</v>
      </c>
      <c r="E40" s="71">
        <v>7</v>
      </c>
      <c r="F40" s="70">
        <v>7.8</v>
      </c>
      <c r="G40" s="70">
        <v>3.35</v>
      </c>
      <c r="H40" s="70">
        <v>5.29</v>
      </c>
      <c r="I40" s="71">
        <v>2996.73</v>
      </c>
      <c r="J40" s="48">
        <f t="shared" si="1"/>
        <v>2995.6645935101224</v>
      </c>
      <c r="K40" s="47">
        <f t="shared" si="2"/>
        <v>-7.3941739205324652E-2</v>
      </c>
      <c r="L40" s="47">
        <f t="shared" si="3"/>
        <v>-0.19802144081506867</v>
      </c>
      <c r="M40" s="47">
        <f t="shared" si="4"/>
        <v>-0.5583021965699605</v>
      </c>
      <c r="N40" s="47">
        <f t="shared" si="5"/>
        <v>-0.90171856984514986</v>
      </c>
      <c r="O40" s="47">
        <f t="shared" si="6"/>
        <v>-2.9935288370475099E-4</v>
      </c>
      <c r="P40" s="47">
        <f t="shared" si="7"/>
        <v>-1.8797870127977845E-3</v>
      </c>
      <c r="Q40" s="47">
        <f t="shared" si="8"/>
        <v>-0.70250000000000001</v>
      </c>
      <c r="R40" s="47">
        <f t="shared" si="9"/>
        <v>-2.8570612268241646E-5</v>
      </c>
      <c r="S40" s="47">
        <f t="shared" si="10"/>
        <v>-0.58332142857142855</v>
      </c>
      <c r="T40" s="47">
        <f t="shared" si="11"/>
        <v>-1.0714285714285565E-2</v>
      </c>
      <c r="U40" s="47">
        <f t="shared" si="12"/>
        <v>-1.0384615384615214E-2</v>
      </c>
      <c r="V40" s="33"/>
      <c r="W40" s="33">
        <f t="shared" si="13"/>
        <v>1</v>
      </c>
      <c r="X40" s="33">
        <f t="shared" si="14"/>
        <v>1</v>
      </c>
      <c r="Y40" s="33">
        <f t="shared" si="15"/>
        <v>1</v>
      </c>
      <c r="Z40" s="33">
        <f t="shared" si="16"/>
        <v>1</v>
      </c>
      <c r="AA40" s="33">
        <f t="shared" si="17"/>
        <v>1</v>
      </c>
      <c r="AB40" s="33">
        <f t="shared" si="18"/>
        <v>1</v>
      </c>
      <c r="AC40" s="33">
        <f t="shared" si="19"/>
        <v>1</v>
      </c>
      <c r="AD40" s="33">
        <f t="shared" si="20"/>
        <v>1</v>
      </c>
      <c r="AE40" s="33">
        <f t="shared" si="21"/>
        <v>1</v>
      </c>
      <c r="AF40" s="33">
        <f t="shared" si="22"/>
        <v>1</v>
      </c>
      <c r="AG40" s="33">
        <f t="shared" si="23"/>
        <v>1</v>
      </c>
      <c r="AH40" s="48">
        <f t="shared" si="24"/>
        <v>0</v>
      </c>
    </row>
    <row r="41" spans="1:34">
      <c r="A41" s="49" t="s">
        <v>178</v>
      </c>
      <c r="B41" s="71">
        <v>3.5012400000000001</v>
      </c>
      <c r="C41" s="71">
        <v>0.7</v>
      </c>
      <c r="D41" s="71">
        <v>17</v>
      </c>
      <c r="E41" s="71">
        <v>7.3</v>
      </c>
      <c r="F41" s="70">
        <v>7.8</v>
      </c>
      <c r="G41" s="70">
        <v>3.3342499999999999</v>
      </c>
      <c r="H41" s="70">
        <v>5.2653800000000004</v>
      </c>
      <c r="I41" s="71">
        <v>2995.9578000000001</v>
      </c>
      <c r="J41" s="48">
        <f t="shared" si="1"/>
        <v>2979.1604064768826</v>
      </c>
      <c r="K41" s="47">
        <f t="shared" si="2"/>
        <v>-7.4243262784772335E-2</v>
      </c>
      <c r="L41" s="47">
        <f t="shared" si="3"/>
        <v>-0.19828256417635526</v>
      </c>
      <c r="M41" s="47">
        <f t="shared" si="4"/>
        <v>-0.48951111726293639</v>
      </c>
      <c r="N41" s="47">
        <f t="shared" si="5"/>
        <v>-0.89986744962967236</v>
      </c>
      <c r="O41" s="47">
        <f t="shared" si="6"/>
        <v>1.4433136308080297E-2</v>
      </c>
      <c r="P41" s="47">
        <f t="shared" si="7"/>
        <v>1.2186890700269792E-2</v>
      </c>
      <c r="Q41" s="47">
        <f t="shared" si="8"/>
        <v>-0.70250000000000001</v>
      </c>
      <c r="R41" s="47">
        <f t="shared" si="9"/>
        <v>-3.5416024037204785E-4</v>
      </c>
      <c r="S41" s="47">
        <f t="shared" si="10"/>
        <v>-0.5831857142857142</v>
      </c>
      <c r="T41" s="47">
        <f t="shared" si="11"/>
        <v>-5.4606164383561695E-2</v>
      </c>
      <c r="U41" s="47">
        <f t="shared" si="12"/>
        <v>-1.3856666666666517E-2</v>
      </c>
      <c r="V41" s="33"/>
      <c r="W41" s="33">
        <f t="shared" si="13"/>
        <v>1</v>
      </c>
      <c r="X41" s="33">
        <f t="shared" si="14"/>
        <v>1</v>
      </c>
      <c r="Y41" s="33">
        <f t="shared" si="15"/>
        <v>1</v>
      </c>
      <c r="Z41" s="33">
        <f t="shared" si="16"/>
        <v>1</v>
      </c>
      <c r="AA41" s="33">
        <f t="shared" si="17"/>
        <v>0</v>
      </c>
      <c r="AB41" s="33">
        <f t="shared" si="18"/>
        <v>0</v>
      </c>
      <c r="AC41" s="33">
        <f t="shared" si="19"/>
        <v>1</v>
      </c>
      <c r="AD41" s="33">
        <f t="shared" si="20"/>
        <v>1</v>
      </c>
      <c r="AE41" s="33">
        <f t="shared" si="21"/>
        <v>1</v>
      </c>
      <c r="AF41" s="33">
        <f t="shared" si="22"/>
        <v>1</v>
      </c>
      <c r="AG41" s="33">
        <f t="shared" si="23"/>
        <v>1</v>
      </c>
      <c r="AH41" s="48">
        <f t="shared" si="24"/>
        <v>2.6620027008350089E-2</v>
      </c>
    </row>
    <row r="42" spans="1:34">
      <c r="A42" s="49" t="s">
        <v>85</v>
      </c>
      <c r="B42" s="71">
        <v>3.499997</v>
      </c>
      <c r="C42" s="71">
        <v>0.7</v>
      </c>
      <c r="D42" s="71">
        <v>17</v>
      </c>
      <c r="E42" s="71">
        <v>7.300001</v>
      </c>
      <c r="F42" s="70">
        <v>7.7153109999999998</v>
      </c>
      <c r="G42" s="70">
        <v>3.3502139999999998</v>
      </c>
      <c r="H42" s="70">
        <v>5.2866530000000003</v>
      </c>
      <c r="I42" s="71">
        <v>2994.4682400000002</v>
      </c>
      <c r="J42" s="48">
        <f>0.7854*B42*C42^2 *(3.3333*D42^2+14.9334*D42-43.0932)-1.5079*B42*(G42^2+H42^2)+7.4769*(G42^3+H42^3)+0.7854*(E42*G42^2+F42*H42^2)</f>
        <v>2994.3342943361818</v>
      </c>
      <c r="K42" s="47">
        <f>(27/(B42*C42^2*D42))-1</f>
        <v>-7.391448661029032E-2</v>
      </c>
      <c r="L42" s="47">
        <f>(397.5/(B42*C42^2*D42^2))-1</f>
        <v>-0.19799783971152596</v>
      </c>
      <c r="M42" s="47">
        <f>((1.93*E42^3)/(C42*D42*G42^4))-1</f>
        <v>-0.49917164398006419</v>
      </c>
      <c r="N42" s="47">
        <f>((1.93*F42^3)/(C42*D42*H42^4))-1</f>
        <v>-0.90464412927919291</v>
      </c>
      <c r="O42" s="47">
        <f>((1/(110*G42^3))*SQRT( ((745*E42)/(C42*D42))^2 + 16900000))-1</f>
        <v>5.9813862196556045E-7</v>
      </c>
      <c r="P42" s="47">
        <f>((1/(85*H42^3))*SQRT( ((745*F42)/(C42*D42))^2 + 157500000))-1</f>
        <v>8.2961941472170508E-7</v>
      </c>
      <c r="Q42" s="47">
        <f>((C42*D42)/40)-1</f>
        <v>-0.70250000000000001</v>
      </c>
      <c r="R42" s="47">
        <f>(5*C42/B42)-1</f>
        <v>8.5714359188138189E-7</v>
      </c>
      <c r="S42" s="47">
        <f>(B42/(12*C42))-1</f>
        <v>-0.58333369047619033</v>
      </c>
      <c r="T42" s="47">
        <f>((1.5*G42+1.9)/E42)-1</f>
        <v>-5.1326020366298519E-2</v>
      </c>
      <c r="U42" s="47">
        <f>((1.1*H42+1.9)/F42)-1</f>
        <v>9.4617054324785954E-7</v>
      </c>
      <c r="V42" s="33"/>
      <c r="W42" s="33">
        <f t="shared" ref="W42:AG42" si="25">IF(K42&lt;=0,1,0)</f>
        <v>1</v>
      </c>
      <c r="X42" s="33">
        <f t="shared" si="25"/>
        <v>1</v>
      </c>
      <c r="Y42" s="33">
        <f t="shared" si="25"/>
        <v>1</v>
      </c>
      <c r="Z42" s="33">
        <f t="shared" si="25"/>
        <v>1</v>
      </c>
      <c r="AA42" s="33">
        <f t="shared" si="25"/>
        <v>0</v>
      </c>
      <c r="AB42" s="33">
        <f t="shared" si="25"/>
        <v>0</v>
      </c>
      <c r="AC42" s="33">
        <f t="shared" si="25"/>
        <v>1</v>
      </c>
      <c r="AD42" s="33">
        <f t="shared" si="25"/>
        <v>0</v>
      </c>
      <c r="AE42" s="33">
        <f t="shared" si="25"/>
        <v>1</v>
      </c>
      <c r="AF42" s="33">
        <f t="shared" si="25"/>
        <v>1</v>
      </c>
      <c r="AG42" s="33">
        <f t="shared" si="25"/>
        <v>0</v>
      </c>
      <c r="AH42" s="48">
        <f>SUMIF(K42:U42,"&gt;0")</f>
        <v>3.231072171816507E-6</v>
      </c>
    </row>
    <row r="43" spans="1:34"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AH43" s="5"/>
    </row>
    <row r="44" spans="1:34"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AH44" s="5"/>
    </row>
    <row r="45" spans="1:34"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AH45" s="5"/>
    </row>
    <row r="46" spans="1:34"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AH46" s="5"/>
    </row>
    <row r="47" spans="1:34"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AH47" s="5"/>
    </row>
    <row r="48" spans="1:34"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AH48" s="5"/>
    </row>
    <row r="49" spans="10:34"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AH49" s="5"/>
    </row>
    <row r="50" spans="10:34"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AH50" s="5"/>
    </row>
    <row r="51" spans="10:34"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AH51" s="5"/>
    </row>
    <row r="52" spans="10:34"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AH52" s="5"/>
    </row>
    <row r="53" spans="10:34"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AH53" s="5"/>
    </row>
    <row r="54" spans="10:34"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AH54" s="5"/>
    </row>
    <row r="55" spans="10:34"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AH55" s="5"/>
    </row>
    <row r="56" spans="10:34"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AH56" s="5"/>
    </row>
    <row r="57" spans="10:34"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AH57" s="5"/>
    </row>
    <row r="58" spans="10:34"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AH58" s="5"/>
    </row>
    <row r="59" spans="10:34"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AH59" s="5"/>
    </row>
    <row r="60" spans="10:34">
      <c r="J60" s="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AH60" s="5"/>
    </row>
    <row r="61" spans="10:34">
      <c r="J61" s="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AH61" s="5"/>
    </row>
    <row r="62" spans="10:34">
      <c r="J62" s="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AH62" s="5"/>
    </row>
    <row r="63" spans="10:34">
      <c r="J63" s="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AH63" s="5"/>
    </row>
    <row r="64" spans="10:34">
      <c r="J64" s="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AH64" s="5"/>
    </row>
    <row r="65" spans="10:34">
      <c r="J65" s="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AH65" s="5"/>
    </row>
    <row r="66" spans="10:34">
      <c r="J66" s="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AH66" s="5"/>
    </row>
    <row r="67" spans="10:34">
      <c r="J67" s="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AH67" s="5"/>
    </row>
    <row r="68" spans="10:34">
      <c r="J68" s="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AH68" s="5"/>
    </row>
    <row r="69" spans="10:34">
      <c r="J69" s="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AH69" s="5"/>
    </row>
    <row r="70" spans="10:34">
      <c r="J70" s="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AH70" s="5"/>
    </row>
    <row r="71" spans="10:34">
      <c r="J71" s="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AH71" s="5"/>
    </row>
    <row r="72" spans="10:34">
      <c r="J72" s="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AH72" s="5"/>
    </row>
    <row r="73" spans="10:34">
      <c r="J73" s="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AH73" s="5"/>
    </row>
    <row r="74" spans="10:34">
      <c r="J74" s="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AH74" s="5"/>
    </row>
    <row r="75" spans="10:34">
      <c r="J75" s="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AH75" s="5"/>
    </row>
    <row r="76" spans="10:34">
      <c r="J76" s="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AH76" s="5"/>
    </row>
    <row r="77" spans="10:34">
      <c r="J77" s="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AH77" s="5"/>
    </row>
    <row r="78" spans="10:34">
      <c r="J78" s="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AH78" s="5"/>
    </row>
    <row r="79" spans="10:34">
      <c r="J79" s="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AH79" s="5"/>
    </row>
    <row r="80" spans="10:34">
      <c r="J80" s="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AH80" s="5"/>
    </row>
    <row r="81" spans="10:34">
      <c r="J81" s="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AH81" s="5"/>
    </row>
    <row r="82" spans="10:34">
      <c r="J82" s="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AH82" s="5"/>
    </row>
    <row r="83" spans="10:34">
      <c r="J83" s="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AH83" s="5"/>
    </row>
    <row r="84" spans="10:34">
      <c r="J84" s="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AH84" s="5"/>
    </row>
    <row r="85" spans="10:34">
      <c r="J85" s="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AH85" s="5"/>
    </row>
    <row r="86" spans="10:34">
      <c r="J86" s="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AH86" s="5"/>
    </row>
    <row r="87" spans="10:34">
      <c r="J87" s="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AH87" s="5"/>
    </row>
    <row r="88" spans="10:34">
      <c r="J88" s="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AH88" s="5"/>
    </row>
  </sheetData>
  <mergeCells count="8">
    <mergeCell ref="A5:J5"/>
    <mergeCell ref="K5:U5"/>
    <mergeCell ref="V5:AG5"/>
    <mergeCell ref="AH5:AH6"/>
    <mergeCell ref="A23:J23"/>
    <mergeCell ref="K23:U23"/>
    <mergeCell ref="V23:AG23"/>
    <mergeCell ref="AH23:AH24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239-13B0-4EEF-9476-ADA108BBF93A}">
  <dimension ref="A3:K49"/>
  <sheetViews>
    <sheetView topLeftCell="A28" workbookViewId="0">
      <selection activeCell="A50" sqref="A50:XFD50"/>
    </sheetView>
  </sheetViews>
  <sheetFormatPr defaultRowHeight="15"/>
  <cols>
    <col min="1" max="1" width="26.85546875" bestFit="1" customWidth="1"/>
    <col min="2" max="7" width="14.5703125" bestFit="1" customWidth="1"/>
    <col min="8" max="8" width="14.7109375" bestFit="1" customWidth="1"/>
    <col min="9" max="9" width="24.28515625" customWidth="1"/>
    <col min="10" max="10" width="9.42578125" bestFit="1" customWidth="1"/>
    <col min="11" max="11" width="15.140625" bestFit="1" customWidth="1"/>
  </cols>
  <sheetData>
    <row r="3" spans="1:11">
      <c r="I3" s="30"/>
    </row>
    <row r="5" spans="1:11" ht="30" customHeight="1">
      <c r="A5" s="90" t="s">
        <v>127</v>
      </c>
      <c r="B5" s="90"/>
      <c r="C5" s="90"/>
      <c r="D5" s="90"/>
      <c r="E5" s="90"/>
      <c r="F5" s="90"/>
      <c r="G5" s="90"/>
      <c r="H5" s="90"/>
      <c r="I5" s="29" t="s">
        <v>121</v>
      </c>
      <c r="J5" s="31" t="s">
        <v>122</v>
      </c>
      <c r="K5" s="32" t="s">
        <v>123</v>
      </c>
    </row>
    <row r="6" spans="1:11">
      <c r="A6" s="52" t="s">
        <v>126</v>
      </c>
      <c r="B6" s="16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 t="s">
        <v>29</v>
      </c>
      <c r="H6" s="16" t="s">
        <v>28</v>
      </c>
      <c r="I6" s="16" t="s">
        <v>45</v>
      </c>
      <c r="J6" s="16" t="s">
        <v>45</v>
      </c>
      <c r="K6" s="16" t="s">
        <v>30</v>
      </c>
    </row>
    <row r="7" spans="1:11">
      <c r="A7" s="46" t="s">
        <v>128</v>
      </c>
      <c r="B7" s="48">
        <v>6.0274365699999999</v>
      </c>
      <c r="C7" s="48">
        <v>5.3385748</v>
      </c>
      <c r="D7" s="48">
        <v>4.4904866999999999</v>
      </c>
      <c r="E7" s="48">
        <v>3.4834369999999999</v>
      </c>
      <c r="F7" s="69">
        <v>2.1345909999999999</v>
      </c>
      <c r="G7" s="48">
        <v>1.3365750000000001</v>
      </c>
      <c r="H7" s="66">
        <f>0.0624*(B7+C7+D7+E7+F7)</f>
        <v>1.340010426768</v>
      </c>
      <c r="I7" s="36">
        <f>(61/(B7^3))+(37/(C7^3))+(19/(D7^3))+(7/(E7^3))+(1/(F7^3))-1</f>
        <v>1.7887196168686614E-7</v>
      </c>
      <c r="J7" s="35">
        <f>IF(I7&lt;=0,1,0)</f>
        <v>0</v>
      </c>
      <c r="K7" s="35">
        <f>IF(I7&gt;0,I7,0)</f>
        <v>1.7887196168686614E-7</v>
      </c>
    </row>
    <row r="8" spans="1:11">
      <c r="A8" s="46" t="s">
        <v>129</v>
      </c>
      <c r="B8" s="48">
        <v>6.0124363399999998</v>
      </c>
      <c r="C8" s="48">
        <v>5.3148705559999998</v>
      </c>
      <c r="D8" s="48">
        <v>4.4959135494</v>
      </c>
      <c r="E8" s="48">
        <v>3.4993942764999999</v>
      </c>
      <c r="F8" s="69">
        <v>2.1511547960000001</v>
      </c>
      <c r="G8" s="48">
        <v>1.336521415</v>
      </c>
      <c r="H8" s="66">
        <f t="shared" ref="H8:H29" si="0">0.0624*(B8+C8+D8+E8+F8)</f>
        <v>1.3399632179169598</v>
      </c>
      <c r="I8" s="36">
        <f t="shared" ref="I8:I29" si="1">(61/(B8^3))+(37/(C8^3))+(19/(D8^3))+(7/(E8^3))+(1/(F8^3))-1</f>
        <v>-1.2253935294248564E-5</v>
      </c>
      <c r="J8" s="35">
        <f t="shared" ref="J8:J29" si="2">IF(I8&lt;=0,1,0)</f>
        <v>1</v>
      </c>
      <c r="K8" s="35">
        <f t="shared" ref="K8:K28" si="3">IF(I8&gt;0,I8,0)</f>
        <v>0</v>
      </c>
    </row>
    <row r="9" spans="1:11">
      <c r="A9" s="46" t="s">
        <v>130</v>
      </c>
      <c r="B9" s="48">
        <v>6.0091000000000001</v>
      </c>
      <c r="C9" s="48">
        <v>5.2999000000000001</v>
      </c>
      <c r="D9" s="48">
        <v>4.4901</v>
      </c>
      <c r="E9" s="48">
        <v>3.4788999999999999</v>
      </c>
      <c r="F9" s="69">
        <v>2.1530999999999998</v>
      </c>
      <c r="G9" s="48">
        <v>1.34</v>
      </c>
      <c r="H9" s="66">
        <f t="shared" si="0"/>
        <v>1.33730064</v>
      </c>
      <c r="I9" s="36">
        <f t="shared" si="1"/>
        <v>5.9948492250820884E-3</v>
      </c>
      <c r="J9" s="35">
        <f t="shared" si="2"/>
        <v>0</v>
      </c>
      <c r="K9" s="35">
        <f t="shared" si="3"/>
        <v>5.9948492250820884E-3</v>
      </c>
    </row>
    <row r="10" spans="1:11">
      <c r="A10" s="46" t="s">
        <v>131</v>
      </c>
      <c r="B10" s="48">
        <v>5.9769300000000003</v>
      </c>
      <c r="C10" s="48">
        <v>4.8724449999999999</v>
      </c>
      <c r="D10" s="48">
        <v>4.462078</v>
      </c>
      <c r="E10" s="48">
        <v>3.4836119999999999</v>
      </c>
      <c r="F10" s="69">
        <v>2.14412</v>
      </c>
      <c r="G10" s="48">
        <v>1.3066045829999999</v>
      </c>
      <c r="H10" s="66">
        <f t="shared" si="0"/>
        <v>1.3066051440000002</v>
      </c>
      <c r="I10" s="36">
        <f t="shared" si="1"/>
        <v>8.6447555406426124E-2</v>
      </c>
      <c r="J10" s="35">
        <f t="shared" si="2"/>
        <v>0</v>
      </c>
      <c r="K10" s="35">
        <f t="shared" si="3"/>
        <v>8.6447555406426124E-2</v>
      </c>
    </row>
    <row r="11" spans="1:11">
      <c r="A11" s="46" t="s">
        <v>46</v>
      </c>
      <c r="B11" s="48">
        <v>5.7768670000000002</v>
      </c>
      <c r="C11" s="48">
        <v>5.1390760000000002</v>
      </c>
      <c r="D11" s="48">
        <v>4.9725149999999996</v>
      </c>
      <c r="E11" s="48">
        <v>3.5071699999999999</v>
      </c>
      <c r="F11" s="69">
        <v>2.1979600000000001</v>
      </c>
      <c r="G11" s="48">
        <v>1.34744</v>
      </c>
      <c r="H11" s="66">
        <f t="shared" si="0"/>
        <v>1.3474398911999999</v>
      </c>
      <c r="I11" s="36">
        <f t="shared" si="1"/>
        <v>1.4207844780678158E-6</v>
      </c>
      <c r="J11" s="35">
        <f t="shared" si="2"/>
        <v>0</v>
      </c>
      <c r="K11" s="35">
        <f t="shared" si="3"/>
        <v>1.4207844780678158E-6</v>
      </c>
    </row>
    <row r="12" spans="1:11">
      <c r="A12" s="46" t="s">
        <v>132</v>
      </c>
      <c r="B12" s="48">
        <v>5.8480970000000001</v>
      </c>
      <c r="C12" s="48">
        <v>5.4618580000000003</v>
      </c>
      <c r="D12" s="48">
        <v>4.480823</v>
      </c>
      <c r="E12" s="48">
        <v>3.482342</v>
      </c>
      <c r="F12" s="69">
        <v>2.2234400000000001</v>
      </c>
      <c r="G12" s="48">
        <v>1.341385</v>
      </c>
      <c r="H12" s="66">
        <f t="shared" si="0"/>
        <v>1.3413853439999999</v>
      </c>
      <c r="I12" s="36">
        <f t="shared" si="1"/>
        <v>1.4669594738947467E-6</v>
      </c>
      <c r="J12" s="35">
        <f t="shared" si="2"/>
        <v>0</v>
      </c>
      <c r="K12" s="35">
        <f t="shared" si="3"/>
        <v>1.4669594738947467E-6</v>
      </c>
    </row>
    <row r="13" spans="1:11">
      <c r="A13" s="46" t="s">
        <v>133</v>
      </c>
      <c r="B13" s="48">
        <v>6.023940221548</v>
      </c>
      <c r="C13" s="48">
        <v>5.3060112335499996</v>
      </c>
      <c r="D13" s="48">
        <v>4.4950113234</v>
      </c>
      <c r="E13" s="48">
        <v>3.4960223242000001</v>
      </c>
      <c r="F13" s="69">
        <v>2.1527261700000002</v>
      </c>
      <c r="G13" s="48">
        <v>1.3399595</v>
      </c>
      <c r="H13" s="66">
        <f t="shared" si="0"/>
        <v>1.3399595834163551</v>
      </c>
      <c r="I13" s="36">
        <f t="shared" si="1"/>
        <v>-1.3704192171060114E-6</v>
      </c>
      <c r="J13" s="35">
        <f t="shared" si="2"/>
        <v>1</v>
      </c>
      <c r="K13" s="35">
        <f t="shared" si="3"/>
        <v>0</v>
      </c>
    </row>
    <row r="14" spans="1:11">
      <c r="A14" s="46" t="s">
        <v>134</v>
      </c>
      <c r="B14" s="48">
        <v>5.98102</v>
      </c>
      <c r="C14" s="48">
        <v>4.8780000000000001</v>
      </c>
      <c r="D14" s="48">
        <v>4.4676600000000004</v>
      </c>
      <c r="E14" s="48">
        <v>3.4778600000000002</v>
      </c>
      <c r="F14" s="69">
        <v>2.1346099999999999</v>
      </c>
      <c r="G14" s="48">
        <v>1.30325</v>
      </c>
      <c r="H14" s="66">
        <f t="shared" si="0"/>
        <v>1.30660296</v>
      </c>
      <c r="I14" s="36">
        <f t="shared" si="1"/>
        <v>8.6154613772412958E-2</v>
      </c>
      <c r="J14" s="35">
        <f t="shared" si="2"/>
        <v>0</v>
      </c>
      <c r="K14" s="35">
        <f t="shared" si="3"/>
        <v>8.6154613772412958E-2</v>
      </c>
    </row>
    <row r="15" spans="1:11">
      <c r="A15" s="46" t="s">
        <v>47</v>
      </c>
      <c r="B15" s="48">
        <v>6.0176688699999996</v>
      </c>
      <c r="C15" s="48">
        <v>5.2909473499999997</v>
      </c>
      <c r="D15" s="48">
        <v>4.5005299699999997</v>
      </c>
      <c r="E15" s="48">
        <v>3.5108417300000001</v>
      </c>
      <c r="F15" s="69">
        <v>2.15406757</v>
      </c>
      <c r="G15" s="48">
        <v>1.3365452138</v>
      </c>
      <c r="H15" s="66">
        <f t="shared" si="0"/>
        <v>1.3399810625759998</v>
      </c>
      <c r="I15" s="36">
        <f t="shared" si="1"/>
        <v>-2.7984275694836747E-5</v>
      </c>
      <c r="J15" s="35">
        <f t="shared" si="2"/>
        <v>1</v>
      </c>
      <c r="K15" s="35">
        <f t="shared" si="3"/>
        <v>0</v>
      </c>
    </row>
    <row r="16" spans="1:11">
      <c r="A16" s="46" t="s">
        <v>135</v>
      </c>
      <c r="B16" s="48">
        <v>6.0156850899999998</v>
      </c>
      <c r="C16" s="48">
        <v>5.3101000999999997</v>
      </c>
      <c r="D16" s="48">
        <v>4.4956520700000002</v>
      </c>
      <c r="E16" s="48">
        <v>3.5024715899999999</v>
      </c>
      <c r="F16" s="69">
        <v>2.1497614399999998</v>
      </c>
      <c r="G16" s="48">
        <v>1.3365212385</v>
      </c>
      <c r="H16" s="66">
        <f t="shared" si="0"/>
        <v>1.3399570260959999</v>
      </c>
      <c r="I16" s="36">
        <f t="shared" si="1"/>
        <v>-1.5484328719228557E-7</v>
      </c>
      <c r="J16" s="35">
        <f t="shared" si="2"/>
        <v>1</v>
      </c>
      <c r="K16" s="35">
        <f t="shared" si="3"/>
        <v>0</v>
      </c>
    </row>
    <row r="17" spans="1:11">
      <c r="A17" s="46" t="s">
        <v>136</v>
      </c>
      <c r="B17" s="48">
        <v>6.0116740000000002</v>
      </c>
      <c r="C17" s="48">
        <v>5.31297</v>
      </c>
      <c r="D17" s="48">
        <v>4.4830699999999997</v>
      </c>
      <c r="E17" s="48">
        <v>3.5027900000000001</v>
      </c>
      <c r="F17" s="69">
        <v>2.1633300000000002</v>
      </c>
      <c r="G17" s="48">
        <v>1.33996</v>
      </c>
      <c r="H17" s="66">
        <f t="shared" si="0"/>
        <v>1.3399672415999997</v>
      </c>
      <c r="I17" s="36">
        <f t="shared" si="1"/>
        <v>-3.2756309775727743E-8</v>
      </c>
      <c r="J17" s="35">
        <f t="shared" si="2"/>
        <v>1</v>
      </c>
      <c r="K17" s="35">
        <f t="shared" si="3"/>
        <v>0</v>
      </c>
    </row>
    <row r="18" spans="1:11">
      <c r="A18" s="46" t="s">
        <v>137</v>
      </c>
      <c r="B18" s="48">
        <v>6.0181199999999997</v>
      </c>
      <c r="C18" s="48">
        <v>5.31142</v>
      </c>
      <c r="D18" s="48">
        <v>4.4883600000000001</v>
      </c>
      <c r="E18" s="48">
        <v>3.4975100000000001</v>
      </c>
      <c r="F18" s="69">
        <v>2.1583290000000002</v>
      </c>
      <c r="G18" s="48">
        <v>1.33995</v>
      </c>
      <c r="H18" s="66">
        <f t="shared" si="0"/>
        <v>1.3399613136000001</v>
      </c>
      <c r="I18" s="36">
        <f t="shared" si="1"/>
        <v>-2.9956927729557492E-6</v>
      </c>
      <c r="J18" s="35">
        <f t="shared" si="2"/>
        <v>1</v>
      </c>
      <c r="K18" s="35">
        <f t="shared" si="3"/>
        <v>0</v>
      </c>
    </row>
    <row r="19" spans="1:11">
      <c r="A19" s="46" t="s">
        <v>138</v>
      </c>
      <c r="B19" s="48">
        <v>6.01666788</v>
      </c>
      <c r="C19" s="48">
        <v>5.3110389839999996</v>
      </c>
      <c r="D19" s="48">
        <v>4.4936584770000003</v>
      </c>
      <c r="E19" s="48">
        <v>3.5004828059999999</v>
      </c>
      <c r="F19" s="69">
        <v>2.151814366</v>
      </c>
      <c r="G19" s="48">
        <v>1.3399565410000001</v>
      </c>
      <c r="H19" s="66">
        <f t="shared" si="0"/>
        <v>1.3399565408112</v>
      </c>
      <c r="I19" s="36">
        <f t="shared" si="1"/>
        <v>-1.1314627013092604E-10</v>
      </c>
      <c r="J19" s="35">
        <f t="shared" si="2"/>
        <v>1</v>
      </c>
      <c r="K19" s="35">
        <f t="shared" si="3"/>
        <v>0</v>
      </c>
    </row>
    <row r="20" spans="1:11">
      <c r="A20" s="46" t="s">
        <v>139</v>
      </c>
      <c r="B20" s="48">
        <v>6.1348649999999996</v>
      </c>
      <c r="C20" s="48">
        <v>5.3604000000000003</v>
      </c>
      <c r="D20" s="48">
        <v>4.439038</v>
      </c>
      <c r="E20" s="48">
        <v>3.5104989999999998</v>
      </c>
      <c r="F20" s="69">
        <v>2.0103119999999999</v>
      </c>
      <c r="G20" s="48">
        <v>1.3387990000000001</v>
      </c>
      <c r="H20" s="66">
        <f t="shared" si="0"/>
        <v>1.3387991135999999</v>
      </c>
      <c r="I20" s="36">
        <f t="shared" si="1"/>
        <v>6.5142755178357881E-3</v>
      </c>
      <c r="J20" s="35">
        <f t="shared" si="2"/>
        <v>0</v>
      </c>
      <c r="K20" s="35">
        <f t="shared" si="3"/>
        <v>6.5142755178357881E-3</v>
      </c>
    </row>
    <row r="21" spans="1:11">
      <c r="A21" s="46" t="s">
        <v>140</v>
      </c>
      <c r="B21" s="48">
        <v>5.9782200000000003</v>
      </c>
      <c r="C21" s="48">
        <v>4.8762299999999996</v>
      </c>
      <c r="D21" s="48">
        <v>4.4661</v>
      </c>
      <c r="E21" s="48">
        <v>3.4794499999999999</v>
      </c>
      <c r="F21" s="69">
        <v>2.1391200000000001</v>
      </c>
      <c r="G21" s="48">
        <v>1.3066</v>
      </c>
      <c r="H21" s="66">
        <f t="shared" si="0"/>
        <v>1.3066010880000001</v>
      </c>
      <c r="I21" s="36">
        <f t="shared" si="1"/>
        <v>8.6249062827650436E-2</v>
      </c>
      <c r="J21" s="35">
        <f t="shared" si="2"/>
        <v>0</v>
      </c>
      <c r="K21" s="35">
        <f t="shared" si="3"/>
        <v>8.6249062827650436E-2</v>
      </c>
    </row>
    <row r="22" spans="1:11">
      <c r="A22" s="46" t="s">
        <v>141</v>
      </c>
      <c r="B22" s="48">
        <v>5.9848717732166001</v>
      </c>
      <c r="C22" s="48">
        <v>5.3167269242978303</v>
      </c>
      <c r="D22" s="48">
        <v>4.4973325853062001</v>
      </c>
      <c r="E22" s="48">
        <v>3.5136164676895398</v>
      </c>
      <c r="F22" s="69">
        <v>2.1616202933855</v>
      </c>
      <c r="G22" s="48">
        <v>1.33998808567181</v>
      </c>
      <c r="H22" s="66">
        <f t="shared" si="0"/>
        <v>1.3399880859390898</v>
      </c>
      <c r="I22" s="36">
        <f t="shared" si="1"/>
        <v>7.3081762863580479E-11</v>
      </c>
      <c r="J22" s="35">
        <f t="shared" si="2"/>
        <v>0</v>
      </c>
      <c r="K22" s="35">
        <f t="shared" si="3"/>
        <v>7.3081762863580479E-11</v>
      </c>
    </row>
    <row r="23" spans="1:11">
      <c r="A23" s="46" t="s">
        <v>143</v>
      </c>
      <c r="B23" s="48">
        <v>5.97</v>
      </c>
      <c r="C23" s="48">
        <v>4.8841000000000001</v>
      </c>
      <c r="D23" s="48">
        <v>4.4543999999999997</v>
      </c>
      <c r="E23" s="48">
        <v>3.4738000000000002</v>
      </c>
      <c r="F23" s="69">
        <v>2.1570999999999998</v>
      </c>
      <c r="G23" s="48">
        <v>1.30328</v>
      </c>
      <c r="H23" s="66">
        <f t="shared" si="0"/>
        <v>1.30661856</v>
      </c>
      <c r="I23" s="36">
        <f t="shared" si="1"/>
        <v>8.585368625837142E-2</v>
      </c>
      <c r="J23" s="35">
        <f t="shared" si="2"/>
        <v>0</v>
      </c>
      <c r="K23" s="35">
        <f t="shared" si="3"/>
        <v>8.585368625837142E-2</v>
      </c>
    </row>
    <row r="24" spans="1:11">
      <c r="A24" s="46" t="s">
        <v>144</v>
      </c>
      <c r="B24" s="48">
        <v>5.9782999999999999</v>
      </c>
      <c r="C24" s="48">
        <v>4.8761999999999999</v>
      </c>
      <c r="D24" s="48">
        <v>4.4663000000000004</v>
      </c>
      <c r="E24" s="48">
        <v>3.4790999999999999</v>
      </c>
      <c r="F24" s="69">
        <v>2.1391</v>
      </c>
      <c r="G24" s="48">
        <v>1.30325143</v>
      </c>
      <c r="H24" s="66">
        <f t="shared" si="0"/>
        <v>1.3065936</v>
      </c>
      <c r="I24" s="36">
        <f t="shared" si="1"/>
        <v>8.6267862174826071E-2</v>
      </c>
      <c r="J24" s="35">
        <f t="shared" si="2"/>
        <v>0</v>
      </c>
      <c r="K24" s="35">
        <f t="shared" si="3"/>
        <v>8.6267862174826071E-2</v>
      </c>
    </row>
    <row r="25" spans="1:11">
      <c r="A25" s="46" t="s">
        <v>145</v>
      </c>
      <c r="B25" s="48">
        <v>6.0162000000000004</v>
      </c>
      <c r="C25" s="48">
        <v>5.3076999999999996</v>
      </c>
      <c r="D25" s="48">
        <v>4.5034000000000001</v>
      </c>
      <c r="E25" s="48">
        <v>3.5013000000000001</v>
      </c>
      <c r="F25" s="69">
        <v>2.1450999999999998</v>
      </c>
      <c r="G25" s="48">
        <v>1.34</v>
      </c>
      <c r="H25" s="66">
        <f t="shared" si="0"/>
        <v>1.33995888</v>
      </c>
      <c r="I25" s="36">
        <f t="shared" si="1"/>
        <v>7.0481306919667475E-6</v>
      </c>
      <c r="J25" s="35">
        <f t="shared" si="2"/>
        <v>0</v>
      </c>
      <c r="K25" s="35">
        <f t="shared" si="3"/>
        <v>7.0481306919667475E-6</v>
      </c>
    </row>
    <row r="26" spans="1:11">
      <c r="A26" s="46" t="s">
        <v>146</v>
      </c>
      <c r="B26" s="48">
        <v>6.0116609639999998</v>
      </c>
      <c r="C26" s="48">
        <v>5.3156761939999999</v>
      </c>
      <c r="D26" s="48">
        <v>4.5106818769999997</v>
      </c>
      <c r="E26" s="48">
        <v>3.4856987130000001</v>
      </c>
      <c r="F26" s="69">
        <v>2.1502511740000001</v>
      </c>
      <c r="G26" s="48">
        <v>1.339975661</v>
      </c>
      <c r="H26" s="66">
        <f t="shared" si="0"/>
        <v>1.3399756607327999</v>
      </c>
      <c r="I26" s="36">
        <f t="shared" si="1"/>
        <v>-2.8152074111886805E-6</v>
      </c>
      <c r="J26" s="35">
        <f t="shared" si="2"/>
        <v>1</v>
      </c>
      <c r="K26" s="35">
        <f t="shared" si="3"/>
        <v>0</v>
      </c>
    </row>
    <row r="27" spans="1:11">
      <c r="A27" s="46" t="s">
        <v>142</v>
      </c>
      <c r="B27" s="48">
        <v>6.0177569999999996</v>
      </c>
      <c r="C27" s="48">
        <v>5.3108919999999999</v>
      </c>
      <c r="D27" s="48">
        <v>4.4937579999999997</v>
      </c>
      <c r="E27" s="48">
        <v>3.5011060000000001</v>
      </c>
      <c r="F27" s="69">
        <v>2.1501589999999999</v>
      </c>
      <c r="G27" s="48">
        <v>1.3399570000000001</v>
      </c>
      <c r="H27" s="66">
        <f t="shared" si="0"/>
        <v>1.3399571327999997</v>
      </c>
      <c r="I27" s="36">
        <f t="shared" si="1"/>
        <v>-5.8474475539416204E-7</v>
      </c>
      <c r="J27" s="35">
        <f t="shared" si="2"/>
        <v>1</v>
      </c>
      <c r="K27" s="35">
        <f t="shared" si="3"/>
        <v>0</v>
      </c>
    </row>
    <row r="28" spans="1:11">
      <c r="A28" s="46" t="s">
        <v>108</v>
      </c>
      <c r="B28" s="48">
        <v>6.0084499999999998</v>
      </c>
      <c r="C28" s="48">
        <v>5.3048500000000001</v>
      </c>
      <c r="D28" s="48">
        <v>4.4921499999999996</v>
      </c>
      <c r="E28" s="48">
        <v>3.4984199999999999</v>
      </c>
      <c r="F28" s="69">
        <v>2.1446299999999998</v>
      </c>
      <c r="G28" s="48">
        <v>1.334954</v>
      </c>
      <c r="H28" s="66">
        <f t="shared" si="0"/>
        <v>1.3383863999999999</v>
      </c>
      <c r="I28" s="36">
        <f t="shared" si="1"/>
        <v>3.5280755578872558E-3</v>
      </c>
      <c r="J28" s="35">
        <f t="shared" si="2"/>
        <v>0</v>
      </c>
      <c r="K28" s="35">
        <f t="shared" si="3"/>
        <v>3.5280755578872558E-3</v>
      </c>
    </row>
    <row r="29" spans="1:11">
      <c r="A29" s="79" t="s">
        <v>215</v>
      </c>
      <c r="B29" s="80">
        <v>5.9759209999999996</v>
      </c>
      <c r="C29" s="80">
        <v>4.8807780000000003</v>
      </c>
      <c r="D29" s="80">
        <v>4.465427</v>
      </c>
      <c r="E29" s="80">
        <v>3.4778220000000002</v>
      </c>
      <c r="F29" s="81">
        <v>2.1391939999999998</v>
      </c>
      <c r="G29" s="80">
        <v>1.3032509999999999</v>
      </c>
      <c r="H29" s="82">
        <f t="shared" si="0"/>
        <v>1.3066024608</v>
      </c>
      <c r="I29" s="83">
        <f t="shared" si="1"/>
        <v>8.600677818596969E-2</v>
      </c>
      <c r="J29" s="84">
        <f t="shared" si="2"/>
        <v>0</v>
      </c>
      <c r="K29" s="84">
        <f>IF(I29&gt;0,I29,0)</f>
        <v>8.600677818596969E-2</v>
      </c>
    </row>
    <row r="30" spans="1:11">
      <c r="A30" s="7"/>
      <c r="B30" s="7"/>
      <c r="C30" s="7"/>
      <c r="D30" s="7"/>
      <c r="E30" s="7"/>
      <c r="F30" s="7"/>
      <c r="G30" s="7"/>
      <c r="H30" s="7"/>
      <c r="I30" s="11"/>
      <c r="J30" s="7"/>
      <c r="K30" s="7"/>
    </row>
    <row r="31" spans="1:11" ht="30" customHeight="1">
      <c r="A31" s="90" t="s">
        <v>161</v>
      </c>
      <c r="B31" s="90"/>
      <c r="C31" s="90"/>
      <c r="D31" s="90"/>
      <c r="E31" s="90"/>
      <c r="F31" s="90"/>
      <c r="G31" s="90"/>
      <c r="H31" s="90"/>
      <c r="I31" s="29" t="s">
        <v>121</v>
      </c>
      <c r="J31" s="31" t="s">
        <v>122</v>
      </c>
      <c r="K31" s="32" t="s">
        <v>123</v>
      </c>
    </row>
    <row r="32" spans="1:11">
      <c r="A32" s="51" t="s">
        <v>126</v>
      </c>
      <c r="B32" s="45" t="s">
        <v>40</v>
      </c>
      <c r="C32" s="45" t="s">
        <v>41</v>
      </c>
      <c r="D32" s="45" t="s">
        <v>42</v>
      </c>
      <c r="E32" s="45" t="s">
        <v>43</v>
      </c>
      <c r="F32" s="45" t="s">
        <v>44</v>
      </c>
      <c r="G32" s="45" t="s">
        <v>29</v>
      </c>
      <c r="H32" s="45" t="s">
        <v>28</v>
      </c>
      <c r="I32" s="45" t="s">
        <v>45</v>
      </c>
      <c r="J32" s="45" t="s">
        <v>45</v>
      </c>
      <c r="K32" s="45" t="s">
        <v>30</v>
      </c>
    </row>
    <row r="33" spans="1:11">
      <c r="A33" s="46" t="s">
        <v>147</v>
      </c>
      <c r="B33" s="48">
        <v>5.9913999999999996</v>
      </c>
      <c r="C33" s="48">
        <v>5.3085000000000004</v>
      </c>
      <c r="D33" s="48">
        <v>4.5118999999999998</v>
      </c>
      <c r="E33" s="48">
        <v>3.5021</v>
      </c>
      <c r="F33" s="69">
        <v>2.1600999999999999</v>
      </c>
      <c r="G33" s="48">
        <v>1.34</v>
      </c>
      <c r="H33" s="66">
        <f t="shared" ref="H33:H49" si="4">0.0624*(B33+C33+D33+E33+F33)</f>
        <v>1.3399775999999999</v>
      </c>
      <c r="I33" s="36">
        <f t="shared" ref="I33:I49" si="5">(61/(B33^3))+(37/(C33^3))+(19/(D33^3))+(7/(E33^3))+(1/(F33^3))-1</f>
        <v>7.040719794515482E-6</v>
      </c>
      <c r="J33" s="35">
        <f t="shared" ref="J33:J49" si="6">IF(I33&lt;=0,1,0)</f>
        <v>0</v>
      </c>
      <c r="K33" s="35">
        <f t="shared" ref="K33:K49" si="7">IF(I33&gt;0,I33,0)</f>
        <v>7.040719794515482E-6</v>
      </c>
    </row>
    <row r="34" spans="1:11">
      <c r="A34" s="46" t="s">
        <v>148</v>
      </c>
      <c r="B34" s="48">
        <v>6.0148080000000004</v>
      </c>
      <c r="C34" s="48">
        <v>5.306724</v>
      </c>
      <c r="D34" s="48">
        <v>4.4932319999999999</v>
      </c>
      <c r="E34" s="48">
        <v>3.5051679999999998</v>
      </c>
      <c r="F34" s="69">
        <v>2.1537809999999999</v>
      </c>
      <c r="G34" s="48">
        <v>1.3399570000000001</v>
      </c>
      <c r="H34" s="66">
        <f t="shared" si="4"/>
        <v>1.3399596912</v>
      </c>
      <c r="I34" s="36">
        <f t="shared" si="5"/>
        <v>-5.750154015604636E-6</v>
      </c>
      <c r="J34" s="35">
        <f t="shared" si="6"/>
        <v>1</v>
      </c>
      <c r="K34" s="35">
        <f t="shared" si="7"/>
        <v>0</v>
      </c>
    </row>
    <row r="35" spans="1:11">
      <c r="A35" s="46" t="s">
        <v>149</v>
      </c>
      <c r="B35" s="48">
        <v>6.0288500000000003</v>
      </c>
      <c r="C35" s="48">
        <v>5.3165209999999998</v>
      </c>
      <c r="D35" s="48">
        <v>4.4626489999999999</v>
      </c>
      <c r="E35" s="48">
        <v>3.5084550000000001</v>
      </c>
      <c r="F35" s="69">
        <v>2.1577600000000001</v>
      </c>
      <c r="G35" s="48">
        <v>1.3399650000000001</v>
      </c>
      <c r="H35" s="66">
        <f t="shared" si="4"/>
        <v>1.3399922639999999</v>
      </c>
      <c r="I35" s="36">
        <f t="shared" si="5"/>
        <v>4.4297491919031984E-7</v>
      </c>
      <c r="J35" s="35">
        <f t="shared" si="6"/>
        <v>0</v>
      </c>
      <c r="K35" s="35">
        <f t="shared" si="7"/>
        <v>4.4297491919031984E-7</v>
      </c>
    </row>
    <row r="36" spans="1:11">
      <c r="A36" s="46" t="s">
        <v>150</v>
      </c>
      <c r="B36" s="48">
        <v>6.0187799999999996</v>
      </c>
      <c r="C36" s="48">
        <v>5.3034400000000002</v>
      </c>
      <c r="D36" s="48">
        <v>4.49587</v>
      </c>
      <c r="E36" s="48">
        <v>3.4989599999999998</v>
      </c>
      <c r="F36" s="69">
        <v>2.15564</v>
      </c>
      <c r="G36" s="48">
        <v>1.33996</v>
      </c>
      <c r="H36" s="66">
        <f t="shared" si="4"/>
        <v>1.3398958560000001</v>
      </c>
      <c r="I36" s="36">
        <f t="shared" si="5"/>
        <v>1.3934910667190437E-4</v>
      </c>
      <c r="J36" s="35">
        <f t="shared" si="6"/>
        <v>0</v>
      </c>
      <c r="K36" s="35">
        <f t="shared" si="7"/>
        <v>1.3934910667190437E-4</v>
      </c>
    </row>
    <row r="37" spans="1:11">
      <c r="A37" s="46" t="s">
        <v>151</v>
      </c>
      <c r="B37" s="48">
        <v>6.0154500000000004</v>
      </c>
      <c r="C37" s="48">
        <v>5.3106600000000004</v>
      </c>
      <c r="D37" s="48">
        <v>4.4880000000000004</v>
      </c>
      <c r="E37" s="48">
        <v>3.50528</v>
      </c>
      <c r="F37" s="69">
        <v>2.15428</v>
      </c>
      <c r="G37" s="48">
        <v>1.33995</v>
      </c>
      <c r="H37" s="66">
        <f t="shared" si="4"/>
        <v>1.3399570079999998</v>
      </c>
      <c r="I37" s="36">
        <f t="shared" si="5"/>
        <v>2.6694419403838765E-6</v>
      </c>
      <c r="J37" s="35">
        <f t="shared" si="6"/>
        <v>0</v>
      </c>
      <c r="K37" s="35">
        <f t="shared" si="7"/>
        <v>2.6694419403838765E-6</v>
      </c>
    </row>
    <row r="38" spans="1:11">
      <c r="A38" s="46" t="s">
        <v>152</v>
      </c>
      <c r="B38" s="48">
        <v>6.0366999999999997</v>
      </c>
      <c r="C38" s="48">
        <v>5.2858999999999998</v>
      </c>
      <c r="D38" s="48">
        <v>4.5067000000000004</v>
      </c>
      <c r="E38" s="48">
        <v>3.4857999999999998</v>
      </c>
      <c r="F38" s="69">
        <v>2.1591999999999998</v>
      </c>
      <c r="G38" s="48">
        <v>1.33999632</v>
      </c>
      <c r="H38" s="66">
        <f t="shared" si="4"/>
        <v>1.3399963199999998</v>
      </c>
      <c r="I38" s="36">
        <f t="shared" si="5"/>
        <v>-6.2510372786928059E-6</v>
      </c>
      <c r="J38" s="35">
        <f t="shared" si="6"/>
        <v>1</v>
      </c>
      <c r="K38" s="35">
        <f t="shared" si="7"/>
        <v>0</v>
      </c>
    </row>
    <row r="39" spans="1:11">
      <c r="A39" s="46" t="s">
        <v>146</v>
      </c>
      <c r="B39" s="48">
        <v>6.0116609639999998</v>
      </c>
      <c r="C39" s="48">
        <v>5.3156761939999999</v>
      </c>
      <c r="D39" s="48">
        <v>4.5106820000000001</v>
      </c>
      <c r="E39" s="48">
        <v>3.4856987130000001</v>
      </c>
      <c r="F39" s="69">
        <v>2.1502511740000001</v>
      </c>
      <c r="G39" s="48">
        <v>1.339975661</v>
      </c>
      <c r="H39" s="66">
        <f t="shared" si="4"/>
        <v>1.339975668408</v>
      </c>
      <c r="I39" s="36">
        <f t="shared" si="5"/>
        <v>-2.8321434231148856E-6</v>
      </c>
      <c r="J39" s="35">
        <f t="shared" si="6"/>
        <v>1</v>
      </c>
      <c r="K39" s="35">
        <f t="shared" si="7"/>
        <v>0</v>
      </c>
    </row>
    <row r="40" spans="1:11">
      <c r="A40" s="46" t="s">
        <v>153</v>
      </c>
      <c r="B40" s="48">
        <v>6.0151345261331297</v>
      </c>
      <c r="C40" s="48">
        <v>5.3093046760558096</v>
      </c>
      <c r="D40" s="48">
        <v>4.4950067163084997</v>
      </c>
      <c r="E40" s="48">
        <v>3.5014262863005401</v>
      </c>
      <c r="F40" s="69">
        <v>2.1527879080057599</v>
      </c>
      <c r="G40" s="48">
        <v>1.33995639103895</v>
      </c>
      <c r="H40" s="66">
        <f t="shared" si="4"/>
        <v>1.3399563910389531</v>
      </c>
      <c r="I40" s="36">
        <f t="shared" si="5"/>
        <v>-5.2469739664218196E-10</v>
      </c>
      <c r="J40" s="35">
        <f t="shared" si="6"/>
        <v>1</v>
      </c>
      <c r="K40" s="35">
        <f t="shared" si="7"/>
        <v>0</v>
      </c>
    </row>
    <row r="41" spans="1:11">
      <c r="A41" s="46" t="s">
        <v>154</v>
      </c>
      <c r="B41" s="48">
        <v>6.0159570000000002</v>
      </c>
      <c r="C41" s="48">
        <v>5.3091759999999999</v>
      </c>
      <c r="D41" s="48">
        <v>4.4943366999999999</v>
      </c>
      <c r="E41" s="48">
        <v>3.5015356</v>
      </c>
      <c r="F41" s="69">
        <v>2.1526532999999999</v>
      </c>
      <c r="G41" s="48">
        <v>1.3399563999999999</v>
      </c>
      <c r="H41" s="66">
        <f t="shared" si="4"/>
        <v>1.33995629664</v>
      </c>
      <c r="I41" s="36">
        <f t="shared" si="5"/>
        <v>1.4367322753727763E-7</v>
      </c>
      <c r="J41" s="35">
        <f t="shared" si="6"/>
        <v>0</v>
      </c>
      <c r="K41" s="35">
        <f t="shared" si="7"/>
        <v>1.4367322753727763E-7</v>
      </c>
    </row>
    <row r="42" spans="1:11">
      <c r="A42" s="46" t="s">
        <v>155</v>
      </c>
      <c r="B42" s="48">
        <v>6.0160377</v>
      </c>
      <c r="C42" s="48">
        <v>5.3091473999999996</v>
      </c>
      <c r="D42" s="48">
        <v>4.4943187</v>
      </c>
      <c r="E42" s="48">
        <v>3.5014930999999998</v>
      </c>
      <c r="F42" s="69">
        <v>2.1526627</v>
      </c>
      <c r="G42" s="48">
        <v>1.3399563999999999</v>
      </c>
      <c r="H42" s="66">
        <f t="shared" si="4"/>
        <v>1.3399563590400001</v>
      </c>
      <c r="I42" s="36">
        <f t="shared" si="5"/>
        <v>3.5839793355307847E-9</v>
      </c>
      <c r="J42" s="35">
        <f t="shared" si="6"/>
        <v>0</v>
      </c>
      <c r="K42" s="35">
        <f t="shared" si="7"/>
        <v>3.5839793355307847E-9</v>
      </c>
    </row>
    <row r="43" spans="1:11">
      <c r="A43" s="46" t="s">
        <v>156</v>
      </c>
      <c r="B43" s="48">
        <v>6.01</v>
      </c>
      <c r="C43" s="48">
        <v>5.3040000000000003</v>
      </c>
      <c r="D43" s="48">
        <v>4.49</v>
      </c>
      <c r="E43" s="48">
        <v>3.4980000000000002</v>
      </c>
      <c r="F43" s="69">
        <v>2.15</v>
      </c>
      <c r="G43" s="48">
        <v>1.34</v>
      </c>
      <c r="H43" s="66">
        <f t="shared" si="4"/>
        <v>1.3386047999999999</v>
      </c>
      <c r="I43" s="36">
        <f t="shared" si="5"/>
        <v>3.0321317013679572E-3</v>
      </c>
      <c r="J43" s="35">
        <f t="shared" si="6"/>
        <v>0</v>
      </c>
      <c r="K43" s="35">
        <f t="shared" si="7"/>
        <v>3.0321317013679572E-3</v>
      </c>
    </row>
    <row r="44" spans="1:11">
      <c r="A44" s="46" t="s">
        <v>157</v>
      </c>
      <c r="B44" s="48">
        <v>6.0142199999999999</v>
      </c>
      <c r="C44" s="48">
        <v>5.3121999999999998</v>
      </c>
      <c r="D44" s="48">
        <v>4.4892899999999996</v>
      </c>
      <c r="E44" s="48">
        <v>3.5037500000000001</v>
      </c>
      <c r="F44" s="69">
        <v>2.15422</v>
      </c>
      <c r="G44" s="48">
        <v>1.3399570000000001</v>
      </c>
      <c r="H44" s="66">
        <f t="shared" si="4"/>
        <v>1.3399576319999997</v>
      </c>
      <c r="I44" s="36">
        <f t="shared" si="5"/>
        <v>9.2663279493976347E-8</v>
      </c>
      <c r="J44" s="35">
        <f t="shared" si="6"/>
        <v>0</v>
      </c>
      <c r="K44" s="35">
        <f t="shared" si="7"/>
        <v>9.2663279493976347E-8</v>
      </c>
    </row>
    <row r="45" spans="1:11">
      <c r="A45" s="46" t="s">
        <v>158</v>
      </c>
      <c r="B45" s="48" t="s">
        <v>95</v>
      </c>
      <c r="C45" s="48" t="s">
        <v>95</v>
      </c>
      <c r="D45" s="48" t="s">
        <v>95</v>
      </c>
      <c r="E45" s="48" t="s">
        <v>95</v>
      </c>
      <c r="F45" s="69" t="s">
        <v>95</v>
      </c>
      <c r="G45" s="48">
        <v>1.34</v>
      </c>
      <c r="H45" s="66"/>
      <c r="I45" s="36"/>
      <c r="J45" s="35"/>
      <c r="K45" s="35"/>
    </row>
    <row r="46" spans="1:11">
      <c r="A46" s="46" t="s">
        <v>145</v>
      </c>
      <c r="B46" s="48">
        <v>6.0162000000000004</v>
      </c>
      <c r="C46" s="48">
        <v>5.3076999999999996</v>
      </c>
      <c r="D46" s="48">
        <v>4.5034000000000001</v>
      </c>
      <c r="E46" s="48">
        <v>3.5013000000000001</v>
      </c>
      <c r="F46" s="69">
        <v>2.1450999999999998</v>
      </c>
      <c r="G46" s="48">
        <v>1.3399563800000001</v>
      </c>
      <c r="H46" s="66">
        <f t="shared" si="4"/>
        <v>1.33995888</v>
      </c>
      <c r="I46" s="36">
        <f t="shared" si="5"/>
        <v>7.0481306919667475E-6</v>
      </c>
      <c r="J46" s="35">
        <f t="shared" si="6"/>
        <v>0</v>
      </c>
      <c r="K46" s="35">
        <f t="shared" si="7"/>
        <v>7.0481306919667475E-6</v>
      </c>
    </row>
    <row r="47" spans="1:11">
      <c r="A47" s="46" t="s">
        <v>159</v>
      </c>
      <c r="B47" s="48">
        <v>6.0154633000000004</v>
      </c>
      <c r="C47" s="48">
        <v>5.3090222699999998</v>
      </c>
      <c r="D47" s="48">
        <v>4.4946314569999997</v>
      </c>
      <c r="E47" s="48">
        <v>3.5017850500000001</v>
      </c>
      <c r="F47" s="69">
        <v>2.1527578310000002</v>
      </c>
      <c r="G47" s="48">
        <v>1.3399563800000001</v>
      </c>
      <c r="H47" s="66">
        <f t="shared" si="4"/>
        <v>1.3399563782591999</v>
      </c>
      <c r="I47" s="36">
        <f t="shared" si="5"/>
        <v>-9.6978419739102151E-9</v>
      </c>
      <c r="J47" s="35">
        <f t="shared" si="6"/>
        <v>1</v>
      </c>
      <c r="K47" s="35">
        <f t="shared" si="7"/>
        <v>0</v>
      </c>
    </row>
    <row r="48" spans="1:11">
      <c r="A48" s="46" t="s">
        <v>96</v>
      </c>
      <c r="B48" s="48">
        <v>6.016</v>
      </c>
      <c r="C48" s="48">
        <v>5.3090000000000002</v>
      </c>
      <c r="D48" s="48">
        <v>4.4939999999999998</v>
      </c>
      <c r="E48" s="48">
        <v>3.5019999999999998</v>
      </c>
      <c r="F48" s="69">
        <v>2.153</v>
      </c>
      <c r="G48" s="48">
        <v>1.34</v>
      </c>
      <c r="H48" s="66">
        <f t="shared" ref="H48" si="8">0.0624*(B48+C48+D48+E48+F48)</f>
        <v>1.3399775999999997</v>
      </c>
      <c r="I48" s="36">
        <f t="shared" ref="I48" si="9">(61/(B48^3))+(37/(C48^3))+(19/(D48^3))+(7/(E48^3))+(1/(F48^3))-1</f>
        <v>-4.7507564412296865E-5</v>
      </c>
      <c r="J48" s="35">
        <f t="shared" ref="J48" si="10">IF(I48&lt;=0,1,0)</f>
        <v>1</v>
      </c>
      <c r="K48" s="35">
        <f t="shared" ref="K48" si="11">IF(I48&gt;0,I48,0)</f>
        <v>0</v>
      </c>
    </row>
    <row r="49" spans="1:11">
      <c r="A49" s="46" t="s">
        <v>160</v>
      </c>
      <c r="B49" s="48">
        <v>6.0049000000000001</v>
      </c>
      <c r="C49" s="48">
        <v>5.319</v>
      </c>
      <c r="D49" s="48">
        <v>4.4867999999999997</v>
      </c>
      <c r="E49" s="48">
        <v>3.5032999999999999</v>
      </c>
      <c r="F49" s="69">
        <v>2.1595</v>
      </c>
      <c r="G49" s="48">
        <v>1.3399563000000001</v>
      </c>
      <c r="H49" s="66">
        <f t="shared" si="4"/>
        <v>1.3399464000000001</v>
      </c>
      <c r="I49" s="36">
        <f t="shared" si="5"/>
        <v>4.2954337568623657E-5</v>
      </c>
      <c r="J49" s="35">
        <f t="shared" si="6"/>
        <v>0</v>
      </c>
      <c r="K49" s="35">
        <f t="shared" si="7"/>
        <v>4.2954337568623657E-5</v>
      </c>
    </row>
  </sheetData>
  <mergeCells count="2">
    <mergeCell ref="A5:H5"/>
    <mergeCell ref="A31:H3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019D-C94E-40EE-BF44-93A7ED0F36B3}">
  <dimension ref="A1:AF33"/>
  <sheetViews>
    <sheetView topLeftCell="I6" zoomScale="85" zoomScaleNormal="85" workbookViewId="0">
      <selection activeCell="A33" sqref="A33"/>
    </sheetView>
  </sheetViews>
  <sheetFormatPr defaultRowHeight="15"/>
  <cols>
    <col min="1" max="1" width="26.42578125" bestFit="1" customWidth="1"/>
    <col min="2" max="3" width="11.5703125" bestFit="1" customWidth="1"/>
    <col min="4" max="4" width="10.85546875" bestFit="1" customWidth="1"/>
    <col min="5" max="5" width="12.42578125" bestFit="1" customWidth="1"/>
    <col min="6" max="6" width="11.7109375" bestFit="1" customWidth="1"/>
    <col min="7" max="7" width="10.85546875" bestFit="1" customWidth="1"/>
    <col min="8" max="8" width="15" bestFit="1" customWidth="1"/>
    <col min="9" max="9" width="10" customWidth="1"/>
    <col min="10" max="15" width="8.85546875" customWidth="1"/>
    <col min="16" max="16" width="10.5703125" bestFit="1" customWidth="1"/>
    <col min="17" max="20" width="9.42578125" bestFit="1" customWidth="1"/>
    <col min="21" max="21" width="10.5703125" bestFit="1" customWidth="1"/>
    <col min="22" max="23" width="9.42578125" bestFit="1" customWidth="1"/>
    <col min="24" max="31" width="8.85546875" customWidth="1"/>
    <col min="32" max="32" width="15.140625" bestFit="1" customWidth="1"/>
  </cols>
  <sheetData>
    <row r="1" spans="1:32">
      <c r="E1" s="89" t="s">
        <v>97</v>
      </c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32">
      <c r="E2" s="12" t="s">
        <v>48</v>
      </c>
      <c r="F2" s="13">
        <v>20</v>
      </c>
      <c r="G2" s="12"/>
      <c r="H2" s="12" t="s">
        <v>60</v>
      </c>
      <c r="I2" s="13">
        <v>7.7999999999999999E-6</v>
      </c>
      <c r="J2" s="12"/>
      <c r="K2" s="12" t="s">
        <v>55</v>
      </c>
      <c r="L2" s="13">
        <v>250</v>
      </c>
      <c r="M2" s="12"/>
      <c r="N2" s="12" t="s">
        <v>59</v>
      </c>
      <c r="O2" s="13">
        <v>0.5</v>
      </c>
    </row>
    <row r="3" spans="1:32">
      <c r="E3" s="12" t="s">
        <v>51</v>
      </c>
      <c r="F3" s="13">
        <v>30</v>
      </c>
      <c r="G3" s="12"/>
      <c r="H3" s="12" t="s">
        <v>52</v>
      </c>
      <c r="I3" s="13">
        <v>10000</v>
      </c>
      <c r="J3" s="12"/>
      <c r="K3" s="12" t="s">
        <v>56</v>
      </c>
      <c r="L3" s="13">
        <v>40000</v>
      </c>
      <c r="M3" s="12"/>
      <c r="N3" s="12"/>
      <c r="O3" s="12"/>
    </row>
    <row r="4" spans="1:32">
      <c r="E4" s="12" t="s">
        <v>49</v>
      </c>
      <c r="F4" s="13">
        <v>0.5</v>
      </c>
      <c r="G4" s="12"/>
      <c r="H4" s="12" t="s">
        <v>53</v>
      </c>
      <c r="I4" s="13">
        <v>1.5</v>
      </c>
      <c r="J4" s="12"/>
      <c r="K4" s="12" t="s">
        <v>57</v>
      </c>
      <c r="L4" s="13">
        <v>3000</v>
      </c>
      <c r="M4" s="12"/>
      <c r="N4" s="12"/>
      <c r="O4" s="12"/>
    </row>
    <row r="5" spans="1:32">
      <c r="E5" s="12" t="s">
        <v>50</v>
      </c>
      <c r="F5" s="13">
        <v>1</v>
      </c>
      <c r="G5" s="12"/>
      <c r="H5" s="12" t="s">
        <v>54</v>
      </c>
      <c r="I5" s="13">
        <v>15</v>
      </c>
      <c r="J5" s="12"/>
      <c r="K5" s="12" t="s">
        <v>58</v>
      </c>
      <c r="L5" s="13">
        <v>55000</v>
      </c>
      <c r="M5" s="12"/>
      <c r="N5" s="12"/>
      <c r="O5" s="12"/>
    </row>
    <row r="6" spans="1:32">
      <c r="P6" s="95"/>
      <c r="Q6" s="95"/>
      <c r="R6" s="95"/>
      <c r="S6" s="95"/>
      <c r="T6" s="95"/>
      <c r="U6" s="95"/>
      <c r="V6" s="95"/>
      <c r="W6" s="95"/>
    </row>
    <row r="7" spans="1:32" ht="34.5" customHeight="1">
      <c r="A7" s="93" t="s">
        <v>98</v>
      </c>
      <c r="B7" s="93"/>
      <c r="C7" s="93"/>
      <c r="D7" s="93"/>
      <c r="E7" s="93"/>
      <c r="F7" s="93"/>
      <c r="G7" s="93"/>
      <c r="H7" s="93"/>
      <c r="I7" s="96" t="s">
        <v>125</v>
      </c>
      <c r="J7" s="97"/>
      <c r="K7" s="97"/>
      <c r="L7" s="97"/>
      <c r="M7" s="97"/>
      <c r="N7" s="97"/>
      <c r="O7" s="98"/>
      <c r="P7" s="94" t="s">
        <v>121</v>
      </c>
      <c r="Q7" s="94"/>
      <c r="R7" s="94"/>
      <c r="S7" s="94"/>
      <c r="T7" s="94"/>
      <c r="U7" s="94"/>
      <c r="V7" s="94"/>
      <c r="W7" s="94"/>
      <c r="X7" s="88" t="s">
        <v>122</v>
      </c>
      <c r="Y7" s="88"/>
      <c r="Z7" s="88"/>
      <c r="AA7" s="88"/>
      <c r="AB7" s="88"/>
      <c r="AC7" s="88"/>
      <c r="AD7" s="88"/>
      <c r="AE7" s="88"/>
      <c r="AF7" s="91" t="s">
        <v>123</v>
      </c>
    </row>
    <row r="8" spans="1:32" ht="15.75" customHeight="1">
      <c r="A8" s="15" t="s">
        <v>126</v>
      </c>
      <c r="B8" s="19" t="s">
        <v>62</v>
      </c>
      <c r="C8" s="19" t="s">
        <v>61</v>
      </c>
      <c r="D8" s="19" t="s">
        <v>5</v>
      </c>
      <c r="E8" s="19" t="s">
        <v>63</v>
      </c>
      <c r="F8" s="19" t="s">
        <v>64</v>
      </c>
      <c r="G8" s="20" t="s">
        <v>29</v>
      </c>
      <c r="H8" s="21" t="s">
        <v>28</v>
      </c>
      <c r="I8" s="21" t="s">
        <v>65</v>
      </c>
      <c r="J8" s="21" t="s">
        <v>66</v>
      </c>
      <c r="K8" s="21" t="s">
        <v>67</v>
      </c>
      <c r="L8" s="21" t="s">
        <v>68</v>
      </c>
      <c r="M8" s="21" t="s">
        <v>70</v>
      </c>
      <c r="N8" s="21" t="s">
        <v>69</v>
      </c>
      <c r="O8" s="21" t="s">
        <v>71</v>
      </c>
      <c r="P8" s="21" t="s">
        <v>20</v>
      </c>
      <c r="Q8" s="21" t="s">
        <v>21</v>
      </c>
      <c r="R8" s="21" t="s">
        <v>22</v>
      </c>
      <c r="S8" s="21" t="s">
        <v>23</v>
      </c>
      <c r="T8" s="21" t="s">
        <v>24</v>
      </c>
      <c r="U8" s="21" t="s">
        <v>25</v>
      </c>
      <c r="V8" s="21" t="s">
        <v>34</v>
      </c>
      <c r="W8" s="21" t="s">
        <v>35</v>
      </c>
      <c r="X8" s="21" t="s">
        <v>20</v>
      </c>
      <c r="Y8" s="21" t="s">
        <v>21</v>
      </c>
      <c r="Z8" s="21" t="s">
        <v>22</v>
      </c>
      <c r="AA8" s="21" t="s">
        <v>23</v>
      </c>
      <c r="AB8" s="21" t="s">
        <v>24</v>
      </c>
      <c r="AC8" s="21" t="s">
        <v>25</v>
      </c>
      <c r="AD8" s="21" t="s">
        <v>34</v>
      </c>
      <c r="AE8" s="21" t="s">
        <v>35</v>
      </c>
      <c r="AF8" s="92"/>
    </row>
    <row r="9" spans="1:32" ht="15.75" thickBot="1">
      <c r="A9" s="17" t="s">
        <v>99</v>
      </c>
      <c r="B9" s="37">
        <v>70</v>
      </c>
      <c r="C9" s="37">
        <v>90</v>
      </c>
      <c r="D9" s="37">
        <v>1</v>
      </c>
      <c r="E9" s="37">
        <v>830</v>
      </c>
      <c r="F9" s="38">
        <v>3</v>
      </c>
      <c r="G9" s="39">
        <v>0.31365599999999999</v>
      </c>
      <c r="H9" s="67">
        <f t="shared" ref="H9" si="0">PI()*(C9^2-B9^2)*D9*(F9+1)*_p</f>
        <v>0.31365661053440497</v>
      </c>
      <c r="I9" s="40">
        <f t="shared" ref="I9" si="1">(2/3)*μ*E9*F9*((C9^3-B9^3)/(C9^2-B9^2))</f>
        <v>100118.74999999999</v>
      </c>
      <c r="J9" s="40">
        <f t="shared" ref="J9:J33" si="2">PI()*n/30</f>
        <v>26.179938779914941</v>
      </c>
      <c r="K9" s="40">
        <f>PI()*(C9^2-B9^2)</f>
        <v>10053.096491487338</v>
      </c>
      <c r="L9" s="40">
        <f>E9/K9</f>
        <v>8.2561626728920701E-2</v>
      </c>
      <c r="M9" s="40">
        <f>(2*(C9^3-B9^3))/(3*(C9^2-B9^2))</f>
        <v>80.416666666666671</v>
      </c>
      <c r="N9" s="40">
        <f t="shared" ref="N9" si="3">PI()*M9*n/30</f>
        <v>2105.30341021816</v>
      </c>
      <c r="O9" s="40">
        <f t="shared" ref="O9" si="4">Lz*J9/(I9+Mf)</f>
        <v>13.963480287487213</v>
      </c>
      <c r="P9" s="40">
        <f t="shared" ref="P9" si="5">C9-B9-delta_r</f>
        <v>0</v>
      </c>
      <c r="Q9" s="40">
        <f t="shared" ref="Q9" si="6">Lmax-((F9+1)*(D9+δ))</f>
        <v>24</v>
      </c>
      <c r="R9" s="40">
        <f t="shared" ref="R9" si="7">Pmax-L9</f>
        <v>0.91743837327107935</v>
      </c>
      <c r="S9" s="40">
        <f t="shared" ref="S9" si="8">(Pmax*Vsrmax-L9*N9)/1000</f>
        <v>9.8261827256944461</v>
      </c>
      <c r="T9" s="40">
        <f t="shared" ref="T9" si="9">(Vsrmax-N9)/1000</f>
        <v>7.89469658978184</v>
      </c>
      <c r="U9" s="40">
        <f t="shared" ref="U9" si="10">Tmax-O9</f>
        <v>1.0365197125127867</v>
      </c>
      <c r="V9" s="40">
        <f t="shared" ref="V9" si="11">(I9-(s*Ms))/1000</f>
        <v>40.118749999999984</v>
      </c>
      <c r="W9" s="40">
        <f>O9</f>
        <v>13.963480287487213</v>
      </c>
      <c r="X9" s="40">
        <f>IF(P9&gt;=0,1,0)</f>
        <v>1</v>
      </c>
      <c r="Y9" s="40">
        <f t="shared" ref="Y9:AE9" si="12">IF(Q9&gt;=0,1,0)</f>
        <v>1</v>
      </c>
      <c r="Z9" s="40">
        <f t="shared" si="12"/>
        <v>1</v>
      </c>
      <c r="AA9" s="40">
        <f t="shared" si="12"/>
        <v>1</v>
      </c>
      <c r="AB9" s="40">
        <f t="shared" si="12"/>
        <v>1</v>
      </c>
      <c r="AC9" s="40">
        <f t="shared" si="12"/>
        <v>1</v>
      </c>
      <c r="AD9" s="40">
        <f t="shared" si="12"/>
        <v>1</v>
      </c>
      <c r="AE9" s="40">
        <f t="shared" si="12"/>
        <v>1</v>
      </c>
      <c r="AF9" s="40">
        <f>ABS(SUMIF(P9:W9,"&lt;0"))</f>
        <v>0</v>
      </c>
    </row>
    <row r="10" spans="1:32" ht="15.75" thickBot="1">
      <c r="A10" s="18" t="s">
        <v>100</v>
      </c>
      <c r="B10" s="37">
        <v>70</v>
      </c>
      <c r="C10" s="37">
        <v>90</v>
      </c>
      <c r="D10" s="37">
        <v>1</v>
      </c>
      <c r="E10" s="37">
        <v>214.13</v>
      </c>
      <c r="F10" s="38">
        <v>2</v>
      </c>
      <c r="G10" s="39">
        <v>0.23524245790000001</v>
      </c>
      <c r="H10" s="67">
        <f t="shared" ref="H10:H33" si="13">PI()*(C10^2-B10^2)*D10*(F10+1)*_p</f>
        <v>0.2352424579008037</v>
      </c>
      <c r="I10" s="40">
        <f t="shared" ref="I10:I33" si="14">(2/3)*μ*E10*F10*((C10^3-B10^3)/(C10^2-B10^2))</f>
        <v>17219.620833333334</v>
      </c>
      <c r="J10" s="40">
        <f t="shared" si="2"/>
        <v>26.179938779914941</v>
      </c>
      <c r="K10" s="40">
        <f t="shared" ref="K10:K33" si="15">PI()*(C10^2-B10^2)</f>
        <v>10053.096491487338</v>
      </c>
      <c r="L10" s="40">
        <f t="shared" ref="L10:L33" si="16">E10/K10</f>
        <v>2.1299904977667216E-2</v>
      </c>
      <c r="M10" s="40">
        <f t="shared" ref="M10:M33" si="17">(2*(C10^3-B10^3))/(3*(C10^2-B10^2))</f>
        <v>80.416666666666671</v>
      </c>
      <c r="N10" s="40">
        <f t="shared" ref="N10:N33" si="18">PI()*M10*n/30</f>
        <v>2105.30341021816</v>
      </c>
      <c r="O10" s="40">
        <f t="shared" ref="O10:O33" si="19">Lz*J10/(I10+Mf)</f>
        <v>71.212840476294218</v>
      </c>
      <c r="P10" s="40">
        <f t="shared" ref="P10:P33" si="20">C10-B10-delta_r</f>
        <v>0</v>
      </c>
      <c r="Q10" s="40">
        <f t="shared" ref="Q10:Q33" si="21">Lmax-((F10+1)*(D10+δ))</f>
        <v>25.5</v>
      </c>
      <c r="R10" s="40">
        <f t="shared" ref="R10:R33" si="22">Pmax-L10</f>
        <v>0.97870009502233279</v>
      </c>
      <c r="S10" s="40">
        <f t="shared" ref="S10:S33" si="23">(Pmax*Vsrmax-L10*N10)/1000</f>
        <v>9.9551572374131929</v>
      </c>
      <c r="T10" s="40">
        <f t="shared" ref="T10:T33" si="24">(Vsrmax-N10)/1000</f>
        <v>7.89469658978184</v>
      </c>
      <c r="U10" s="40">
        <f t="shared" ref="U10:U33" si="25">Tmax-O10</f>
        <v>-56.212840476294218</v>
      </c>
      <c r="V10" s="40">
        <f t="shared" ref="V10:V33" si="26">(I10-(s*Ms))/1000</f>
        <v>-42.780379166666663</v>
      </c>
      <c r="W10" s="40">
        <f t="shared" ref="W10:W33" si="27">O10</f>
        <v>71.212840476294218</v>
      </c>
      <c r="X10" s="40">
        <f t="shared" ref="X10:X33" si="28">IF(P10&gt;=0,1,0)</f>
        <v>1</v>
      </c>
      <c r="Y10" s="40">
        <f t="shared" ref="Y10:Y33" si="29">IF(Q10&gt;=0,1,0)</f>
        <v>1</v>
      </c>
      <c r="Z10" s="40">
        <f t="shared" ref="Z10:Z33" si="30">IF(R10&gt;=0,1,0)</f>
        <v>1</v>
      </c>
      <c r="AA10" s="40">
        <f t="shared" ref="AA10:AA33" si="31">IF(S10&gt;=0,1,0)</f>
        <v>1</v>
      </c>
      <c r="AB10" s="40">
        <f t="shared" ref="AB10:AB33" si="32">IF(T10&gt;=0,1,0)</f>
        <v>1</v>
      </c>
      <c r="AC10" s="40">
        <f t="shared" ref="AC10:AC33" si="33">IF(U10&gt;=0,1,0)</f>
        <v>0</v>
      </c>
      <c r="AD10" s="40">
        <f t="shared" ref="AD10:AD33" si="34">IF(V10&gt;=0,1,0)</f>
        <v>0</v>
      </c>
      <c r="AE10" s="40">
        <f t="shared" ref="AE10:AE33" si="35">IF(W10&gt;=0,1,0)</f>
        <v>1</v>
      </c>
      <c r="AF10" s="40">
        <f t="shared" ref="AF10:AF18" si="36">ABS(SUMIF(P10:W10,"&lt;0"))</f>
        <v>98.993219642960881</v>
      </c>
    </row>
    <row r="11" spans="1:32" ht="15.75" thickBot="1">
      <c r="A11" s="17" t="s">
        <v>101</v>
      </c>
      <c r="B11" s="37">
        <v>69.989999999999995</v>
      </c>
      <c r="C11" s="37">
        <v>90</v>
      </c>
      <c r="D11" s="37">
        <v>2.3119999999999998</v>
      </c>
      <c r="E11" s="37">
        <v>1000</v>
      </c>
      <c r="F11" s="38">
        <v>1.5</v>
      </c>
      <c r="G11" s="39">
        <v>0.38965</v>
      </c>
      <c r="H11" s="67">
        <f t="shared" si="13"/>
        <v>0.45343207784713108</v>
      </c>
      <c r="I11" s="40">
        <f t="shared" si="14"/>
        <v>60309.082130133138</v>
      </c>
      <c r="J11" s="40">
        <f t="shared" si="2"/>
        <v>26.179938779914941</v>
      </c>
      <c r="K11" s="40">
        <f t="shared" si="15"/>
        <v>10057.494407043099</v>
      </c>
      <c r="L11" s="40">
        <f t="shared" si="16"/>
        <v>9.9428342639665435E-2</v>
      </c>
      <c r="M11" s="40">
        <f t="shared" si="17"/>
        <v>80.412109506844175</v>
      </c>
      <c r="N11" s="40">
        <f t="shared" si="18"/>
        <v>2105.1841040529971</v>
      </c>
      <c r="O11" s="40">
        <f t="shared" si="19"/>
        <v>22.743918952032573</v>
      </c>
      <c r="P11" s="40">
        <f t="shared" si="20"/>
        <v>1.0000000000005116E-2</v>
      </c>
      <c r="Q11" s="40">
        <f t="shared" si="21"/>
        <v>22.97</v>
      </c>
      <c r="R11" s="40">
        <f t="shared" si="22"/>
        <v>0.90057165736033462</v>
      </c>
      <c r="S11" s="40">
        <f t="shared" si="23"/>
        <v>9.7906850335826423</v>
      </c>
      <c r="T11" s="40">
        <f t="shared" si="24"/>
        <v>7.8948158959470032</v>
      </c>
      <c r="U11" s="40">
        <f t="shared" si="25"/>
        <v>-7.7439189520325726</v>
      </c>
      <c r="V11" s="40">
        <f t="shared" si="26"/>
        <v>0.30908213013313796</v>
      </c>
      <c r="W11" s="40">
        <f t="shared" si="27"/>
        <v>22.743918952032573</v>
      </c>
      <c r="X11" s="40">
        <f t="shared" si="28"/>
        <v>1</v>
      </c>
      <c r="Y11" s="40">
        <f t="shared" si="29"/>
        <v>1</v>
      </c>
      <c r="Z11" s="40">
        <f t="shared" si="30"/>
        <v>1</v>
      </c>
      <c r="AA11" s="40">
        <f t="shared" si="31"/>
        <v>1</v>
      </c>
      <c r="AB11" s="40">
        <f t="shared" si="32"/>
        <v>1</v>
      </c>
      <c r="AC11" s="40">
        <f t="shared" si="33"/>
        <v>0</v>
      </c>
      <c r="AD11" s="40">
        <f t="shared" si="34"/>
        <v>1</v>
      </c>
      <c r="AE11" s="40">
        <f t="shared" si="35"/>
        <v>1</v>
      </c>
      <c r="AF11" s="40">
        <f t="shared" si="36"/>
        <v>7.7439189520325726</v>
      </c>
    </row>
    <row r="12" spans="1:32" ht="15.75" thickBot="1">
      <c r="A12" s="17" t="s">
        <v>102</v>
      </c>
      <c r="B12" s="37">
        <v>70</v>
      </c>
      <c r="C12" s="37">
        <v>90</v>
      </c>
      <c r="D12" s="37">
        <v>1</v>
      </c>
      <c r="E12" s="37">
        <v>1000</v>
      </c>
      <c r="F12" s="38">
        <v>3</v>
      </c>
      <c r="G12" s="39">
        <v>0.31365661</v>
      </c>
      <c r="H12" s="67">
        <f t="shared" si="13"/>
        <v>0.31365661053440497</v>
      </c>
      <c r="I12" s="40">
        <f t="shared" si="14"/>
        <v>120625</v>
      </c>
      <c r="J12" s="40">
        <f t="shared" si="2"/>
        <v>26.179938779914941</v>
      </c>
      <c r="K12" s="40">
        <f t="shared" si="15"/>
        <v>10053.096491487338</v>
      </c>
      <c r="L12" s="40">
        <f t="shared" si="16"/>
        <v>9.9471839432434581E-2</v>
      </c>
      <c r="M12" s="40">
        <f t="shared" si="17"/>
        <v>80.416666666666671</v>
      </c>
      <c r="N12" s="40">
        <f t="shared" si="18"/>
        <v>2105.30341021816</v>
      </c>
      <c r="O12" s="40">
        <f t="shared" si="19"/>
        <v>11.647293289345374</v>
      </c>
      <c r="P12" s="40">
        <f t="shared" si="20"/>
        <v>0</v>
      </c>
      <c r="Q12" s="40">
        <f t="shared" si="21"/>
        <v>24</v>
      </c>
      <c r="R12" s="40">
        <f t="shared" si="22"/>
        <v>0.90052816056756546</v>
      </c>
      <c r="S12" s="40">
        <f t="shared" si="23"/>
        <v>9.7905815972222232</v>
      </c>
      <c r="T12" s="40">
        <f t="shared" si="24"/>
        <v>7.89469658978184</v>
      </c>
      <c r="U12" s="40">
        <f t="shared" si="25"/>
        <v>3.3527067106546262</v>
      </c>
      <c r="V12" s="40">
        <f t="shared" si="26"/>
        <v>60.625</v>
      </c>
      <c r="W12" s="40">
        <f t="shared" si="27"/>
        <v>11.647293289345374</v>
      </c>
      <c r="X12" s="40">
        <f t="shared" si="28"/>
        <v>1</v>
      </c>
      <c r="Y12" s="40">
        <f t="shared" si="29"/>
        <v>1</v>
      </c>
      <c r="Z12" s="40">
        <f t="shared" si="30"/>
        <v>1</v>
      </c>
      <c r="AA12" s="40">
        <f t="shared" si="31"/>
        <v>1</v>
      </c>
      <c r="AB12" s="40">
        <f t="shared" si="32"/>
        <v>1</v>
      </c>
      <c r="AC12" s="40">
        <f t="shared" si="33"/>
        <v>1</v>
      </c>
      <c r="AD12" s="40">
        <f t="shared" si="34"/>
        <v>1</v>
      </c>
      <c r="AE12" s="40">
        <f t="shared" si="35"/>
        <v>1</v>
      </c>
      <c r="AF12" s="40">
        <f t="shared" si="36"/>
        <v>0</v>
      </c>
    </row>
    <row r="13" spans="1:32" ht="15.75" thickBot="1">
      <c r="A13" s="17" t="s">
        <v>103</v>
      </c>
      <c r="B13" s="37">
        <v>70</v>
      </c>
      <c r="C13" s="37">
        <v>90</v>
      </c>
      <c r="D13" s="37">
        <v>1</v>
      </c>
      <c r="E13" s="37">
        <v>703.38369520000003</v>
      </c>
      <c r="F13" s="38">
        <v>2</v>
      </c>
      <c r="G13" s="39">
        <v>0.23524245799999999</v>
      </c>
      <c r="H13" s="67">
        <f t="shared" si="13"/>
        <v>0.2352424579008037</v>
      </c>
      <c r="I13" s="40">
        <f t="shared" si="14"/>
        <v>56563.772155666666</v>
      </c>
      <c r="J13" s="40">
        <f t="shared" si="2"/>
        <v>26.179938779914941</v>
      </c>
      <c r="K13" s="40">
        <f t="shared" si="15"/>
        <v>10053.096491487338</v>
      </c>
      <c r="L13" s="40">
        <f t="shared" si="16"/>
        <v>6.9966869988326907E-2</v>
      </c>
      <c r="M13" s="40">
        <f t="shared" si="17"/>
        <v>80.416666666666671</v>
      </c>
      <c r="N13" s="40">
        <f t="shared" si="18"/>
        <v>2105.30341021816</v>
      </c>
      <c r="O13" s="40">
        <f t="shared" si="19"/>
        <v>24.174033658114041</v>
      </c>
      <c r="P13" s="40">
        <f t="shared" si="20"/>
        <v>0</v>
      </c>
      <c r="Q13" s="40">
        <f t="shared" si="21"/>
        <v>25.5</v>
      </c>
      <c r="R13" s="40">
        <f t="shared" si="22"/>
        <v>0.93003313001167309</v>
      </c>
      <c r="S13" s="40">
        <f t="shared" si="23"/>
        <v>9.8526985100112849</v>
      </c>
      <c r="T13" s="40">
        <f t="shared" si="24"/>
        <v>7.89469658978184</v>
      </c>
      <c r="U13" s="40">
        <f t="shared" si="25"/>
        <v>-9.1740336581140411</v>
      </c>
      <c r="V13" s="40">
        <f t="shared" si="26"/>
        <v>-3.4362278443333345</v>
      </c>
      <c r="W13" s="40">
        <f t="shared" si="27"/>
        <v>24.174033658114041</v>
      </c>
      <c r="X13" s="40">
        <f t="shared" si="28"/>
        <v>1</v>
      </c>
      <c r="Y13" s="40">
        <f t="shared" si="29"/>
        <v>1</v>
      </c>
      <c r="Z13" s="40">
        <f t="shared" si="30"/>
        <v>1</v>
      </c>
      <c r="AA13" s="40">
        <f t="shared" si="31"/>
        <v>1</v>
      </c>
      <c r="AB13" s="40">
        <f t="shared" si="32"/>
        <v>1</v>
      </c>
      <c r="AC13" s="40">
        <f t="shared" si="33"/>
        <v>0</v>
      </c>
      <c r="AD13" s="40">
        <f t="shared" si="34"/>
        <v>0</v>
      </c>
      <c r="AE13" s="40">
        <f t="shared" si="35"/>
        <v>1</v>
      </c>
      <c r="AF13" s="40">
        <f t="shared" si="36"/>
        <v>12.610261502447376</v>
      </c>
    </row>
    <row r="14" spans="1:32" ht="15.75" thickBot="1">
      <c r="A14" s="17" t="s">
        <v>104</v>
      </c>
      <c r="B14" s="37">
        <v>70</v>
      </c>
      <c r="C14" s="37">
        <v>90</v>
      </c>
      <c r="D14" s="37">
        <v>1</v>
      </c>
      <c r="E14" s="37">
        <v>870</v>
      </c>
      <c r="F14" s="38">
        <v>3</v>
      </c>
      <c r="G14" s="39">
        <v>0.31365661053440502</v>
      </c>
      <c r="H14" s="67">
        <f t="shared" si="13"/>
        <v>0.31365661053440497</v>
      </c>
      <c r="I14" s="40">
        <f t="shared" si="14"/>
        <v>104943.75</v>
      </c>
      <c r="J14" s="40">
        <f t="shared" si="2"/>
        <v>26.179938779914941</v>
      </c>
      <c r="K14" s="40">
        <f t="shared" si="15"/>
        <v>10053.096491487338</v>
      </c>
      <c r="L14" s="40">
        <f t="shared" si="16"/>
        <v>8.6540500306218085E-2</v>
      </c>
      <c r="M14" s="40">
        <f t="shared" si="17"/>
        <v>80.416666666666671</v>
      </c>
      <c r="N14" s="40">
        <f t="shared" si="18"/>
        <v>2105.30341021816</v>
      </c>
      <c r="O14" s="40">
        <f t="shared" si="19"/>
        <v>13.339323794988795</v>
      </c>
      <c r="P14" s="40">
        <f t="shared" si="20"/>
        <v>0</v>
      </c>
      <c r="Q14" s="40">
        <f t="shared" si="21"/>
        <v>24</v>
      </c>
      <c r="R14" s="40">
        <f t="shared" si="22"/>
        <v>0.91345949969378193</v>
      </c>
      <c r="S14" s="40">
        <f t="shared" si="23"/>
        <v>9.8178059895833343</v>
      </c>
      <c r="T14" s="40">
        <f t="shared" si="24"/>
        <v>7.89469658978184</v>
      </c>
      <c r="U14" s="40">
        <f t="shared" si="25"/>
        <v>1.6606762050112049</v>
      </c>
      <c r="V14" s="40">
        <f t="shared" si="26"/>
        <v>44.943750000000001</v>
      </c>
      <c r="W14" s="40">
        <f t="shared" si="27"/>
        <v>13.339323794988795</v>
      </c>
      <c r="X14" s="40">
        <f t="shared" si="28"/>
        <v>1</v>
      </c>
      <c r="Y14" s="40">
        <f t="shared" si="29"/>
        <v>1</v>
      </c>
      <c r="Z14" s="40">
        <f t="shared" si="30"/>
        <v>1</v>
      </c>
      <c r="AA14" s="40">
        <f t="shared" si="31"/>
        <v>1</v>
      </c>
      <c r="AB14" s="40">
        <f t="shared" si="32"/>
        <v>1</v>
      </c>
      <c r="AC14" s="40">
        <f t="shared" si="33"/>
        <v>1</v>
      </c>
      <c r="AD14" s="40">
        <f t="shared" si="34"/>
        <v>1</v>
      </c>
      <c r="AE14" s="40">
        <f t="shared" si="35"/>
        <v>1</v>
      </c>
      <c r="AF14" s="40">
        <f t="shared" si="36"/>
        <v>0</v>
      </c>
    </row>
    <row r="15" spans="1:32" ht="15.75" thickBot="1">
      <c r="A15" s="17" t="s">
        <v>105</v>
      </c>
      <c r="B15" s="37">
        <v>69.999999999249297</v>
      </c>
      <c r="C15" s="37">
        <v>90</v>
      </c>
      <c r="D15" s="37">
        <v>1</v>
      </c>
      <c r="E15" s="37">
        <v>1000</v>
      </c>
      <c r="F15" s="38">
        <v>2.3127819939999998</v>
      </c>
      <c r="G15" s="39">
        <v>0.25976932000000003</v>
      </c>
      <c r="H15" s="67">
        <f t="shared" si="13"/>
        <v>0.25976899292789352</v>
      </c>
      <c r="I15" s="40">
        <f t="shared" si="14"/>
        <v>92993.109341687697</v>
      </c>
      <c r="J15" s="40">
        <f t="shared" si="2"/>
        <v>26.179938779914941</v>
      </c>
      <c r="K15" s="40">
        <f t="shared" si="15"/>
        <v>10053.096491817514</v>
      </c>
      <c r="L15" s="40">
        <f t="shared" si="16"/>
        <v>9.9471839429167611E-2</v>
      </c>
      <c r="M15" s="40">
        <f t="shared" si="17"/>
        <v>80.416666666324545</v>
      </c>
      <c r="N15" s="40">
        <f t="shared" si="18"/>
        <v>2105.3034102092033</v>
      </c>
      <c r="O15" s="40">
        <f t="shared" si="19"/>
        <v>14.999999924682161</v>
      </c>
      <c r="P15" s="40">
        <f t="shared" si="20"/>
        <v>7.5070261118526105E-10</v>
      </c>
      <c r="Q15" s="40">
        <f t="shared" si="21"/>
        <v>25.030827008999999</v>
      </c>
      <c r="R15" s="40">
        <f t="shared" si="22"/>
        <v>0.9005281605708324</v>
      </c>
      <c r="S15" s="40">
        <f t="shared" si="23"/>
        <v>9.7905815972299912</v>
      </c>
      <c r="T15" s="40">
        <f t="shared" si="24"/>
        <v>7.8946965897907964</v>
      </c>
      <c r="U15" s="40">
        <f t="shared" si="25"/>
        <v>7.5317839076660675E-8</v>
      </c>
      <c r="V15" s="40">
        <f t="shared" si="26"/>
        <v>32.993109341687699</v>
      </c>
      <c r="W15" s="40">
        <f t="shared" si="27"/>
        <v>14.999999924682161</v>
      </c>
      <c r="X15" s="40">
        <f t="shared" si="28"/>
        <v>1</v>
      </c>
      <c r="Y15" s="40">
        <f t="shared" si="29"/>
        <v>1</v>
      </c>
      <c r="Z15" s="40">
        <f t="shared" si="30"/>
        <v>1</v>
      </c>
      <c r="AA15" s="40">
        <f t="shared" si="31"/>
        <v>1</v>
      </c>
      <c r="AB15" s="40">
        <f t="shared" si="32"/>
        <v>1</v>
      </c>
      <c r="AC15" s="40">
        <f t="shared" si="33"/>
        <v>1</v>
      </c>
      <c r="AD15" s="40">
        <f t="shared" si="34"/>
        <v>1</v>
      </c>
      <c r="AE15" s="40">
        <f t="shared" si="35"/>
        <v>1</v>
      </c>
      <c r="AF15" s="40">
        <f t="shared" si="36"/>
        <v>0</v>
      </c>
    </row>
    <row r="16" spans="1:32" ht="15.75" thickBot="1">
      <c r="A16" s="17" t="s">
        <v>106</v>
      </c>
      <c r="B16" s="37">
        <v>69.999600000000001</v>
      </c>
      <c r="C16" s="37">
        <v>90</v>
      </c>
      <c r="D16" s="37">
        <v>1</v>
      </c>
      <c r="E16" s="37">
        <v>600</v>
      </c>
      <c r="F16" s="38">
        <v>2</v>
      </c>
      <c r="G16" s="39">
        <v>0.23524999999999999</v>
      </c>
      <c r="H16" s="67">
        <f t="shared" si="13"/>
        <v>0.23524657463205478</v>
      </c>
      <c r="I16" s="40">
        <f t="shared" si="14"/>
        <v>48249.890625126565</v>
      </c>
      <c r="J16" s="40">
        <f t="shared" si="2"/>
        <v>26.179938779914941</v>
      </c>
      <c r="K16" s="40">
        <f t="shared" si="15"/>
        <v>10053.272420173282</v>
      </c>
      <c r="L16" s="40">
        <f t="shared" si="16"/>
        <v>5.9682059226408408E-2</v>
      </c>
      <c r="M16" s="40">
        <f t="shared" si="17"/>
        <v>80.416484375210942</v>
      </c>
      <c r="N16" s="40">
        <f t="shared" si="18"/>
        <v>2105.2986378390092</v>
      </c>
      <c r="O16" s="40">
        <f t="shared" si="19"/>
        <v>28.095604016555225</v>
      </c>
      <c r="P16" s="40">
        <f t="shared" si="20"/>
        <v>3.9999999999906777E-4</v>
      </c>
      <c r="Q16" s="40">
        <f t="shared" si="21"/>
        <v>25.5</v>
      </c>
      <c r="R16" s="40">
        <f t="shared" si="22"/>
        <v>0.94031794077359154</v>
      </c>
      <c r="S16" s="40">
        <f t="shared" si="23"/>
        <v>9.8743514420072156</v>
      </c>
      <c r="T16" s="40">
        <f t="shared" si="24"/>
        <v>7.8947013621609914</v>
      </c>
      <c r="U16" s="40">
        <f t="shared" si="25"/>
        <v>-13.095604016555225</v>
      </c>
      <c r="V16" s="40">
        <f t="shared" si="26"/>
        <v>-11.750109374873436</v>
      </c>
      <c r="W16" s="40">
        <f t="shared" si="27"/>
        <v>28.095604016555225</v>
      </c>
      <c r="X16" s="40">
        <f t="shared" si="28"/>
        <v>1</v>
      </c>
      <c r="Y16" s="40">
        <f t="shared" si="29"/>
        <v>1</v>
      </c>
      <c r="Z16" s="40">
        <f t="shared" si="30"/>
        <v>1</v>
      </c>
      <c r="AA16" s="40">
        <f t="shared" si="31"/>
        <v>1</v>
      </c>
      <c r="AB16" s="40">
        <f t="shared" si="32"/>
        <v>1</v>
      </c>
      <c r="AC16" s="40">
        <f t="shared" si="33"/>
        <v>0</v>
      </c>
      <c r="AD16" s="40">
        <f t="shared" si="34"/>
        <v>0</v>
      </c>
      <c r="AE16" s="40">
        <f t="shared" si="35"/>
        <v>1</v>
      </c>
      <c r="AF16" s="40">
        <f t="shared" si="36"/>
        <v>24.84571339142866</v>
      </c>
    </row>
    <row r="17" spans="1:32">
      <c r="A17" s="25" t="s">
        <v>107</v>
      </c>
      <c r="B17" s="41">
        <v>70</v>
      </c>
      <c r="C17" s="41">
        <v>90</v>
      </c>
      <c r="D17" s="41">
        <v>1</v>
      </c>
      <c r="E17" s="41">
        <v>1000</v>
      </c>
      <c r="F17" s="42">
        <v>3</v>
      </c>
      <c r="G17" s="43">
        <v>0.31365700000000002</v>
      </c>
      <c r="H17" s="68">
        <f t="shared" si="13"/>
        <v>0.31365661053440497</v>
      </c>
      <c r="I17" s="44">
        <f t="shared" si="14"/>
        <v>120625</v>
      </c>
      <c r="J17" s="44">
        <f t="shared" si="2"/>
        <v>26.179938779914941</v>
      </c>
      <c r="K17" s="44">
        <f t="shared" si="15"/>
        <v>10053.096491487338</v>
      </c>
      <c r="L17" s="44">
        <f t="shared" si="16"/>
        <v>9.9471839432434581E-2</v>
      </c>
      <c r="M17" s="44">
        <f t="shared" si="17"/>
        <v>80.416666666666671</v>
      </c>
      <c r="N17" s="44">
        <f t="shared" si="18"/>
        <v>2105.30341021816</v>
      </c>
      <c r="O17" s="44">
        <f t="shared" si="19"/>
        <v>11.647293289345374</v>
      </c>
      <c r="P17" s="44">
        <f t="shared" si="20"/>
        <v>0</v>
      </c>
      <c r="Q17" s="44">
        <f t="shared" si="21"/>
        <v>24</v>
      </c>
      <c r="R17" s="44">
        <f t="shared" si="22"/>
        <v>0.90052816056756546</v>
      </c>
      <c r="S17" s="44">
        <f t="shared" si="23"/>
        <v>9.7905815972222232</v>
      </c>
      <c r="T17" s="44">
        <f t="shared" si="24"/>
        <v>7.89469658978184</v>
      </c>
      <c r="U17" s="44">
        <f t="shared" si="25"/>
        <v>3.3527067106546262</v>
      </c>
      <c r="V17" s="44">
        <f t="shared" si="26"/>
        <v>60.625</v>
      </c>
      <c r="W17" s="44">
        <f t="shared" si="27"/>
        <v>11.647293289345374</v>
      </c>
      <c r="X17" s="44">
        <f t="shared" si="28"/>
        <v>1</v>
      </c>
      <c r="Y17" s="44">
        <f t="shared" si="29"/>
        <v>1</v>
      </c>
      <c r="Z17" s="44">
        <f t="shared" si="30"/>
        <v>1</v>
      </c>
      <c r="AA17" s="44">
        <f t="shared" si="31"/>
        <v>1</v>
      </c>
      <c r="AB17" s="44">
        <f t="shared" si="32"/>
        <v>1</v>
      </c>
      <c r="AC17" s="44">
        <f t="shared" si="33"/>
        <v>1</v>
      </c>
      <c r="AD17" s="44">
        <f t="shared" si="34"/>
        <v>1</v>
      </c>
      <c r="AE17" s="44">
        <f t="shared" si="35"/>
        <v>1</v>
      </c>
      <c r="AF17" s="40">
        <f t="shared" si="36"/>
        <v>0</v>
      </c>
    </row>
    <row r="18" spans="1:32">
      <c r="A18" s="28" t="s">
        <v>108</v>
      </c>
      <c r="B18" s="33">
        <v>72</v>
      </c>
      <c r="C18" s="33">
        <v>93</v>
      </c>
      <c r="D18" s="33">
        <v>1</v>
      </c>
      <c r="E18" s="33">
        <v>762</v>
      </c>
      <c r="F18" s="34">
        <v>2</v>
      </c>
      <c r="G18" s="33">
        <v>0.25358999999999998</v>
      </c>
      <c r="H18" s="67">
        <f t="shared" si="13"/>
        <v>0.25472347394571404</v>
      </c>
      <c r="I18" s="40">
        <f t="shared" si="14"/>
        <v>63204.436363636363</v>
      </c>
      <c r="J18" s="40">
        <f t="shared" si="2"/>
        <v>26.179938779914941</v>
      </c>
      <c r="K18" s="40">
        <f t="shared" si="15"/>
        <v>10885.618544688634</v>
      </c>
      <c r="L18" s="40">
        <f t="shared" si="16"/>
        <v>7.0000615662928853E-2</v>
      </c>
      <c r="M18" s="40">
        <f t="shared" si="17"/>
        <v>82.945454545454552</v>
      </c>
      <c r="N18" s="40">
        <f t="shared" si="18"/>
        <v>2171.5069220722175</v>
      </c>
      <c r="O18" s="40">
        <f t="shared" si="19"/>
        <v>21.749246908266155</v>
      </c>
      <c r="P18" s="40">
        <f t="shared" si="20"/>
        <v>1</v>
      </c>
      <c r="Q18" s="40">
        <f t="shared" si="21"/>
        <v>25.5</v>
      </c>
      <c r="R18" s="40">
        <f t="shared" si="22"/>
        <v>0.92999938433707119</v>
      </c>
      <c r="S18" s="40">
        <f t="shared" si="23"/>
        <v>9.8479931785386317</v>
      </c>
      <c r="T18" s="40">
        <f t="shared" si="24"/>
        <v>7.8284930779277824</v>
      </c>
      <c r="U18" s="40">
        <f t="shared" si="25"/>
        <v>-6.749246908266155</v>
      </c>
      <c r="V18" s="40">
        <f t="shared" si="26"/>
        <v>3.2044363636363631</v>
      </c>
      <c r="W18" s="40">
        <f t="shared" si="27"/>
        <v>21.749246908266155</v>
      </c>
      <c r="X18" s="40">
        <f t="shared" si="28"/>
        <v>1</v>
      </c>
      <c r="Y18" s="40">
        <f t="shared" si="29"/>
        <v>1</v>
      </c>
      <c r="Z18" s="40">
        <f t="shared" si="30"/>
        <v>1</v>
      </c>
      <c r="AA18" s="40">
        <f t="shared" si="31"/>
        <v>1</v>
      </c>
      <c r="AB18" s="40">
        <f t="shared" si="32"/>
        <v>1</v>
      </c>
      <c r="AC18" s="40">
        <f t="shared" si="33"/>
        <v>0</v>
      </c>
      <c r="AD18" s="40">
        <f t="shared" si="34"/>
        <v>1</v>
      </c>
      <c r="AE18" s="40">
        <f t="shared" si="35"/>
        <v>1</v>
      </c>
      <c r="AF18" s="40">
        <f t="shared" si="36"/>
        <v>6.749246908266155</v>
      </c>
    </row>
    <row r="19" spans="1:32">
      <c r="A19" s="22"/>
      <c r="B19" s="23"/>
      <c r="C19" s="23"/>
      <c r="D19" s="23"/>
      <c r="E19" s="23"/>
      <c r="F19" s="24"/>
      <c r="G19" s="23"/>
      <c r="H19" s="2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29.25" customHeight="1">
      <c r="A20" s="93" t="s">
        <v>124</v>
      </c>
      <c r="B20" s="93"/>
      <c r="C20" s="93"/>
      <c r="D20" s="93"/>
      <c r="E20" s="93"/>
      <c r="F20" s="93"/>
      <c r="G20" s="93"/>
      <c r="H20" s="93"/>
      <c r="I20" s="96" t="s">
        <v>125</v>
      </c>
      <c r="J20" s="97"/>
      <c r="K20" s="97"/>
      <c r="L20" s="97"/>
      <c r="M20" s="97"/>
      <c r="N20" s="97"/>
      <c r="O20" s="98"/>
      <c r="P20" s="94" t="s">
        <v>121</v>
      </c>
      <c r="Q20" s="94"/>
      <c r="R20" s="94"/>
      <c r="S20" s="94"/>
      <c r="T20" s="94"/>
      <c r="U20" s="94"/>
      <c r="V20" s="94"/>
      <c r="W20" s="94"/>
      <c r="X20" s="88" t="s">
        <v>122</v>
      </c>
      <c r="Y20" s="88"/>
      <c r="Z20" s="88"/>
      <c r="AA20" s="88"/>
      <c r="AB20" s="88"/>
      <c r="AC20" s="88"/>
      <c r="AD20" s="88"/>
      <c r="AE20" s="88"/>
      <c r="AF20" s="91" t="s">
        <v>123</v>
      </c>
    </row>
    <row r="21" spans="1:32" ht="15.75" customHeight="1">
      <c r="A21" s="15" t="s">
        <v>4</v>
      </c>
      <c r="B21" s="19" t="s">
        <v>62</v>
      </c>
      <c r="C21" s="19" t="s">
        <v>61</v>
      </c>
      <c r="D21" s="19" t="s">
        <v>5</v>
      </c>
      <c r="E21" s="19" t="s">
        <v>63</v>
      </c>
      <c r="F21" s="19" t="s">
        <v>64</v>
      </c>
      <c r="G21" s="20" t="s">
        <v>29</v>
      </c>
      <c r="H21" s="21" t="s">
        <v>28</v>
      </c>
      <c r="I21" s="27" t="s">
        <v>65</v>
      </c>
      <c r="J21" s="27" t="s">
        <v>66</v>
      </c>
      <c r="K21" s="27" t="s">
        <v>67</v>
      </c>
      <c r="L21" s="27" t="s">
        <v>68</v>
      </c>
      <c r="M21" s="27" t="s">
        <v>70</v>
      </c>
      <c r="N21" s="27" t="s">
        <v>69</v>
      </c>
      <c r="O21" s="27" t="s">
        <v>71</v>
      </c>
      <c r="P21" s="21" t="s">
        <v>20</v>
      </c>
      <c r="Q21" s="21" t="s">
        <v>21</v>
      </c>
      <c r="R21" s="21" t="s">
        <v>22</v>
      </c>
      <c r="S21" s="21" t="s">
        <v>23</v>
      </c>
      <c r="T21" s="21" t="s">
        <v>24</v>
      </c>
      <c r="U21" s="21" t="s">
        <v>25</v>
      </c>
      <c r="V21" s="21" t="s">
        <v>34</v>
      </c>
      <c r="W21" s="21" t="s">
        <v>35</v>
      </c>
      <c r="X21" s="21" t="s">
        <v>20</v>
      </c>
      <c r="Y21" s="21" t="s">
        <v>21</v>
      </c>
      <c r="Z21" s="21" t="s">
        <v>22</v>
      </c>
      <c r="AA21" s="21" t="s">
        <v>23</v>
      </c>
      <c r="AB21" s="21" t="s">
        <v>24</v>
      </c>
      <c r="AC21" s="21" t="s">
        <v>25</v>
      </c>
      <c r="AD21" s="21" t="s">
        <v>34</v>
      </c>
      <c r="AE21" s="21" t="s">
        <v>35</v>
      </c>
      <c r="AF21" s="92"/>
    </row>
    <row r="22" spans="1:32" ht="15.75" thickBot="1">
      <c r="A22" s="17" t="s">
        <v>109</v>
      </c>
      <c r="B22" s="37">
        <v>70</v>
      </c>
      <c r="C22" s="37">
        <v>90</v>
      </c>
      <c r="D22" s="37">
        <v>1</v>
      </c>
      <c r="E22" s="37">
        <v>910</v>
      </c>
      <c r="F22" s="38">
        <v>3</v>
      </c>
      <c r="G22" s="39">
        <v>0.31365599999999999</v>
      </c>
      <c r="H22" s="67">
        <f t="shared" si="13"/>
        <v>0.31365661053440497</v>
      </c>
      <c r="I22" s="40">
        <f t="shared" si="14"/>
        <v>109768.75</v>
      </c>
      <c r="J22" s="40">
        <f t="shared" si="2"/>
        <v>26.179938779914941</v>
      </c>
      <c r="K22" s="40">
        <f t="shared" si="15"/>
        <v>10053.096491487338</v>
      </c>
      <c r="L22" s="40">
        <f t="shared" si="16"/>
        <v>9.0519373883515469E-2</v>
      </c>
      <c r="M22" s="40">
        <f t="shared" si="17"/>
        <v>80.416666666666671</v>
      </c>
      <c r="N22" s="40">
        <f t="shared" si="18"/>
        <v>2105.30341021816</v>
      </c>
      <c r="O22" s="40">
        <f t="shared" si="19"/>
        <v>12.768578466067256</v>
      </c>
      <c r="P22" s="40">
        <f t="shared" si="20"/>
        <v>0</v>
      </c>
      <c r="Q22" s="40">
        <f t="shared" si="21"/>
        <v>24</v>
      </c>
      <c r="R22" s="40">
        <f t="shared" si="22"/>
        <v>0.9094806261164845</v>
      </c>
      <c r="S22" s="40">
        <f t="shared" si="23"/>
        <v>9.8094292534722225</v>
      </c>
      <c r="T22" s="40">
        <f t="shared" si="24"/>
        <v>7.89469658978184</v>
      </c>
      <c r="U22" s="40">
        <f t="shared" si="25"/>
        <v>2.2314215339327443</v>
      </c>
      <c r="V22" s="40">
        <f t="shared" si="26"/>
        <v>49.768749999999997</v>
      </c>
      <c r="W22" s="40">
        <f t="shared" si="27"/>
        <v>12.768578466067256</v>
      </c>
      <c r="X22" s="40">
        <f t="shared" si="28"/>
        <v>1</v>
      </c>
      <c r="Y22" s="40">
        <f t="shared" si="29"/>
        <v>1</v>
      </c>
      <c r="Z22" s="40">
        <f t="shared" si="30"/>
        <v>1</v>
      </c>
      <c r="AA22" s="40">
        <f t="shared" si="31"/>
        <v>1</v>
      </c>
      <c r="AB22" s="40">
        <f t="shared" si="32"/>
        <v>1</v>
      </c>
      <c r="AC22" s="40">
        <f t="shared" si="33"/>
        <v>1</v>
      </c>
      <c r="AD22" s="40">
        <f t="shared" si="34"/>
        <v>1</v>
      </c>
      <c r="AE22" s="40">
        <f t="shared" si="35"/>
        <v>1</v>
      </c>
      <c r="AF22" s="40">
        <f>ABS(SUMIF(P22:W22,"&lt;0"))</f>
        <v>0</v>
      </c>
    </row>
    <row r="23" spans="1:32" ht="15.75" thickBot="1">
      <c r="A23" s="17" t="s">
        <v>110</v>
      </c>
      <c r="B23" s="37">
        <v>70</v>
      </c>
      <c r="C23" s="37">
        <v>90</v>
      </c>
      <c r="D23" s="37">
        <v>1.5</v>
      </c>
      <c r="E23" s="37">
        <v>1000</v>
      </c>
      <c r="F23" s="38">
        <v>3</v>
      </c>
      <c r="G23" s="39">
        <v>0.47039999999999998</v>
      </c>
      <c r="H23" s="67">
        <f t="shared" si="13"/>
        <v>0.4704849158016074</v>
      </c>
      <c r="I23" s="40">
        <f t="shared" si="14"/>
        <v>120625</v>
      </c>
      <c r="J23" s="40">
        <f t="shared" si="2"/>
        <v>26.179938779914941</v>
      </c>
      <c r="K23" s="40">
        <f t="shared" si="15"/>
        <v>10053.096491487338</v>
      </c>
      <c r="L23" s="40">
        <f t="shared" si="16"/>
        <v>9.9471839432434581E-2</v>
      </c>
      <c r="M23" s="40">
        <f t="shared" si="17"/>
        <v>80.416666666666671</v>
      </c>
      <c r="N23" s="40">
        <f t="shared" si="18"/>
        <v>2105.30341021816</v>
      </c>
      <c r="O23" s="40">
        <f t="shared" si="19"/>
        <v>11.647293289345374</v>
      </c>
      <c r="P23" s="40">
        <f t="shared" si="20"/>
        <v>0</v>
      </c>
      <c r="Q23" s="40">
        <f t="shared" si="21"/>
        <v>22</v>
      </c>
      <c r="R23" s="40">
        <f t="shared" si="22"/>
        <v>0.90052816056756546</v>
      </c>
      <c r="S23" s="40">
        <f t="shared" si="23"/>
        <v>9.7905815972222232</v>
      </c>
      <c r="T23" s="40">
        <f t="shared" si="24"/>
        <v>7.89469658978184</v>
      </c>
      <c r="U23" s="40">
        <f t="shared" si="25"/>
        <v>3.3527067106546262</v>
      </c>
      <c r="V23" s="40">
        <f t="shared" si="26"/>
        <v>60.625</v>
      </c>
      <c r="W23" s="40">
        <f t="shared" si="27"/>
        <v>11.647293289345374</v>
      </c>
      <c r="X23" s="40">
        <f t="shared" si="28"/>
        <v>1</v>
      </c>
      <c r="Y23" s="40">
        <f t="shared" si="29"/>
        <v>1</v>
      </c>
      <c r="Z23" s="40">
        <f t="shared" si="30"/>
        <v>1</v>
      </c>
      <c r="AA23" s="40">
        <f t="shared" si="31"/>
        <v>1</v>
      </c>
      <c r="AB23" s="40">
        <f t="shared" si="32"/>
        <v>1</v>
      </c>
      <c r="AC23" s="40">
        <f t="shared" si="33"/>
        <v>1</v>
      </c>
      <c r="AD23" s="40">
        <f t="shared" si="34"/>
        <v>1</v>
      </c>
      <c r="AE23" s="40">
        <f t="shared" si="35"/>
        <v>1</v>
      </c>
      <c r="AF23" s="40">
        <f t="shared" ref="AF23:AF33" si="37">ABS(SUMIF(P23:W23,"&lt;0"))</f>
        <v>0</v>
      </c>
    </row>
    <row r="24" spans="1:32" ht="15.75" thickBot="1">
      <c r="A24" s="17" t="s">
        <v>111</v>
      </c>
      <c r="B24" s="37">
        <v>70</v>
      </c>
      <c r="C24" s="37">
        <v>90</v>
      </c>
      <c r="D24" s="37">
        <v>1</v>
      </c>
      <c r="E24" s="37">
        <v>810</v>
      </c>
      <c r="F24" s="38">
        <v>3</v>
      </c>
      <c r="G24" s="39">
        <v>0.31365661</v>
      </c>
      <c r="H24" s="67">
        <f t="shared" si="13"/>
        <v>0.31365661053440497</v>
      </c>
      <c r="I24" s="40">
        <f t="shared" si="14"/>
        <v>97706.25</v>
      </c>
      <c r="J24" s="40">
        <f t="shared" si="2"/>
        <v>26.179938779914941</v>
      </c>
      <c r="K24" s="40">
        <f t="shared" si="15"/>
        <v>10053.096491487338</v>
      </c>
      <c r="L24" s="40">
        <f t="shared" si="16"/>
        <v>8.0572189940272015E-2</v>
      </c>
      <c r="M24" s="40">
        <f t="shared" si="17"/>
        <v>80.416666666666671</v>
      </c>
      <c r="N24" s="40">
        <f t="shared" si="18"/>
        <v>2105.30341021816</v>
      </c>
      <c r="O24" s="40">
        <f t="shared" si="19"/>
        <v>14.297986797198007</v>
      </c>
      <c r="P24" s="40">
        <f t="shared" si="20"/>
        <v>0</v>
      </c>
      <c r="Q24" s="40">
        <f t="shared" si="21"/>
        <v>24</v>
      </c>
      <c r="R24" s="40">
        <f t="shared" si="22"/>
        <v>0.91942781005972796</v>
      </c>
      <c r="S24" s="40">
        <f t="shared" si="23"/>
        <v>9.8303710937499993</v>
      </c>
      <c r="T24" s="40">
        <f t="shared" si="24"/>
        <v>7.89469658978184</v>
      </c>
      <c r="U24" s="40">
        <f t="shared" si="25"/>
        <v>0.70201320280199297</v>
      </c>
      <c r="V24" s="40">
        <f t="shared" si="26"/>
        <v>37.706249999999997</v>
      </c>
      <c r="W24" s="40">
        <f t="shared" si="27"/>
        <v>14.297986797198007</v>
      </c>
      <c r="X24" s="40">
        <f t="shared" si="28"/>
        <v>1</v>
      </c>
      <c r="Y24" s="40">
        <f t="shared" si="29"/>
        <v>1</v>
      </c>
      <c r="Z24" s="40">
        <f t="shared" si="30"/>
        <v>1</v>
      </c>
      <c r="AA24" s="40">
        <f t="shared" si="31"/>
        <v>1</v>
      </c>
      <c r="AB24" s="40">
        <f t="shared" si="32"/>
        <v>1</v>
      </c>
      <c r="AC24" s="40">
        <f t="shared" si="33"/>
        <v>1</v>
      </c>
      <c r="AD24" s="40">
        <f t="shared" si="34"/>
        <v>1</v>
      </c>
      <c r="AE24" s="40">
        <f t="shared" si="35"/>
        <v>1</v>
      </c>
      <c r="AF24" s="40">
        <f t="shared" si="37"/>
        <v>0</v>
      </c>
    </row>
    <row r="25" spans="1:32" ht="15.75" thickBot="1">
      <c r="A25" s="17" t="s">
        <v>112</v>
      </c>
      <c r="B25" s="37">
        <v>70</v>
      </c>
      <c r="C25" s="37">
        <v>90</v>
      </c>
      <c r="D25" s="37">
        <v>1</v>
      </c>
      <c r="E25" s="37">
        <v>1000</v>
      </c>
      <c r="F25" s="38">
        <v>3</v>
      </c>
      <c r="G25" s="39">
        <v>0.31365661053440402</v>
      </c>
      <c r="H25" s="67">
        <f t="shared" si="13"/>
        <v>0.31365661053440497</v>
      </c>
      <c r="I25" s="40">
        <f t="shared" si="14"/>
        <v>120625</v>
      </c>
      <c r="J25" s="40">
        <f t="shared" si="2"/>
        <v>26.179938779914941</v>
      </c>
      <c r="K25" s="40">
        <f t="shared" si="15"/>
        <v>10053.096491487338</v>
      </c>
      <c r="L25" s="40">
        <f t="shared" si="16"/>
        <v>9.9471839432434581E-2</v>
      </c>
      <c r="M25" s="40">
        <f t="shared" si="17"/>
        <v>80.416666666666671</v>
      </c>
      <c r="N25" s="40">
        <f t="shared" si="18"/>
        <v>2105.30341021816</v>
      </c>
      <c r="O25" s="40">
        <f t="shared" si="19"/>
        <v>11.647293289345374</v>
      </c>
      <c r="P25" s="40">
        <f t="shared" si="20"/>
        <v>0</v>
      </c>
      <c r="Q25" s="40">
        <f t="shared" si="21"/>
        <v>24</v>
      </c>
      <c r="R25" s="40">
        <f t="shared" si="22"/>
        <v>0.90052816056756546</v>
      </c>
      <c r="S25" s="40">
        <f t="shared" si="23"/>
        <v>9.7905815972222232</v>
      </c>
      <c r="T25" s="40">
        <f t="shared" si="24"/>
        <v>7.89469658978184</v>
      </c>
      <c r="U25" s="40">
        <f t="shared" si="25"/>
        <v>3.3527067106546262</v>
      </c>
      <c r="V25" s="40">
        <f t="shared" si="26"/>
        <v>60.625</v>
      </c>
      <c r="W25" s="40">
        <f t="shared" si="27"/>
        <v>11.647293289345374</v>
      </c>
      <c r="X25" s="40">
        <f t="shared" si="28"/>
        <v>1</v>
      </c>
      <c r="Y25" s="40">
        <f t="shared" si="29"/>
        <v>1</v>
      </c>
      <c r="Z25" s="40">
        <f t="shared" si="30"/>
        <v>1</v>
      </c>
      <c r="AA25" s="40">
        <f t="shared" si="31"/>
        <v>1</v>
      </c>
      <c r="AB25" s="40">
        <f t="shared" si="32"/>
        <v>1</v>
      </c>
      <c r="AC25" s="40">
        <f t="shared" si="33"/>
        <v>1</v>
      </c>
      <c r="AD25" s="40">
        <f t="shared" si="34"/>
        <v>1</v>
      </c>
      <c r="AE25" s="40">
        <f t="shared" si="35"/>
        <v>1</v>
      </c>
      <c r="AF25" s="40">
        <f t="shared" si="37"/>
        <v>0</v>
      </c>
    </row>
    <row r="26" spans="1:32" ht="15.75" thickBot="1">
      <c r="A26" s="17" t="s">
        <v>113</v>
      </c>
      <c r="B26" s="37">
        <v>70</v>
      </c>
      <c r="C26" s="37">
        <v>90</v>
      </c>
      <c r="D26" s="37">
        <v>1</v>
      </c>
      <c r="E26" s="37">
        <v>810</v>
      </c>
      <c r="F26" s="38">
        <v>3</v>
      </c>
      <c r="G26" s="39">
        <v>0.31365660000000001</v>
      </c>
      <c r="H26" s="67">
        <f t="shared" si="13"/>
        <v>0.31365661053440497</v>
      </c>
      <c r="I26" s="40">
        <f t="shared" si="14"/>
        <v>97706.25</v>
      </c>
      <c r="J26" s="40">
        <f t="shared" si="2"/>
        <v>26.179938779914941</v>
      </c>
      <c r="K26" s="40">
        <f t="shared" si="15"/>
        <v>10053.096491487338</v>
      </c>
      <c r="L26" s="40">
        <f t="shared" si="16"/>
        <v>8.0572189940272015E-2</v>
      </c>
      <c r="M26" s="40">
        <f t="shared" si="17"/>
        <v>80.416666666666671</v>
      </c>
      <c r="N26" s="40">
        <f t="shared" si="18"/>
        <v>2105.30341021816</v>
      </c>
      <c r="O26" s="40">
        <f t="shared" si="19"/>
        <v>14.297986797198007</v>
      </c>
      <c r="P26" s="40">
        <f t="shared" si="20"/>
        <v>0</v>
      </c>
      <c r="Q26" s="40">
        <f t="shared" si="21"/>
        <v>24</v>
      </c>
      <c r="R26" s="40">
        <f t="shared" si="22"/>
        <v>0.91942781005972796</v>
      </c>
      <c r="S26" s="40">
        <f t="shared" si="23"/>
        <v>9.8303710937499993</v>
      </c>
      <c r="T26" s="40">
        <f t="shared" si="24"/>
        <v>7.89469658978184</v>
      </c>
      <c r="U26" s="40">
        <f t="shared" si="25"/>
        <v>0.70201320280199297</v>
      </c>
      <c r="V26" s="40">
        <f t="shared" si="26"/>
        <v>37.706249999999997</v>
      </c>
      <c r="W26" s="40">
        <f t="shared" si="27"/>
        <v>14.297986797198007</v>
      </c>
      <c r="X26" s="40">
        <f t="shared" si="28"/>
        <v>1</v>
      </c>
      <c r="Y26" s="40">
        <f t="shared" si="29"/>
        <v>1</v>
      </c>
      <c r="Z26" s="40">
        <f t="shared" si="30"/>
        <v>1</v>
      </c>
      <c r="AA26" s="40">
        <f t="shared" si="31"/>
        <v>1</v>
      </c>
      <c r="AB26" s="40">
        <f t="shared" si="32"/>
        <v>1</v>
      </c>
      <c r="AC26" s="40">
        <f t="shared" si="33"/>
        <v>1</v>
      </c>
      <c r="AD26" s="40">
        <f t="shared" si="34"/>
        <v>1</v>
      </c>
      <c r="AE26" s="40">
        <f t="shared" si="35"/>
        <v>1</v>
      </c>
      <c r="AF26" s="40">
        <f t="shared" si="37"/>
        <v>0</v>
      </c>
    </row>
    <row r="27" spans="1:32" ht="15.75" thickBot="1">
      <c r="A27" s="17" t="s">
        <v>114</v>
      </c>
      <c r="B27" s="37">
        <v>70</v>
      </c>
      <c r="C27" s="37">
        <v>90</v>
      </c>
      <c r="D27" s="37">
        <v>1</v>
      </c>
      <c r="E27" s="37">
        <v>900</v>
      </c>
      <c r="F27" s="38">
        <v>3</v>
      </c>
      <c r="G27" s="39">
        <v>0.31376599999999999</v>
      </c>
      <c r="H27" s="67">
        <f t="shared" si="13"/>
        <v>0.31365661053440497</v>
      </c>
      <c r="I27" s="40">
        <f t="shared" si="14"/>
        <v>108562.5</v>
      </c>
      <c r="J27" s="40">
        <f t="shared" si="2"/>
        <v>26.179938779914941</v>
      </c>
      <c r="K27" s="40">
        <f t="shared" si="15"/>
        <v>10053.096491487338</v>
      </c>
      <c r="L27" s="40">
        <f t="shared" si="16"/>
        <v>8.9524655489191127E-2</v>
      </c>
      <c r="M27" s="40">
        <f t="shared" si="17"/>
        <v>80.416666666666671</v>
      </c>
      <c r="N27" s="40">
        <f t="shared" si="18"/>
        <v>2105.30341021816</v>
      </c>
      <c r="O27" s="40">
        <f t="shared" si="19"/>
        <v>12.906636485336218</v>
      </c>
      <c r="P27" s="40">
        <f t="shared" si="20"/>
        <v>0</v>
      </c>
      <c r="Q27" s="40">
        <f t="shared" si="21"/>
        <v>24</v>
      </c>
      <c r="R27" s="40">
        <f t="shared" si="22"/>
        <v>0.91047534451080891</v>
      </c>
      <c r="S27" s="40">
        <f t="shared" si="23"/>
        <v>9.8115234375</v>
      </c>
      <c r="T27" s="40">
        <f t="shared" si="24"/>
        <v>7.89469658978184</v>
      </c>
      <c r="U27" s="40">
        <f t="shared" si="25"/>
        <v>2.0933635146637819</v>
      </c>
      <c r="V27" s="40">
        <f t="shared" si="26"/>
        <v>48.5625</v>
      </c>
      <c r="W27" s="40">
        <f t="shared" si="27"/>
        <v>12.906636485336218</v>
      </c>
      <c r="X27" s="40">
        <f t="shared" si="28"/>
        <v>1</v>
      </c>
      <c r="Y27" s="40">
        <f t="shared" si="29"/>
        <v>1</v>
      </c>
      <c r="Z27" s="40">
        <f t="shared" si="30"/>
        <v>1</v>
      </c>
      <c r="AA27" s="40">
        <f t="shared" si="31"/>
        <v>1</v>
      </c>
      <c r="AB27" s="40">
        <f t="shared" si="32"/>
        <v>1</v>
      </c>
      <c r="AC27" s="40">
        <f t="shared" si="33"/>
        <v>1</v>
      </c>
      <c r="AD27" s="40">
        <f t="shared" si="34"/>
        <v>1</v>
      </c>
      <c r="AE27" s="40">
        <f t="shared" si="35"/>
        <v>1</v>
      </c>
      <c r="AF27" s="40">
        <f t="shared" si="37"/>
        <v>0</v>
      </c>
    </row>
    <row r="28" spans="1:32" ht="15.75" thickBot="1">
      <c r="A28" s="17" t="s">
        <v>115</v>
      </c>
      <c r="B28" s="37">
        <v>70</v>
      </c>
      <c r="C28" s="37">
        <v>90</v>
      </c>
      <c r="D28" s="37">
        <v>1</v>
      </c>
      <c r="E28" s="37">
        <v>1000</v>
      </c>
      <c r="F28" s="38">
        <v>3</v>
      </c>
      <c r="G28" s="39">
        <v>0.31365660000000001</v>
      </c>
      <c r="H28" s="67">
        <f t="shared" si="13"/>
        <v>0.31365661053440497</v>
      </c>
      <c r="I28" s="40">
        <f t="shared" si="14"/>
        <v>120625</v>
      </c>
      <c r="J28" s="40">
        <f t="shared" si="2"/>
        <v>26.179938779914941</v>
      </c>
      <c r="K28" s="40">
        <f t="shared" si="15"/>
        <v>10053.096491487338</v>
      </c>
      <c r="L28" s="40">
        <f t="shared" si="16"/>
        <v>9.9471839432434581E-2</v>
      </c>
      <c r="M28" s="40">
        <f t="shared" si="17"/>
        <v>80.416666666666671</v>
      </c>
      <c r="N28" s="40">
        <f t="shared" si="18"/>
        <v>2105.30341021816</v>
      </c>
      <c r="O28" s="40">
        <f t="shared" si="19"/>
        <v>11.647293289345374</v>
      </c>
      <c r="P28" s="40">
        <f t="shared" si="20"/>
        <v>0</v>
      </c>
      <c r="Q28" s="40">
        <f t="shared" si="21"/>
        <v>24</v>
      </c>
      <c r="R28" s="40">
        <f t="shared" si="22"/>
        <v>0.90052816056756546</v>
      </c>
      <c r="S28" s="40">
        <f t="shared" si="23"/>
        <v>9.7905815972222232</v>
      </c>
      <c r="T28" s="40">
        <f t="shared" si="24"/>
        <v>7.89469658978184</v>
      </c>
      <c r="U28" s="40">
        <f t="shared" si="25"/>
        <v>3.3527067106546262</v>
      </c>
      <c r="V28" s="40">
        <f t="shared" si="26"/>
        <v>60.625</v>
      </c>
      <c r="W28" s="40">
        <f t="shared" si="27"/>
        <v>11.647293289345374</v>
      </c>
      <c r="X28" s="40">
        <f t="shared" si="28"/>
        <v>1</v>
      </c>
      <c r="Y28" s="40">
        <f t="shared" si="29"/>
        <v>1</v>
      </c>
      <c r="Z28" s="40">
        <f t="shared" si="30"/>
        <v>1</v>
      </c>
      <c r="AA28" s="40">
        <f t="shared" si="31"/>
        <v>1</v>
      </c>
      <c r="AB28" s="40">
        <f t="shared" si="32"/>
        <v>1</v>
      </c>
      <c r="AC28" s="40">
        <f t="shared" si="33"/>
        <v>1</v>
      </c>
      <c r="AD28" s="40">
        <f t="shared" si="34"/>
        <v>1</v>
      </c>
      <c r="AE28" s="40">
        <f t="shared" si="35"/>
        <v>1</v>
      </c>
      <c r="AF28" s="40">
        <f t="shared" si="37"/>
        <v>0</v>
      </c>
    </row>
    <row r="29" spans="1:32" ht="15.75" thickBot="1">
      <c r="A29" s="17" t="s">
        <v>116</v>
      </c>
      <c r="B29" s="37">
        <v>70</v>
      </c>
      <c r="C29" s="37">
        <v>90</v>
      </c>
      <c r="D29" s="37">
        <v>1</v>
      </c>
      <c r="E29" s="37">
        <v>1000</v>
      </c>
      <c r="F29" s="38">
        <v>3</v>
      </c>
      <c r="G29" s="39">
        <v>0.31365660000000001</v>
      </c>
      <c r="H29" s="67">
        <f t="shared" si="13"/>
        <v>0.31365661053440497</v>
      </c>
      <c r="I29" s="40">
        <f t="shared" si="14"/>
        <v>120625</v>
      </c>
      <c r="J29" s="40">
        <f t="shared" si="2"/>
        <v>26.179938779914941</v>
      </c>
      <c r="K29" s="40">
        <f t="shared" si="15"/>
        <v>10053.096491487338</v>
      </c>
      <c r="L29" s="40">
        <f t="shared" si="16"/>
        <v>9.9471839432434581E-2</v>
      </c>
      <c r="M29" s="40">
        <f t="shared" si="17"/>
        <v>80.416666666666671</v>
      </c>
      <c r="N29" s="40">
        <f t="shared" si="18"/>
        <v>2105.30341021816</v>
      </c>
      <c r="O29" s="40">
        <f t="shared" si="19"/>
        <v>11.647293289345374</v>
      </c>
      <c r="P29" s="40">
        <f t="shared" si="20"/>
        <v>0</v>
      </c>
      <c r="Q29" s="40">
        <f t="shared" si="21"/>
        <v>24</v>
      </c>
      <c r="R29" s="40">
        <f t="shared" si="22"/>
        <v>0.90052816056756546</v>
      </c>
      <c r="S29" s="40">
        <f t="shared" si="23"/>
        <v>9.7905815972222232</v>
      </c>
      <c r="T29" s="40">
        <f t="shared" si="24"/>
        <v>7.89469658978184</v>
      </c>
      <c r="U29" s="40">
        <f t="shared" si="25"/>
        <v>3.3527067106546262</v>
      </c>
      <c r="V29" s="40">
        <f t="shared" si="26"/>
        <v>60.625</v>
      </c>
      <c r="W29" s="40">
        <f t="shared" si="27"/>
        <v>11.647293289345374</v>
      </c>
      <c r="X29" s="40">
        <f t="shared" si="28"/>
        <v>1</v>
      </c>
      <c r="Y29" s="40">
        <f t="shared" si="29"/>
        <v>1</v>
      </c>
      <c r="Z29" s="40">
        <f t="shared" si="30"/>
        <v>1</v>
      </c>
      <c r="AA29" s="40">
        <f t="shared" si="31"/>
        <v>1</v>
      </c>
      <c r="AB29" s="40">
        <f t="shared" si="32"/>
        <v>1</v>
      </c>
      <c r="AC29" s="40">
        <f t="shared" si="33"/>
        <v>1</v>
      </c>
      <c r="AD29" s="40">
        <f t="shared" si="34"/>
        <v>1</v>
      </c>
      <c r="AE29" s="40">
        <f t="shared" si="35"/>
        <v>1</v>
      </c>
      <c r="AF29" s="40">
        <f t="shared" si="37"/>
        <v>0</v>
      </c>
    </row>
    <row r="30" spans="1:32" ht="15.75" thickBot="1">
      <c r="A30" s="17" t="s">
        <v>117</v>
      </c>
      <c r="B30" s="37">
        <v>70</v>
      </c>
      <c r="C30" s="37">
        <v>90</v>
      </c>
      <c r="D30" s="37">
        <v>1</v>
      </c>
      <c r="E30" s="37">
        <v>910</v>
      </c>
      <c r="F30" s="38">
        <v>3</v>
      </c>
      <c r="G30" s="39">
        <v>0.31365599999999999</v>
      </c>
      <c r="H30" s="67">
        <f t="shared" si="13"/>
        <v>0.31365661053440497</v>
      </c>
      <c r="I30" s="40">
        <f t="shared" si="14"/>
        <v>109768.75</v>
      </c>
      <c r="J30" s="40">
        <f t="shared" si="2"/>
        <v>26.179938779914941</v>
      </c>
      <c r="K30" s="40">
        <f t="shared" si="15"/>
        <v>10053.096491487338</v>
      </c>
      <c r="L30" s="40">
        <f t="shared" si="16"/>
        <v>9.0519373883515469E-2</v>
      </c>
      <c r="M30" s="40">
        <f t="shared" si="17"/>
        <v>80.416666666666671</v>
      </c>
      <c r="N30" s="40">
        <f t="shared" si="18"/>
        <v>2105.30341021816</v>
      </c>
      <c r="O30" s="40">
        <f t="shared" si="19"/>
        <v>12.768578466067256</v>
      </c>
      <c r="P30" s="40">
        <f t="shared" si="20"/>
        <v>0</v>
      </c>
      <c r="Q30" s="40">
        <f t="shared" si="21"/>
        <v>24</v>
      </c>
      <c r="R30" s="40">
        <f t="shared" si="22"/>
        <v>0.9094806261164845</v>
      </c>
      <c r="S30" s="40">
        <f t="shared" si="23"/>
        <v>9.8094292534722225</v>
      </c>
      <c r="T30" s="40">
        <f t="shared" si="24"/>
        <v>7.89469658978184</v>
      </c>
      <c r="U30" s="40">
        <f t="shared" si="25"/>
        <v>2.2314215339327443</v>
      </c>
      <c r="V30" s="40">
        <f t="shared" si="26"/>
        <v>49.768749999999997</v>
      </c>
      <c r="W30" s="40">
        <f t="shared" si="27"/>
        <v>12.768578466067256</v>
      </c>
      <c r="X30" s="40">
        <f t="shared" si="28"/>
        <v>1</v>
      </c>
      <c r="Y30" s="40">
        <f t="shared" si="29"/>
        <v>1</v>
      </c>
      <c r="Z30" s="40">
        <f t="shared" si="30"/>
        <v>1</v>
      </c>
      <c r="AA30" s="40">
        <f t="shared" si="31"/>
        <v>1</v>
      </c>
      <c r="AB30" s="40">
        <f t="shared" si="32"/>
        <v>1</v>
      </c>
      <c r="AC30" s="40">
        <f t="shared" si="33"/>
        <v>1</v>
      </c>
      <c r="AD30" s="40">
        <f t="shared" si="34"/>
        <v>1</v>
      </c>
      <c r="AE30" s="40">
        <f t="shared" si="35"/>
        <v>1</v>
      </c>
      <c r="AF30" s="40">
        <f t="shared" si="37"/>
        <v>0</v>
      </c>
    </row>
    <row r="31" spans="1:32" ht="15.75" thickBot="1">
      <c r="A31" s="17" t="s">
        <v>118</v>
      </c>
      <c r="B31" s="37">
        <v>70</v>
      </c>
      <c r="C31" s="37">
        <v>90</v>
      </c>
      <c r="D31" s="37">
        <v>1</v>
      </c>
      <c r="E31" s="37">
        <v>980</v>
      </c>
      <c r="F31" s="38">
        <v>3</v>
      </c>
      <c r="G31" s="39">
        <v>0.31365999999999999</v>
      </c>
      <c r="H31" s="67">
        <f t="shared" si="13"/>
        <v>0.31365661053440497</v>
      </c>
      <c r="I31" s="40">
        <f t="shared" si="14"/>
        <v>118212.49999999999</v>
      </c>
      <c r="J31" s="40">
        <f t="shared" si="2"/>
        <v>26.179938779914941</v>
      </c>
      <c r="K31" s="40">
        <f t="shared" si="15"/>
        <v>10053.096491487338</v>
      </c>
      <c r="L31" s="40">
        <f t="shared" si="16"/>
        <v>9.7482402643785895E-2</v>
      </c>
      <c r="M31" s="40">
        <f t="shared" si="17"/>
        <v>80.416666666666671</v>
      </c>
      <c r="N31" s="40">
        <f t="shared" si="18"/>
        <v>2105.30341021816</v>
      </c>
      <c r="O31" s="40">
        <f t="shared" si="19"/>
        <v>11.879110099167347</v>
      </c>
      <c r="P31" s="40">
        <f t="shared" si="20"/>
        <v>0</v>
      </c>
      <c r="Q31" s="40">
        <f t="shared" si="21"/>
        <v>24</v>
      </c>
      <c r="R31" s="40">
        <f t="shared" si="22"/>
        <v>0.90251759735621406</v>
      </c>
      <c r="S31" s="40">
        <f t="shared" si="23"/>
        <v>9.7947699652777782</v>
      </c>
      <c r="T31" s="40">
        <f t="shared" si="24"/>
        <v>7.89469658978184</v>
      </c>
      <c r="U31" s="40">
        <f t="shared" si="25"/>
        <v>3.1208899008326529</v>
      </c>
      <c r="V31" s="40">
        <f t="shared" si="26"/>
        <v>58.212499999999984</v>
      </c>
      <c r="W31" s="40">
        <f t="shared" si="27"/>
        <v>11.879110099167347</v>
      </c>
      <c r="X31" s="40">
        <f t="shared" si="28"/>
        <v>1</v>
      </c>
      <c r="Y31" s="40">
        <f t="shared" si="29"/>
        <v>1</v>
      </c>
      <c r="Z31" s="40">
        <f t="shared" si="30"/>
        <v>1</v>
      </c>
      <c r="AA31" s="40">
        <f t="shared" si="31"/>
        <v>1</v>
      </c>
      <c r="AB31" s="40">
        <f t="shared" si="32"/>
        <v>1</v>
      </c>
      <c r="AC31" s="40">
        <f t="shared" si="33"/>
        <v>1</v>
      </c>
      <c r="AD31" s="40">
        <f t="shared" si="34"/>
        <v>1</v>
      </c>
      <c r="AE31" s="40">
        <f t="shared" si="35"/>
        <v>1</v>
      </c>
      <c r="AF31" s="40">
        <f t="shared" si="37"/>
        <v>0</v>
      </c>
    </row>
    <row r="32" spans="1:32" ht="15.75" thickBot="1">
      <c r="A32" s="17" t="s">
        <v>119</v>
      </c>
      <c r="B32" s="37">
        <v>70</v>
      </c>
      <c r="C32" s="37">
        <v>90</v>
      </c>
      <c r="D32" s="37">
        <v>1</v>
      </c>
      <c r="E32" s="37">
        <v>980</v>
      </c>
      <c r="F32" s="38">
        <v>3</v>
      </c>
      <c r="G32" s="39">
        <v>0.31365661049999999</v>
      </c>
      <c r="H32" s="67">
        <f t="shared" si="13"/>
        <v>0.31365661053440497</v>
      </c>
      <c r="I32" s="40">
        <f t="shared" si="14"/>
        <v>118212.49999999999</v>
      </c>
      <c r="J32" s="40">
        <f t="shared" si="2"/>
        <v>26.179938779914941</v>
      </c>
      <c r="K32" s="40">
        <f t="shared" si="15"/>
        <v>10053.096491487338</v>
      </c>
      <c r="L32" s="40">
        <f t="shared" si="16"/>
        <v>9.7482402643785895E-2</v>
      </c>
      <c r="M32" s="40">
        <f t="shared" si="17"/>
        <v>80.416666666666671</v>
      </c>
      <c r="N32" s="40">
        <f t="shared" si="18"/>
        <v>2105.30341021816</v>
      </c>
      <c r="O32" s="40">
        <f t="shared" si="19"/>
        <v>11.879110099167347</v>
      </c>
      <c r="P32" s="40">
        <f t="shared" si="20"/>
        <v>0</v>
      </c>
      <c r="Q32" s="40">
        <f t="shared" si="21"/>
        <v>24</v>
      </c>
      <c r="R32" s="40">
        <f t="shared" si="22"/>
        <v>0.90251759735621406</v>
      </c>
      <c r="S32" s="40">
        <f t="shared" si="23"/>
        <v>9.7947699652777782</v>
      </c>
      <c r="T32" s="40">
        <f t="shared" si="24"/>
        <v>7.89469658978184</v>
      </c>
      <c r="U32" s="40">
        <f t="shared" si="25"/>
        <v>3.1208899008326529</v>
      </c>
      <c r="V32" s="40">
        <f t="shared" si="26"/>
        <v>58.212499999999984</v>
      </c>
      <c r="W32" s="40">
        <f t="shared" si="27"/>
        <v>11.879110099167347</v>
      </c>
      <c r="X32" s="40">
        <f t="shared" si="28"/>
        <v>1</v>
      </c>
      <c r="Y32" s="40">
        <f t="shared" si="29"/>
        <v>1</v>
      </c>
      <c r="Z32" s="40">
        <f t="shared" si="30"/>
        <v>1</v>
      </c>
      <c r="AA32" s="40">
        <f t="shared" si="31"/>
        <v>1</v>
      </c>
      <c r="AB32" s="40">
        <f t="shared" si="32"/>
        <v>1</v>
      </c>
      <c r="AC32" s="40">
        <f t="shared" si="33"/>
        <v>1</v>
      </c>
      <c r="AD32" s="40">
        <f t="shared" si="34"/>
        <v>1</v>
      </c>
      <c r="AE32" s="40">
        <f t="shared" si="35"/>
        <v>1</v>
      </c>
      <c r="AF32" s="40">
        <f t="shared" si="37"/>
        <v>0</v>
      </c>
    </row>
    <row r="33" spans="1:32" ht="15.75" thickBot="1">
      <c r="A33" s="17" t="s">
        <v>120</v>
      </c>
      <c r="B33" s="37">
        <v>70.000000080000007</v>
      </c>
      <c r="C33" s="37">
        <v>90.000000299999996</v>
      </c>
      <c r="D33" s="37">
        <v>1.000000013</v>
      </c>
      <c r="E33" s="37">
        <v>865.69076329999996</v>
      </c>
      <c r="F33" s="38">
        <v>2.0000000400000002</v>
      </c>
      <c r="G33" s="39">
        <v>0.23524246700000001</v>
      </c>
      <c r="H33" s="67">
        <f t="shared" si="13"/>
        <v>0.23524246724188966</v>
      </c>
      <c r="I33" s="40">
        <f t="shared" si="14"/>
        <v>69615.967112587707</v>
      </c>
      <c r="J33" s="40">
        <f t="shared" si="2"/>
        <v>26.179938779914941</v>
      </c>
      <c r="K33" s="40">
        <f t="shared" si="15"/>
        <v>10053.096625947499</v>
      </c>
      <c r="L33" s="40">
        <f t="shared" si="16"/>
        <v>8.6111851453373356E-2</v>
      </c>
      <c r="M33" s="40">
        <f t="shared" si="17"/>
        <v>80.416666864843734</v>
      </c>
      <c r="N33" s="40">
        <f t="shared" si="18"/>
        <v>2105.3034154064235</v>
      </c>
      <c r="O33" s="40">
        <f t="shared" si="19"/>
        <v>19.828925925655284</v>
      </c>
      <c r="P33" s="40">
        <f t="shared" si="20"/>
        <v>2.1999998978117219E-7</v>
      </c>
      <c r="Q33" s="40">
        <f t="shared" si="21"/>
        <v>25.499999900999999</v>
      </c>
      <c r="R33" s="40">
        <f t="shared" si="22"/>
        <v>0.91388814854662659</v>
      </c>
      <c r="S33" s="40">
        <f t="shared" si="23"/>
        <v>9.8187084250282428</v>
      </c>
      <c r="T33" s="40">
        <f t="shared" si="24"/>
        <v>7.8946965845935768</v>
      </c>
      <c r="U33" s="40">
        <f t="shared" si="25"/>
        <v>-4.8289259256552839</v>
      </c>
      <c r="V33" s="40">
        <f t="shared" si="26"/>
        <v>9.6159671125877075</v>
      </c>
      <c r="W33" s="40">
        <f t="shared" si="27"/>
        <v>19.828925925655284</v>
      </c>
      <c r="X33" s="40">
        <f t="shared" si="28"/>
        <v>1</v>
      </c>
      <c r="Y33" s="40">
        <f t="shared" si="29"/>
        <v>1</v>
      </c>
      <c r="Z33" s="40">
        <f t="shared" si="30"/>
        <v>1</v>
      </c>
      <c r="AA33" s="40">
        <f t="shared" si="31"/>
        <v>1</v>
      </c>
      <c r="AB33" s="40">
        <f t="shared" si="32"/>
        <v>1</v>
      </c>
      <c r="AC33" s="40">
        <f t="shared" si="33"/>
        <v>0</v>
      </c>
      <c r="AD33" s="40">
        <f t="shared" si="34"/>
        <v>1</v>
      </c>
      <c r="AE33" s="40">
        <f t="shared" si="35"/>
        <v>1</v>
      </c>
      <c r="AF33" s="40">
        <f t="shared" si="37"/>
        <v>4.8289259256552839</v>
      </c>
    </row>
  </sheetData>
  <mergeCells count="12">
    <mergeCell ref="P6:W6"/>
    <mergeCell ref="E1:O1"/>
    <mergeCell ref="A7:H7"/>
    <mergeCell ref="P7:W7"/>
    <mergeCell ref="I20:O20"/>
    <mergeCell ref="I7:O7"/>
    <mergeCell ref="AF20:AF21"/>
    <mergeCell ref="A20:H20"/>
    <mergeCell ref="P20:W20"/>
    <mergeCell ref="X20:AE20"/>
    <mergeCell ref="X7:AE7"/>
    <mergeCell ref="AF7:AF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WBD Problem</vt:lpstr>
      <vt:lpstr>speed reducer </vt:lpstr>
      <vt:lpstr>Cantilever Beam Design </vt:lpstr>
      <vt:lpstr>multiple disc clutch brake </vt:lpstr>
      <vt:lpstr>'WBD Problem'!_Hlk102736504</vt:lpstr>
      <vt:lpstr>'Cantilever Beam Design '!_Hlk95770403</vt:lpstr>
      <vt:lpstr>_p</vt:lpstr>
      <vt:lpstr>delta_r</vt:lpstr>
      <vt:lpstr>E</vt:lpstr>
      <vt:lpstr>G</vt:lpstr>
      <vt:lpstr>L</vt:lpstr>
      <vt:lpstr>Lmax</vt:lpstr>
      <vt:lpstr>Lz</vt:lpstr>
      <vt:lpstr>Mf</vt:lpstr>
      <vt:lpstr>Ms</vt:lpstr>
      <vt:lpstr>n</vt:lpstr>
      <vt:lpstr>P</vt:lpstr>
      <vt:lpstr>Pmax</vt:lpstr>
      <vt:lpstr>s</vt:lpstr>
      <vt:lpstr>Tmax</vt:lpstr>
      <vt:lpstr>Vsrmax</vt:lpstr>
      <vt:lpstr>δ</vt:lpstr>
      <vt:lpstr>δ_max</vt:lpstr>
      <vt:lpstr>μ</vt:lpstr>
      <vt:lpstr>σ_max</vt:lpstr>
      <vt:lpstr>τ_max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Wahab</dc:creator>
  <cp:lastModifiedBy>hp</cp:lastModifiedBy>
  <dcterms:created xsi:type="dcterms:W3CDTF">2022-10-23T09:02:08Z</dcterms:created>
  <dcterms:modified xsi:type="dcterms:W3CDTF">2023-03-18T11:12:11Z</dcterms:modified>
</cp:coreProperties>
</file>