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MY PC\Desktop\Excel Projects\Finished_Excel_Projects\Excel_Project_Data_Analysis\"/>
    </mc:Choice>
  </mc:AlternateContent>
  <xr:revisionPtr revIDLastSave="0" documentId="13_ncr:1_{6750388E-71B3-4142-881D-2D9CBB34AADF}" xr6:coauthVersionLast="47" xr6:coauthVersionMax="47" xr10:uidLastSave="{00000000-0000-0000-0000-000000000000}"/>
  <workbookProtection lockStructure="1"/>
  <bookViews>
    <workbookView xWindow="-120" yWindow="-120" windowWidth="20730" windowHeight="11160" firstSheet="12" activeTab="18" xr2:uid="{00000000-000D-0000-FFFF-FFFF00000000}"/>
  </bookViews>
  <sheets>
    <sheet name="Info" sheetId="3" state="hidden" r:id="rId1"/>
    <sheet name="TrendEqn" sheetId="1" state="hidden" r:id="rId2"/>
    <sheet name="Yield_Sensitivity" sheetId="4" state="hidden" r:id="rId3"/>
    <sheet name="Yield_Chart_Used" sheetId="14" state="hidden" r:id="rId4"/>
    <sheet name="Sheet1" sheetId="22" state="hidden" r:id="rId5"/>
    <sheet name="Sheet2" sheetId="23" state="hidden" r:id="rId6"/>
    <sheet name="Calculator" sheetId="7" state="hidden" r:id="rId7"/>
    <sheet name="Validation_YA_SIchart" sheetId="12" state="hidden" r:id="rId8"/>
    <sheet name="Yield_Sensitivity (2)" sheetId="5" r:id="rId9"/>
    <sheet name="Validation_year_YAChart" sheetId="11" state="hidden" r:id="rId10"/>
    <sheet name="Dashboard" sheetId="6" state="hidden" r:id="rId11"/>
    <sheet name="Stress_Index_Conditonal_Formati" sheetId="15" r:id="rId12"/>
    <sheet name="SI_Table_Formating" sheetId="16" r:id="rId13"/>
    <sheet name="Yield_Gap_Chart" sheetId="13" r:id="rId14"/>
    <sheet name="Dashboard2" sheetId="24" state="hidden" r:id="rId15"/>
    <sheet name="Dashboard2 (2)" sheetId="33" state="hidden" r:id="rId16"/>
    <sheet name="SI_YG_Chart" sheetId="21" r:id="rId17"/>
    <sheet name="Calculator2" sheetId="32" r:id="rId18"/>
    <sheet name="Dashboard2 (3)" sheetId="34" r:id="rId19"/>
    <sheet name="ESRI_MAPINFO_SHEET" sheetId="2" state="veryHidden" r:id="rId20"/>
  </sheets>
  <definedNames>
    <definedName name="_xlnm._FilterDatabase" localSheetId="2" hidden="1">Yield_Sensitivity!$A$1:$H$108</definedName>
    <definedName name="_xlnm._FilterDatabase" localSheetId="8" hidden="1">'Yield_Sensitivity (2)'!$A$1:$H$108</definedName>
    <definedName name="Average">'Yield_Sensitivity (2)'!$O$5</definedName>
    <definedName name="AverageSI">Calculator2!$E$20</definedName>
    <definedName name="AverageYG">Calculator2!$E$21</definedName>
    <definedName name="AVg">Calculator!$D$14</definedName>
    <definedName name="Avg_SI">Calculator2!#REF!</definedName>
    <definedName name="Avg_Yield">Calculator!$C$14</definedName>
    <definedName name="Avg_YP">Calculator2!#REF!</definedName>
    <definedName name="C_Zone" localSheetId="15">'Dashboard2 (2)'!$G$6</definedName>
    <definedName name="C_Zone" localSheetId="18">'Dashboard2 (3)'!#REF!</definedName>
    <definedName name="C_Zone">Dashboard2!$E$5</definedName>
    <definedName name="ClimateZ">'Dashboard2 (3)'!$G$7</definedName>
    <definedName name="Gap">Calculator!$L$14</definedName>
    <definedName name="HYear">Dashboard!$L$7</definedName>
    <definedName name="Index">Calculator!$G$14</definedName>
    <definedName name="Interpretation">Calculator2!$G$6</definedName>
    <definedName name="Investment">Calculator2!$G$7</definedName>
    <definedName name="Label">Calculator2!$G$5</definedName>
    <definedName name="Label1">Calculator2!$G$5</definedName>
    <definedName name="Maximum">'Yield_Sensitivity (2)'!$O$6</definedName>
    <definedName name="Stress">Calculator!$G$14</definedName>
    <definedName name="Year">Dashboard!$L$7</definedName>
    <definedName name="Yield_GAp">'Yield_Sensitivity (2)'!$O$8</definedName>
    <definedName name="Zone">Dashboard!$G$3</definedName>
  </definedNames>
  <calcPr calcId="191029"/>
  <pivotCaches>
    <pivotCache cacheId="0" r:id="rId2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32" l="1"/>
  <c r="V2" i="33" s="1"/>
  <c r="G6" i="32"/>
  <c r="Q1" i="24" s="1"/>
  <c r="G5" i="32"/>
  <c r="X1" i="24" s="1"/>
  <c r="E21" i="32"/>
  <c r="E20" i="32"/>
  <c r="E13" i="21" a="1"/>
  <c r="E13" i="21"/>
  <c r="D13" i="21" a="1"/>
  <c r="D13" i="21"/>
  <c r="E12" i="21" a="1"/>
  <c r="E12" i="21"/>
  <c r="D12" i="21" a="1"/>
  <c r="D12" i="21"/>
  <c r="E11" i="21" a="1"/>
  <c r="E11" i="21"/>
  <c r="D11" i="21" a="1"/>
  <c r="D11" i="21"/>
  <c r="E10" i="21" a="1"/>
  <c r="E10" i="21"/>
  <c r="D10" i="21" a="1"/>
  <c r="D10" i="21"/>
  <c r="E9" i="21" a="1"/>
  <c r="E9" i="21"/>
  <c r="D9" i="21" a="1"/>
  <c r="D9" i="21"/>
  <c r="E8" i="21" a="1"/>
  <c r="E8" i="21"/>
  <c r="D8" i="21" a="1"/>
  <c r="D8" i="21"/>
  <c r="I7" i="21"/>
  <c r="E7" i="21" a="1"/>
  <c r="E7" i="21"/>
  <c r="D7" i="21" a="1"/>
  <c r="D7" i="21"/>
  <c r="I6" i="21"/>
  <c r="E6" i="21" a="1"/>
  <c r="E6" i="21"/>
  <c r="D6" i="21" a="1"/>
  <c r="D6" i="21"/>
  <c r="I5" i="21"/>
  <c r="E5" i="21" a="1"/>
  <c r="E5" i="21"/>
  <c r="D5" i="21" a="1"/>
  <c r="D5" i="21"/>
  <c r="E4" i="21" a="1"/>
  <c r="E4" i="21"/>
  <c r="D4" i="21" a="1"/>
  <c r="D4" i="21"/>
  <c r="E3" i="21" a="1"/>
  <c r="E3" i="21"/>
  <c r="D3" i="21" a="1"/>
  <c r="D3" i="21"/>
  <c r="E2" i="21" a="1"/>
  <c r="E2" i="21"/>
  <c r="D2" i="21" a="1"/>
  <c r="D2" i="21"/>
  <c r="W3" i="33"/>
  <c r="S2" i="33"/>
  <c r="X1" i="33"/>
  <c r="Q1" i="33"/>
  <c r="H30" i="24"/>
  <c r="W3" i="24"/>
  <c r="V2" i="24"/>
  <c r="S2" i="24"/>
  <c r="H14" i="13"/>
  <c r="G14" i="13"/>
  <c r="B14" i="13" a="1"/>
  <c r="B14" i="13"/>
  <c r="H13" i="13"/>
  <c r="G13" i="13"/>
  <c r="B13" i="13" a="1"/>
  <c r="B13" i="13"/>
  <c r="H12" i="13"/>
  <c r="G12" i="13"/>
  <c r="B12" i="13" a="1"/>
  <c r="B12" i="13"/>
  <c r="H11" i="13"/>
  <c r="G11" i="13"/>
  <c r="B11" i="13" a="1"/>
  <c r="B11" i="13"/>
  <c r="H10" i="13"/>
  <c r="G10" i="13"/>
  <c r="B10" i="13" a="1"/>
  <c r="B10" i="13"/>
  <c r="H9" i="13"/>
  <c r="G9" i="13"/>
  <c r="B9" i="13" a="1"/>
  <c r="B9" i="13"/>
  <c r="H8" i="13"/>
  <c r="G8" i="13"/>
  <c r="B8" i="13" a="1"/>
  <c r="B8" i="13"/>
  <c r="H7" i="13"/>
  <c r="G7" i="13"/>
  <c r="B7" i="13" a="1"/>
  <c r="B7" i="13"/>
  <c r="H6" i="13"/>
  <c r="G6" i="13"/>
  <c r="B6" i="13" a="1"/>
  <c r="B6" i="13"/>
  <c r="H5" i="13"/>
  <c r="G5" i="13"/>
  <c r="B5" i="13" a="1"/>
  <c r="B5" i="13"/>
  <c r="H4" i="13"/>
  <c r="G4" i="13"/>
  <c r="B4" i="13" a="1"/>
  <c r="B4" i="13"/>
  <c r="H3" i="13"/>
  <c r="G3" i="13"/>
  <c r="D3" i="13" a="1"/>
  <c r="D3" i="13"/>
  <c r="B3" i="13" a="1"/>
  <c r="B3" i="13"/>
  <c r="A3" i="13" a="1"/>
  <c r="A3" i="13"/>
  <c r="C11" i="11" a="1"/>
  <c r="C11" i="11"/>
  <c r="C10" i="11" a="1"/>
  <c r="C10" i="11"/>
  <c r="C9" i="11" a="1"/>
  <c r="C9" i="11"/>
  <c r="C8" i="11" a="1"/>
  <c r="C8" i="11"/>
  <c r="C7" i="11" a="1"/>
  <c r="C7" i="11"/>
  <c r="C6" i="11" a="1"/>
  <c r="C6" i="11"/>
  <c r="C5" i="11" a="1"/>
  <c r="C5" i="11"/>
  <c r="C4" i="11" a="1"/>
  <c r="C4" i="11"/>
  <c r="C3" i="11" a="1"/>
  <c r="C3" i="11"/>
  <c r="B3" i="11" a="1"/>
  <c r="B3" i="11"/>
  <c r="L108" i="5"/>
  <c r="K108" i="5"/>
  <c r="J108" i="5"/>
  <c r="I108" i="5"/>
  <c r="L107" i="5"/>
  <c r="K107" i="5"/>
  <c r="J107" i="5"/>
  <c r="I107" i="5"/>
  <c r="L106" i="5"/>
  <c r="K106" i="5"/>
  <c r="J106" i="5"/>
  <c r="I106" i="5"/>
  <c r="L105" i="5"/>
  <c r="K105" i="5"/>
  <c r="J105" i="5"/>
  <c r="I105" i="5"/>
  <c r="L104" i="5"/>
  <c r="K104" i="5"/>
  <c r="J104" i="5"/>
  <c r="I104" i="5"/>
  <c r="L103" i="5"/>
  <c r="K103" i="5"/>
  <c r="J103" i="5"/>
  <c r="I103" i="5"/>
  <c r="L102" i="5"/>
  <c r="K102" i="5"/>
  <c r="J102" i="5"/>
  <c r="I102" i="5"/>
  <c r="L101" i="5"/>
  <c r="K101" i="5"/>
  <c r="J101" i="5"/>
  <c r="I101" i="5"/>
  <c r="L100" i="5"/>
  <c r="K100" i="5"/>
  <c r="J100" i="5"/>
  <c r="I100" i="5"/>
  <c r="L99" i="5"/>
  <c r="K99" i="5"/>
  <c r="J99" i="5"/>
  <c r="I99" i="5"/>
  <c r="L98" i="5"/>
  <c r="K98" i="5"/>
  <c r="J98" i="5"/>
  <c r="I98" i="5"/>
  <c r="L97" i="5"/>
  <c r="K97" i="5"/>
  <c r="J97" i="5"/>
  <c r="I97" i="5"/>
  <c r="L96" i="5"/>
  <c r="K96" i="5"/>
  <c r="J96" i="5"/>
  <c r="I96" i="5"/>
  <c r="L95" i="5"/>
  <c r="K95" i="5"/>
  <c r="J95" i="5"/>
  <c r="I95" i="5"/>
  <c r="L94" i="5"/>
  <c r="K94" i="5"/>
  <c r="J94" i="5"/>
  <c r="I94" i="5"/>
  <c r="L93" i="5"/>
  <c r="K93" i="5"/>
  <c r="J93" i="5"/>
  <c r="I93" i="5"/>
  <c r="L92" i="5"/>
  <c r="K92" i="5"/>
  <c r="J92" i="5"/>
  <c r="I92" i="5"/>
  <c r="L91" i="5"/>
  <c r="K91" i="5"/>
  <c r="J91" i="5"/>
  <c r="I91" i="5"/>
  <c r="L90" i="5"/>
  <c r="K90" i="5"/>
  <c r="J90" i="5"/>
  <c r="I90" i="5"/>
  <c r="L89" i="5"/>
  <c r="K89" i="5"/>
  <c r="J89" i="5"/>
  <c r="I89" i="5"/>
  <c r="L88" i="5"/>
  <c r="K88" i="5"/>
  <c r="J88" i="5"/>
  <c r="I88" i="5"/>
  <c r="L87" i="5"/>
  <c r="K87" i="5"/>
  <c r="J87" i="5"/>
  <c r="I87" i="5"/>
  <c r="L86" i="5"/>
  <c r="K86" i="5"/>
  <c r="J86" i="5"/>
  <c r="I86" i="5"/>
  <c r="L85" i="5"/>
  <c r="K85" i="5"/>
  <c r="J85" i="5"/>
  <c r="I85" i="5"/>
  <c r="L84" i="5"/>
  <c r="K84" i="5"/>
  <c r="J84" i="5"/>
  <c r="I84" i="5"/>
  <c r="L83" i="5"/>
  <c r="K83" i="5"/>
  <c r="J83" i="5"/>
  <c r="I83" i="5"/>
  <c r="L82" i="5"/>
  <c r="K82" i="5"/>
  <c r="J82" i="5"/>
  <c r="I82" i="5"/>
  <c r="L81" i="5"/>
  <c r="K81" i="5"/>
  <c r="J81" i="5"/>
  <c r="I81" i="5"/>
  <c r="L80" i="5"/>
  <c r="K80" i="5"/>
  <c r="J80" i="5"/>
  <c r="I80" i="5"/>
  <c r="L79" i="5"/>
  <c r="K79" i="5"/>
  <c r="J79" i="5"/>
  <c r="I79" i="5"/>
  <c r="L78" i="5"/>
  <c r="K78" i="5"/>
  <c r="J78" i="5"/>
  <c r="I78" i="5"/>
  <c r="L77" i="5"/>
  <c r="K77" i="5"/>
  <c r="J77" i="5"/>
  <c r="I77" i="5"/>
  <c r="L76" i="5"/>
  <c r="K76" i="5"/>
  <c r="J76" i="5"/>
  <c r="I76" i="5"/>
  <c r="L75" i="5"/>
  <c r="K75" i="5"/>
  <c r="J75" i="5"/>
  <c r="I75" i="5"/>
  <c r="L74" i="5"/>
  <c r="K74" i="5"/>
  <c r="J74" i="5"/>
  <c r="I74" i="5"/>
  <c r="L73" i="5"/>
  <c r="K73" i="5"/>
  <c r="J73" i="5"/>
  <c r="I73" i="5"/>
  <c r="L72" i="5"/>
  <c r="K72" i="5"/>
  <c r="J72" i="5"/>
  <c r="I72" i="5"/>
  <c r="L71" i="5"/>
  <c r="K71" i="5"/>
  <c r="J71" i="5"/>
  <c r="I71" i="5"/>
  <c r="L70" i="5"/>
  <c r="K70" i="5"/>
  <c r="J70" i="5"/>
  <c r="I70" i="5"/>
  <c r="L69" i="5"/>
  <c r="K69" i="5"/>
  <c r="J69" i="5"/>
  <c r="I69" i="5"/>
  <c r="L68" i="5"/>
  <c r="K68" i="5"/>
  <c r="J68" i="5"/>
  <c r="I68" i="5"/>
  <c r="L67" i="5"/>
  <c r="K67" i="5"/>
  <c r="J67" i="5"/>
  <c r="I67" i="5"/>
  <c r="L66" i="5"/>
  <c r="K66" i="5"/>
  <c r="J66" i="5"/>
  <c r="I66" i="5"/>
  <c r="L65" i="5"/>
  <c r="K65" i="5"/>
  <c r="J65" i="5"/>
  <c r="I65" i="5"/>
  <c r="L64" i="5"/>
  <c r="K64" i="5"/>
  <c r="J64" i="5"/>
  <c r="I64" i="5"/>
  <c r="L63" i="5"/>
  <c r="K63" i="5"/>
  <c r="J63" i="5"/>
  <c r="I63" i="5"/>
  <c r="L62" i="5"/>
  <c r="K62" i="5"/>
  <c r="J62" i="5"/>
  <c r="I62" i="5"/>
  <c r="L61" i="5"/>
  <c r="K61" i="5"/>
  <c r="J61" i="5"/>
  <c r="I61" i="5"/>
  <c r="L60" i="5"/>
  <c r="K60" i="5"/>
  <c r="J60" i="5"/>
  <c r="I60" i="5"/>
  <c r="L59" i="5"/>
  <c r="K59" i="5"/>
  <c r="J59" i="5"/>
  <c r="I59" i="5"/>
  <c r="L58" i="5"/>
  <c r="K58" i="5"/>
  <c r="J58" i="5"/>
  <c r="I58" i="5"/>
  <c r="L57" i="5"/>
  <c r="K57" i="5"/>
  <c r="J57" i="5"/>
  <c r="I57" i="5"/>
  <c r="L56" i="5"/>
  <c r="K56" i="5"/>
  <c r="J56" i="5"/>
  <c r="I56" i="5"/>
  <c r="L55" i="5"/>
  <c r="K55" i="5"/>
  <c r="J55" i="5"/>
  <c r="I55" i="5"/>
  <c r="L54" i="5"/>
  <c r="K54" i="5"/>
  <c r="J54" i="5"/>
  <c r="I54" i="5"/>
  <c r="L53" i="5"/>
  <c r="K53" i="5"/>
  <c r="J53" i="5"/>
  <c r="I53" i="5"/>
  <c r="L52" i="5"/>
  <c r="K52" i="5"/>
  <c r="J52" i="5"/>
  <c r="I52" i="5"/>
  <c r="L51" i="5"/>
  <c r="K51" i="5"/>
  <c r="J51" i="5"/>
  <c r="I51" i="5"/>
  <c r="L50" i="5"/>
  <c r="K50" i="5"/>
  <c r="J50" i="5"/>
  <c r="I50" i="5"/>
  <c r="L49" i="5"/>
  <c r="K49" i="5"/>
  <c r="J49" i="5"/>
  <c r="I49" i="5"/>
  <c r="L48" i="5"/>
  <c r="K48" i="5"/>
  <c r="J48" i="5"/>
  <c r="I48" i="5"/>
  <c r="L47" i="5"/>
  <c r="K47" i="5"/>
  <c r="J47" i="5"/>
  <c r="I47" i="5"/>
  <c r="L46" i="5"/>
  <c r="K46" i="5"/>
  <c r="J46" i="5"/>
  <c r="I46" i="5"/>
  <c r="L45" i="5"/>
  <c r="K45" i="5"/>
  <c r="J45" i="5"/>
  <c r="I45" i="5"/>
  <c r="L44" i="5"/>
  <c r="K44" i="5"/>
  <c r="J44" i="5"/>
  <c r="I44" i="5"/>
  <c r="L43" i="5"/>
  <c r="K43" i="5"/>
  <c r="J43" i="5"/>
  <c r="I43" i="5"/>
  <c r="L42" i="5"/>
  <c r="K42" i="5"/>
  <c r="J42" i="5"/>
  <c r="I42" i="5"/>
  <c r="L41" i="5"/>
  <c r="K41" i="5"/>
  <c r="J41" i="5"/>
  <c r="I41" i="5"/>
  <c r="L40" i="5"/>
  <c r="K40" i="5"/>
  <c r="J40" i="5"/>
  <c r="I40" i="5"/>
  <c r="L39" i="5"/>
  <c r="K39" i="5"/>
  <c r="J39" i="5"/>
  <c r="I39" i="5"/>
  <c r="L38" i="5"/>
  <c r="K38" i="5"/>
  <c r="J38" i="5"/>
  <c r="I38" i="5"/>
  <c r="L37" i="5"/>
  <c r="K37" i="5"/>
  <c r="J37" i="5"/>
  <c r="I37" i="5"/>
  <c r="L36" i="5"/>
  <c r="K36" i="5"/>
  <c r="J36" i="5"/>
  <c r="I36" i="5"/>
  <c r="L35" i="5"/>
  <c r="K35" i="5"/>
  <c r="J35" i="5"/>
  <c r="I35" i="5"/>
  <c r="L34" i="5"/>
  <c r="K34" i="5"/>
  <c r="J34" i="5"/>
  <c r="I34" i="5"/>
  <c r="L33" i="5"/>
  <c r="K33" i="5"/>
  <c r="J33" i="5"/>
  <c r="I33" i="5"/>
  <c r="L32" i="5"/>
  <c r="K32" i="5"/>
  <c r="J32" i="5"/>
  <c r="I32" i="5"/>
  <c r="L31" i="5"/>
  <c r="K31" i="5"/>
  <c r="J31" i="5"/>
  <c r="I31" i="5"/>
  <c r="L30" i="5"/>
  <c r="K30" i="5"/>
  <c r="J30" i="5"/>
  <c r="I30" i="5"/>
  <c r="L29" i="5"/>
  <c r="K29" i="5"/>
  <c r="J29" i="5"/>
  <c r="I29" i="5"/>
  <c r="L28" i="5"/>
  <c r="K28" i="5"/>
  <c r="J28" i="5"/>
  <c r="I28" i="5"/>
  <c r="L27" i="5"/>
  <c r="K27" i="5"/>
  <c r="J27" i="5"/>
  <c r="I27" i="5"/>
  <c r="L26" i="5"/>
  <c r="K26" i="5"/>
  <c r="J26" i="5"/>
  <c r="I26" i="5"/>
  <c r="L25" i="5"/>
  <c r="K25" i="5"/>
  <c r="J25" i="5"/>
  <c r="I25" i="5"/>
  <c r="L24" i="5"/>
  <c r="K24" i="5"/>
  <c r="J24" i="5"/>
  <c r="I24" i="5"/>
  <c r="L23" i="5"/>
  <c r="K23" i="5"/>
  <c r="J23" i="5"/>
  <c r="I23" i="5"/>
  <c r="L22" i="5"/>
  <c r="K22" i="5"/>
  <c r="J22" i="5"/>
  <c r="I22" i="5"/>
  <c r="L21" i="5"/>
  <c r="K21" i="5"/>
  <c r="J21" i="5"/>
  <c r="I21" i="5"/>
  <c r="L20" i="5"/>
  <c r="K20" i="5"/>
  <c r="J20" i="5"/>
  <c r="I20" i="5"/>
  <c r="L19" i="5"/>
  <c r="K19" i="5"/>
  <c r="J19" i="5"/>
  <c r="I19" i="5"/>
  <c r="L18" i="5"/>
  <c r="K18" i="5"/>
  <c r="J18" i="5"/>
  <c r="I18" i="5"/>
  <c r="L17" i="5"/>
  <c r="K17" i="5"/>
  <c r="J17" i="5"/>
  <c r="I17" i="5"/>
  <c r="L16" i="5"/>
  <c r="K16" i="5"/>
  <c r="J16" i="5"/>
  <c r="I16" i="5"/>
  <c r="L15" i="5"/>
  <c r="K15" i="5"/>
  <c r="J15" i="5"/>
  <c r="I15" i="5"/>
  <c r="L14" i="5"/>
  <c r="K14" i="5"/>
  <c r="J14" i="5"/>
  <c r="I14" i="5"/>
  <c r="L13" i="5"/>
  <c r="K13" i="5"/>
  <c r="J13" i="5"/>
  <c r="I13" i="5"/>
  <c r="L12" i="5"/>
  <c r="K12" i="5"/>
  <c r="J12" i="5"/>
  <c r="I12" i="5"/>
  <c r="L11" i="5"/>
  <c r="K11" i="5"/>
  <c r="J11" i="5"/>
  <c r="I11" i="5"/>
  <c r="L10" i="5"/>
  <c r="K10" i="5"/>
  <c r="J10" i="5"/>
  <c r="I10" i="5"/>
  <c r="L9" i="5"/>
  <c r="K9" i="5"/>
  <c r="J9" i="5"/>
  <c r="I9" i="5"/>
  <c r="O8" i="5"/>
  <c r="L8" i="5"/>
  <c r="K8" i="5"/>
  <c r="J8" i="5"/>
  <c r="I8" i="5"/>
  <c r="O7" i="5"/>
  <c r="L7" i="5"/>
  <c r="K7" i="5"/>
  <c r="J7" i="5"/>
  <c r="I7" i="5"/>
  <c r="O6" i="5"/>
  <c r="L6" i="5"/>
  <c r="K6" i="5"/>
  <c r="J6" i="5"/>
  <c r="I6" i="5"/>
  <c r="O5" i="5"/>
  <c r="L5" i="5"/>
  <c r="K5" i="5"/>
  <c r="J5" i="5"/>
  <c r="I5" i="5"/>
  <c r="O4" i="5"/>
  <c r="L4" i="5"/>
  <c r="K4" i="5"/>
  <c r="J4" i="5"/>
  <c r="I4" i="5"/>
  <c r="L3" i="5"/>
  <c r="K3" i="5"/>
  <c r="J3" i="5"/>
  <c r="I3" i="5"/>
  <c r="L2" i="5"/>
  <c r="K2" i="5"/>
  <c r="J2" i="5"/>
  <c r="I2" i="5"/>
  <c r="E10" i="12" a="1"/>
  <c r="E10" i="12"/>
  <c r="E9" i="12" a="1"/>
  <c r="E9" i="12"/>
  <c r="E8" i="12" a="1"/>
  <c r="E8" i="12"/>
  <c r="E7" i="12" a="1"/>
  <c r="E7" i="12"/>
  <c r="E6" i="12" a="1"/>
  <c r="E6" i="12"/>
  <c r="E5" i="12" a="1"/>
  <c r="E5" i="12"/>
  <c r="E4" i="12" a="1"/>
  <c r="E4" i="12"/>
  <c r="E3" i="12" a="1"/>
  <c r="E3" i="12"/>
  <c r="E2" i="12" a="1"/>
  <c r="E2" i="12"/>
  <c r="D2" i="12" a="1"/>
  <c r="D2" i="12"/>
  <c r="B2" i="12" a="1"/>
  <c r="B2" i="12"/>
  <c r="J25" i="7"/>
  <c r="F25" i="7"/>
  <c r="B25" i="7"/>
  <c r="J24" i="7"/>
  <c r="F24" i="7"/>
  <c r="B24" i="7"/>
  <c r="J23" i="7"/>
  <c r="F23" i="7"/>
  <c r="B23" i="7"/>
  <c r="J22" i="7"/>
  <c r="F22" i="7"/>
  <c r="B22" i="7"/>
  <c r="J21" i="7"/>
  <c r="F21" i="7"/>
  <c r="B21" i="7"/>
  <c r="J20" i="7"/>
  <c r="F20" i="7"/>
  <c r="B20" i="7"/>
  <c r="J19" i="7"/>
  <c r="F19" i="7"/>
  <c r="B19" i="7"/>
  <c r="J18" i="7"/>
  <c r="F18" i="7"/>
  <c r="B18" i="7"/>
  <c r="J17" i="7"/>
  <c r="F17" i="7"/>
  <c r="B17" i="7"/>
  <c r="J16" i="7"/>
  <c r="F16" i="7"/>
  <c r="B16" i="7"/>
  <c r="J15" i="7"/>
  <c r="F15" i="7"/>
  <c r="B15" i="7"/>
  <c r="L14" i="7" a="1"/>
  <c r="L14" i="7"/>
  <c r="J14" i="7"/>
  <c r="G14" i="7" a="1"/>
  <c r="G14" i="7"/>
  <c r="F14" i="7"/>
  <c r="C14" i="7" a="1"/>
  <c r="C14" i="7"/>
  <c r="B14" i="7"/>
  <c r="A14" i="7" a="1"/>
  <c r="A14" i="7"/>
  <c r="E18" i="14"/>
  <c r="K108" i="4"/>
  <c r="J108" i="4"/>
  <c r="I108" i="4"/>
  <c r="K107" i="4"/>
  <c r="J107" i="4"/>
  <c r="I107" i="4"/>
  <c r="K106" i="4"/>
  <c r="J106" i="4"/>
  <c r="I106" i="4"/>
  <c r="K105" i="4"/>
  <c r="J105" i="4"/>
  <c r="I105" i="4"/>
  <c r="K104" i="4"/>
  <c r="J104" i="4"/>
  <c r="I104" i="4"/>
  <c r="K103" i="4"/>
  <c r="J103" i="4"/>
  <c r="I103" i="4"/>
  <c r="K102" i="4"/>
  <c r="J102" i="4"/>
  <c r="I102" i="4"/>
  <c r="K101" i="4"/>
  <c r="J101" i="4"/>
  <c r="I101" i="4"/>
  <c r="K100" i="4"/>
  <c r="J100" i="4"/>
  <c r="I100" i="4"/>
  <c r="K99" i="4"/>
  <c r="J99" i="4"/>
  <c r="I99" i="4"/>
  <c r="K98" i="4"/>
  <c r="J98" i="4"/>
  <c r="I98" i="4"/>
  <c r="K97" i="4"/>
  <c r="J97" i="4"/>
  <c r="I97" i="4"/>
  <c r="K96" i="4"/>
  <c r="J96" i="4"/>
  <c r="I96" i="4"/>
  <c r="K95" i="4"/>
  <c r="J95" i="4"/>
  <c r="I95" i="4"/>
  <c r="K94" i="4"/>
  <c r="J94" i="4"/>
  <c r="I94" i="4"/>
  <c r="K93" i="4"/>
  <c r="J93" i="4"/>
  <c r="I93" i="4"/>
  <c r="K92" i="4"/>
  <c r="J92" i="4"/>
  <c r="I92" i="4"/>
  <c r="K91" i="4"/>
  <c r="J91" i="4"/>
  <c r="I91" i="4"/>
  <c r="K90" i="4"/>
  <c r="J90" i="4"/>
  <c r="I90" i="4"/>
  <c r="K89" i="4"/>
  <c r="J89" i="4"/>
  <c r="I89" i="4"/>
  <c r="K88" i="4"/>
  <c r="J88" i="4"/>
  <c r="I88" i="4"/>
  <c r="K87" i="4"/>
  <c r="J87" i="4"/>
  <c r="I87" i="4"/>
  <c r="K86" i="4"/>
  <c r="J86" i="4"/>
  <c r="I86" i="4"/>
  <c r="K85" i="4"/>
  <c r="J85" i="4"/>
  <c r="I85" i="4"/>
  <c r="K84" i="4"/>
  <c r="J84" i="4"/>
  <c r="I84" i="4"/>
  <c r="K83" i="4"/>
  <c r="J83" i="4"/>
  <c r="I83" i="4"/>
  <c r="K82" i="4"/>
  <c r="J82" i="4"/>
  <c r="I82" i="4"/>
  <c r="K81" i="4"/>
  <c r="J81" i="4"/>
  <c r="I81" i="4"/>
  <c r="K80" i="4"/>
  <c r="J80" i="4"/>
  <c r="I80" i="4"/>
  <c r="K79" i="4"/>
  <c r="J79" i="4"/>
  <c r="I79" i="4"/>
  <c r="K78" i="4"/>
  <c r="J78" i="4"/>
  <c r="I78" i="4"/>
  <c r="K77" i="4"/>
  <c r="J77" i="4"/>
  <c r="I77" i="4"/>
  <c r="K76" i="4"/>
  <c r="J76" i="4"/>
  <c r="I76" i="4"/>
  <c r="K75" i="4"/>
  <c r="J75" i="4"/>
  <c r="I75" i="4"/>
  <c r="K74" i="4"/>
  <c r="J74" i="4"/>
  <c r="I74" i="4"/>
  <c r="K73" i="4"/>
  <c r="J73" i="4"/>
  <c r="I73" i="4"/>
  <c r="K72" i="4"/>
  <c r="J72" i="4"/>
  <c r="I72" i="4"/>
  <c r="K71" i="4"/>
  <c r="J71" i="4"/>
  <c r="I71" i="4"/>
  <c r="K70" i="4"/>
  <c r="J70" i="4"/>
  <c r="I70" i="4"/>
  <c r="K69" i="4"/>
  <c r="J69" i="4"/>
  <c r="I69" i="4"/>
  <c r="K68" i="4"/>
  <c r="J68" i="4"/>
  <c r="I68" i="4"/>
  <c r="K67" i="4"/>
  <c r="J67" i="4"/>
  <c r="I67" i="4"/>
  <c r="K66" i="4"/>
  <c r="J66" i="4"/>
  <c r="I66" i="4"/>
  <c r="K65" i="4"/>
  <c r="J65" i="4"/>
  <c r="I65" i="4"/>
  <c r="K64" i="4"/>
  <c r="J64" i="4"/>
  <c r="I64" i="4"/>
  <c r="K63" i="4"/>
  <c r="J63" i="4"/>
  <c r="I63" i="4"/>
  <c r="K62" i="4"/>
  <c r="J62" i="4"/>
  <c r="I62" i="4"/>
  <c r="K61" i="4"/>
  <c r="J61" i="4"/>
  <c r="I61" i="4"/>
  <c r="K60" i="4"/>
  <c r="J60" i="4"/>
  <c r="I60" i="4"/>
  <c r="K59" i="4"/>
  <c r="J59" i="4"/>
  <c r="I59" i="4"/>
  <c r="K58" i="4"/>
  <c r="J58" i="4"/>
  <c r="I58" i="4"/>
  <c r="K57" i="4"/>
  <c r="J57" i="4"/>
  <c r="I57" i="4"/>
  <c r="K56" i="4"/>
  <c r="J56" i="4"/>
  <c r="I56" i="4"/>
  <c r="K55" i="4"/>
  <c r="J55" i="4"/>
  <c r="I55" i="4"/>
  <c r="K54" i="4"/>
  <c r="J54" i="4"/>
  <c r="I54" i="4"/>
  <c r="K53" i="4"/>
  <c r="J53" i="4"/>
  <c r="I53" i="4"/>
  <c r="K52" i="4"/>
  <c r="J52" i="4"/>
  <c r="I52" i="4"/>
  <c r="K51" i="4"/>
  <c r="J51" i="4"/>
  <c r="I51" i="4"/>
  <c r="K50" i="4"/>
  <c r="J50" i="4"/>
  <c r="I50" i="4"/>
  <c r="K49" i="4"/>
  <c r="J49" i="4"/>
  <c r="I49" i="4"/>
  <c r="K48" i="4"/>
  <c r="J48" i="4"/>
  <c r="I48" i="4"/>
  <c r="K47" i="4"/>
  <c r="J47" i="4"/>
  <c r="I47" i="4"/>
  <c r="K46" i="4"/>
  <c r="J46" i="4"/>
  <c r="I46" i="4"/>
  <c r="K45" i="4"/>
  <c r="J45" i="4"/>
  <c r="I45" i="4"/>
  <c r="K44" i="4"/>
  <c r="J44" i="4"/>
  <c r="I44" i="4"/>
  <c r="K43" i="4"/>
  <c r="J43" i="4"/>
  <c r="I43" i="4"/>
  <c r="K42" i="4"/>
  <c r="J42" i="4"/>
  <c r="I42" i="4"/>
  <c r="K41" i="4"/>
  <c r="J41" i="4"/>
  <c r="I41" i="4"/>
  <c r="K40" i="4"/>
  <c r="J40" i="4"/>
  <c r="I40" i="4"/>
  <c r="K39" i="4"/>
  <c r="J39" i="4"/>
  <c r="I39" i="4"/>
  <c r="K38" i="4"/>
  <c r="J38" i="4"/>
  <c r="I38" i="4"/>
  <c r="K37" i="4"/>
  <c r="J37" i="4"/>
  <c r="I37" i="4"/>
  <c r="K36" i="4"/>
  <c r="J36" i="4"/>
  <c r="I36" i="4"/>
  <c r="K35" i="4"/>
  <c r="J35" i="4"/>
  <c r="I35" i="4"/>
  <c r="K34" i="4"/>
  <c r="J34" i="4"/>
  <c r="I34" i="4"/>
  <c r="K33" i="4"/>
  <c r="J33" i="4"/>
  <c r="I33" i="4"/>
  <c r="K32" i="4"/>
  <c r="J32" i="4"/>
  <c r="I32" i="4"/>
  <c r="K31" i="4"/>
  <c r="J31" i="4"/>
  <c r="I31" i="4"/>
  <c r="K30" i="4"/>
  <c r="J30" i="4"/>
  <c r="I30" i="4"/>
  <c r="K29" i="4"/>
  <c r="J29" i="4"/>
  <c r="I29" i="4"/>
  <c r="K28" i="4"/>
  <c r="J28" i="4"/>
  <c r="I28" i="4"/>
  <c r="K27" i="4"/>
  <c r="J27" i="4"/>
  <c r="I27" i="4"/>
  <c r="K26" i="4"/>
  <c r="J26" i="4"/>
  <c r="I26" i="4"/>
  <c r="K25" i="4"/>
  <c r="J25" i="4"/>
  <c r="I25" i="4"/>
  <c r="K24" i="4"/>
  <c r="J24" i="4"/>
  <c r="I24" i="4"/>
  <c r="K23" i="4"/>
  <c r="J23" i="4"/>
  <c r="I23" i="4"/>
  <c r="K22" i="4"/>
  <c r="J22" i="4"/>
  <c r="I22" i="4"/>
  <c r="K21" i="4"/>
  <c r="J21" i="4"/>
  <c r="I21" i="4"/>
  <c r="K20" i="4"/>
  <c r="J20" i="4"/>
  <c r="I20" i="4"/>
  <c r="K19" i="4"/>
  <c r="J19" i="4"/>
  <c r="I19" i="4"/>
  <c r="K18" i="4"/>
  <c r="J18" i="4"/>
  <c r="I18" i="4"/>
  <c r="K17" i="4"/>
  <c r="J17" i="4"/>
  <c r="I17" i="4"/>
  <c r="K16" i="4"/>
  <c r="J16" i="4"/>
  <c r="I16" i="4"/>
  <c r="K15" i="4"/>
  <c r="J15" i="4"/>
  <c r="I15" i="4"/>
  <c r="K14" i="4"/>
  <c r="J14" i="4"/>
  <c r="I14" i="4"/>
  <c r="K13" i="4"/>
  <c r="J13" i="4"/>
  <c r="I13" i="4"/>
  <c r="K12" i="4"/>
  <c r="J12" i="4"/>
  <c r="I12" i="4"/>
  <c r="K11" i="4"/>
  <c r="J11" i="4"/>
  <c r="I11" i="4"/>
  <c r="K10" i="4"/>
  <c r="J10" i="4"/>
  <c r="I10" i="4"/>
  <c r="K9" i="4"/>
  <c r="J9" i="4"/>
  <c r="I9" i="4"/>
  <c r="K8" i="4"/>
  <c r="J8" i="4"/>
  <c r="I8" i="4"/>
  <c r="K7" i="4"/>
  <c r="J7" i="4"/>
  <c r="I7" i="4"/>
  <c r="K6" i="4"/>
  <c r="J6" i="4"/>
  <c r="I6" i="4"/>
  <c r="K5" i="4"/>
  <c r="J5" i="4"/>
  <c r="I5" i="4"/>
  <c r="K4" i="4"/>
  <c r="J4" i="4"/>
  <c r="I4" i="4"/>
  <c r="K3" i="4"/>
  <c r="J3" i="4"/>
  <c r="I3" i="4"/>
  <c r="K2" i="4"/>
  <c r="J2" i="4"/>
  <c r="I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<sst xmlns="http://schemas.openxmlformats.org/spreadsheetml/2006/main" count="479" uniqueCount="155">
  <si>
    <t>Information below captures the details about the source of the data</t>
  </si>
  <si>
    <t>Information on the contents of this GYGA Export file:</t>
  </si>
  <si>
    <t>The information in this file is distributed under the Creative Commons Attribution-NonCommercial-ShareAlike 3.0 Unported (CC BY-NC-SA 3.0) license</t>
  </si>
  <si>
    <t xml:space="preserve">For more information on the license please visit: </t>
  </si>
  <si>
    <t>https://creativecommons.org/licenses/by-nc-sa/3.0/</t>
  </si>
  <si>
    <t>The unit of the presented yield levels (YP, YW etc) is 'tons per harvested hectare at standard moisture content'</t>
  </si>
  <si>
    <t>The unit of the presented water productivity levels (WPP, WPA) is 'kg per mm water per hectare'</t>
  </si>
  <si>
    <t>The temporal coefficient of variation (CV_T) for a country gets only calculated if at least 5 years of overlapping data are available for ALL contributing climate zones</t>
  </si>
  <si>
    <t>The same rule is applied to CV_T for a climate zone: it only gets calculated if at least 5 years of overlapping data are available for ALL contributing stations</t>
  </si>
  <si>
    <t>For definitions and methods please visit the GYGA website:</t>
  </si>
  <si>
    <t>http://www.yieldgap.org/glossary</t>
  </si>
  <si>
    <t>http://www.yieldgap.org/methods-overview</t>
  </si>
  <si>
    <t xml:space="preserve">Creation date: </t>
  </si>
  <si>
    <t>11-Oct-2016</t>
  </si>
  <si>
    <t>Source:</t>
  </si>
  <si>
    <t>http://www.yieldgap.org/gygamaps/excel/GygaNigeria.xlsx</t>
  </si>
  <si>
    <t>Notes for Yield Sensitivity Sheet</t>
  </si>
  <si>
    <t>TimesrYldExpYld(T)</t>
  </si>
  <si>
    <t>actual linear trend yield. This was derived using the trend equation previously derived for each climate zone</t>
  </si>
  <si>
    <t>Detrended yldY/T=SI</t>
  </si>
  <si>
    <t>projected linear trend yield using the multiplicative detrending method</t>
  </si>
  <si>
    <t>RYVariability</t>
  </si>
  <si>
    <t>yield sensitivity i.e. projected/actual</t>
  </si>
  <si>
    <t>Notes for  TrendEqn Sheet</t>
  </si>
  <si>
    <t>The trend equations were derived using the time series data for each climate zone</t>
  </si>
  <si>
    <t>CLIMATEZONE</t>
  </si>
  <si>
    <t>Yield Trend equation</t>
  </si>
  <si>
    <t>y = 0.169x - 337.07</t>
  </si>
  <si>
    <t>y = 0.0797x - 158.27</t>
  </si>
  <si>
    <t>y = 0.0777x - 153.88</t>
  </si>
  <si>
    <t>y = 0.0624x - 123.4</t>
  </si>
  <si>
    <t>y = 0.041x - 80.197</t>
  </si>
  <si>
    <t>y = 0.0141x - 26.355</t>
  </si>
  <si>
    <t>y = -0.0482x + 98.149</t>
  </si>
  <si>
    <t>y = 0.0366x - 72.364</t>
  </si>
  <si>
    <t>y = 0.0784x - 155.91</t>
  </si>
  <si>
    <t>y = 0.0432x - 85.175</t>
  </si>
  <si>
    <t>y = -0.0423x + 86.622</t>
  </si>
  <si>
    <t>y = -0.0232x + 48.558</t>
  </si>
  <si>
    <t>CROP</t>
  </si>
  <si>
    <t>HARVEST_YEAR (X)</t>
  </si>
  <si>
    <t>YA (Y)</t>
  </si>
  <si>
    <t>YW</t>
  </si>
  <si>
    <t>YP</t>
  </si>
  <si>
    <t>WPP</t>
  </si>
  <si>
    <t>WPA</t>
  </si>
  <si>
    <t>Rainfed maize</t>
  </si>
  <si>
    <t>`</t>
  </si>
  <si>
    <t>Average of Actual_Yield (YA)</t>
  </si>
  <si>
    <t>Climate_Zone</t>
  </si>
  <si>
    <t>Harvest_Year</t>
  </si>
  <si>
    <t>Grand Total</t>
  </si>
  <si>
    <t>Grand average of all climate zone average</t>
  </si>
  <si>
    <t>Yield_Trends</t>
  </si>
  <si>
    <t>Column Labels</t>
  </si>
  <si>
    <t>Row Labels</t>
  </si>
  <si>
    <t>Avg_Actual_Yield</t>
  </si>
  <si>
    <t>Refrence</t>
  </si>
  <si>
    <t>Avg_Stress_Index</t>
  </si>
  <si>
    <t>Reference</t>
  </si>
  <si>
    <t>Avg_Yield_Gap</t>
  </si>
  <si>
    <t>Zone_Validation</t>
  </si>
  <si>
    <t>Average SI</t>
  </si>
  <si>
    <t>Crop</t>
  </si>
  <si>
    <t>Actual_Yield (YA)</t>
  </si>
  <si>
    <t>Potential_Yield (YP)</t>
  </si>
  <si>
    <t>Stress_Index</t>
  </si>
  <si>
    <t>RY_Variability</t>
  </si>
  <si>
    <t>Calculated_Yield_Gap</t>
  </si>
  <si>
    <t>Metrics</t>
  </si>
  <si>
    <t>Value</t>
  </si>
  <si>
    <t>Minimum Actual Yield</t>
  </si>
  <si>
    <t>Average Actual Yield</t>
  </si>
  <si>
    <t>Maximum Actual Yield</t>
  </si>
  <si>
    <t>Avergae Potential Yield</t>
  </si>
  <si>
    <t>Yield Gap</t>
  </si>
  <si>
    <t>Unique_Years</t>
  </si>
  <si>
    <t>Average_Actual_Yield</t>
  </si>
  <si>
    <t>To What Extent are Maize Yield Variation Across Climate Zonen in Nigeria Driven by Climate Stress Versus Management Limitations from Year 2002-2010</t>
  </si>
  <si>
    <t>Climate Zone</t>
  </si>
  <si>
    <t>Havested Year</t>
  </si>
  <si>
    <t xml:space="preserve"> </t>
  </si>
  <si>
    <t>Average of Stress_Index</t>
  </si>
  <si>
    <t>Stress Index (SI):</t>
  </si>
  <si>
    <t>Compares Actual Yield to the Expected Yield across each Year; it tells if yield outcome is inflenced by environmental conditions</t>
  </si>
  <si>
    <t>SI = Actual Yield/Expected Yield</t>
  </si>
  <si>
    <t>Condition</t>
  </si>
  <si>
    <t>Interpretation</t>
  </si>
  <si>
    <t xml:space="preserve">SI &gt; 1 </t>
  </si>
  <si>
    <t>Actual Yield &gt; Expected Yield</t>
  </si>
  <si>
    <t>SI = 1</t>
  </si>
  <si>
    <t>Actual Yield = Expected Yield</t>
  </si>
  <si>
    <t>SI &lt; 1</t>
  </si>
  <si>
    <t>Actual Yield &lt; Expected Yield</t>
  </si>
  <si>
    <t>Climate Zones</t>
  </si>
  <si>
    <t>Total Average SI</t>
  </si>
  <si>
    <t>Conditions</t>
  </si>
  <si>
    <t>Interpretations</t>
  </si>
  <si>
    <t>Yield Gap Chart</t>
  </si>
  <si>
    <t>Yield_Gap</t>
  </si>
  <si>
    <t>Yield Gap Sorted</t>
  </si>
  <si>
    <t>Average Stress index</t>
  </si>
  <si>
    <t>Unique Label</t>
  </si>
  <si>
    <t>Investment Opportunity</t>
  </si>
  <si>
    <t>Average Yield Gap</t>
  </si>
  <si>
    <t>Average of Calculated_Yield_Gap</t>
  </si>
  <si>
    <t>Label</t>
  </si>
  <si>
    <t>Mainly Climate Constraint</t>
  </si>
  <si>
    <t>Management Focus</t>
  </si>
  <si>
    <r>
      <rPr>
        <sz val="11"/>
        <color theme="1"/>
        <rFont val="Calibri"/>
        <family val="2"/>
        <scheme val="minor"/>
      </rPr>
      <t xml:space="preserve">Defined Threshold for </t>
    </r>
    <r>
      <rPr>
        <b/>
        <sz val="11"/>
        <color theme="1"/>
        <rFont val="Calibri"/>
        <family val="2"/>
        <scheme val="minor"/>
      </rPr>
      <t>Average Yield Gap</t>
    </r>
  </si>
  <si>
    <t>Minor Management Issue</t>
  </si>
  <si>
    <t>Yield_Gap_Array</t>
  </si>
  <si>
    <t>Strong Management Issue</t>
  </si>
  <si>
    <t>High</t>
  </si>
  <si>
    <t>Low</t>
  </si>
  <si>
    <t>Some Climate Stress, Moderate YP</t>
  </si>
  <si>
    <t>Medium</t>
  </si>
  <si>
    <r>
      <rPr>
        <sz val="11"/>
        <color theme="1"/>
        <rFont val="Calibri"/>
        <family val="2"/>
        <scheme val="minor"/>
      </rPr>
      <t xml:space="preserve">Defined Threshold for </t>
    </r>
    <r>
      <rPr>
        <b/>
        <sz val="11"/>
        <color theme="1"/>
        <rFont val="Calibri"/>
        <family val="2"/>
        <scheme val="minor"/>
      </rPr>
      <t>Average Stress Index</t>
    </r>
  </si>
  <si>
    <t>Both Poor Management and Climate Stress</t>
  </si>
  <si>
    <t>SI &gt; 1</t>
  </si>
  <si>
    <t>Unstressed condition</t>
  </si>
  <si>
    <t>Stressed condition</t>
  </si>
  <si>
    <t>Normal condition</t>
  </si>
  <si>
    <t>So which region needs intervention, what kind of intervention and aby, then which regions is doing well and do we still need to intervene in them. so finally what is my project question and does these provide the necesssary answer and avoid ambiguity</t>
  </si>
  <si>
    <t>Meaning</t>
  </si>
  <si>
    <t>9101, 10101</t>
  </si>
  <si>
    <t>Low YG + Climate</t>
  </si>
  <si>
    <t>Good performance limited by envoronmental conditions</t>
  </si>
  <si>
    <t>9301, 9701</t>
  </si>
  <si>
    <t>Medium YG + Management</t>
  </si>
  <si>
    <t>Improvement possible through better practices</t>
  </si>
  <si>
    <t>9401, 9901</t>
  </si>
  <si>
    <t>Low YG + Management</t>
  </si>
  <si>
    <t>Near optimal, minor imrpvement needed</t>
  </si>
  <si>
    <t>9501, 10401</t>
  </si>
  <si>
    <t>High YG + Management</t>
  </si>
  <si>
    <t>Major inefficiencies, high improvement potential</t>
  </si>
  <si>
    <t>9801, 10501, 10901</t>
  </si>
  <si>
    <t>Medium YG + Climate</t>
  </si>
  <si>
    <t>Mixed limitations, need balance intervention</t>
  </si>
  <si>
    <t>High YG + Climate</t>
  </si>
  <si>
    <t>High risk, require majore intervention</t>
  </si>
  <si>
    <t>Intervention Oppportunity</t>
  </si>
  <si>
    <t>Low YG + SI &lt; 1</t>
  </si>
  <si>
    <t>Low Oportunity</t>
  </si>
  <si>
    <t xml:space="preserve">Medium YG + SI &gt; 1 </t>
  </si>
  <si>
    <t>Good Opportunity</t>
  </si>
  <si>
    <t xml:space="preserve">Low YG + SI &gt; 1 </t>
  </si>
  <si>
    <t xml:space="preserve">High YG + SI &gt; 1 </t>
  </si>
  <si>
    <t>Highest Opportunity</t>
  </si>
  <si>
    <t>Medium YG + SI &lt; 1</t>
  </si>
  <si>
    <t>Low Opportunity</t>
  </si>
  <si>
    <t>High YG + SI &lt; 1</t>
  </si>
  <si>
    <t>Risky Opportunity</t>
  </si>
  <si>
    <t>Highest Oportunity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</si>
</sst>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0.000_ "/>
    <numFmt numFmtId="167" formatCode="0.00_ "/>
    <numFmt numFmtId="168" formatCode="0.0000"/>
  </numFmts>
  <fonts count="15">
    <font>
      <sz val="11"/>
      <color theme="1"/>
      <name val="Calibri"/>
      <charset val="134"/>
      <scheme val="minor"/>
    </font>
    <font>
      <sz val="11"/>
      <color theme="1"/>
      <name val="Calibri"/>
      <family val="2"/>
      <scheme val="minor"/>
    </font>
    <font>
      <sz val="11"/>
      <color theme="0" tint="-4.9989318521683403E-2"/>
      <name val="Calibri"/>
      <family val="2"/>
      <scheme val="minor"/>
    </font>
    <font>
      <b/>
      <sz val="16"/>
      <color theme="0" tint="-4.9989318521683403E-2"/>
      <name val="Calibri"/>
      <family val="2"/>
      <scheme val="minor"/>
    </font>
    <font>
      <b/>
      <sz val="11"/>
      <color theme="0" tint="-4.9989318521683403E-2"/>
      <name val="Calibri"/>
      <family val="2"/>
      <scheme val="minor"/>
    </font>
    <font>
      <sz val="11"/>
      <color theme="2" tint="-0.89999084444715716"/>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sz val="11"/>
      <color theme="0"/>
      <name val="Calibri"/>
      <family val="2"/>
      <scheme val="minor"/>
    </font>
    <font>
      <sz val="11"/>
      <color indexed="8"/>
      <name val="Calibri"/>
      <family val="2"/>
      <scheme val="minor"/>
    </font>
    <font>
      <sz val="11"/>
      <color theme="8" tint="0.79998168889431442"/>
      <name val="Calibri"/>
      <family val="2"/>
      <scheme val="minor"/>
    </font>
    <font>
      <b/>
      <sz val="16"/>
      <color theme="8" tint="0.79998168889431442"/>
      <name val="Calibri"/>
      <family val="2"/>
      <scheme val="minor"/>
    </font>
    <font>
      <b/>
      <sz val="11"/>
      <color theme="8" tint="0.79998168889431442"/>
      <name val="Calibri"/>
      <family val="2"/>
      <scheme val="minor"/>
    </font>
    <font>
      <b/>
      <sz val="18"/>
      <color theme="8" tint="0.79998168889431442"/>
      <name val="Calibri"/>
      <family val="2"/>
      <scheme val="minor"/>
    </font>
  </fonts>
  <fills count="23">
    <fill>
      <patternFill patternType="none"/>
    </fill>
    <fill>
      <patternFill patternType="gray125"/>
    </fill>
    <fill>
      <patternFill patternType="solid">
        <fgColor theme="2" tint="-0.499984740745262"/>
        <bgColor indexed="64"/>
      </patternFill>
    </fill>
    <fill>
      <patternFill patternType="solid">
        <fgColor theme="2" tint="-9.9978637043366805E-2"/>
        <bgColor indexed="64"/>
      </patternFill>
    </fill>
    <fill>
      <patternFill patternType="solid">
        <fgColor theme="0"/>
        <bgColor theme="4" tint="0.79995117038483843"/>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0"/>
        <bgColor indexed="64"/>
      </patternFill>
    </fill>
    <fill>
      <patternFill patternType="solid">
        <fgColor theme="6" tint="0.79998168889431442"/>
        <bgColor theme="4" tint="0.79995117038483843"/>
      </patternFill>
    </fill>
    <fill>
      <patternFill patternType="solid">
        <fgColor theme="6" tint="0.79998168889431442"/>
        <bgColor indexed="64"/>
      </patternFill>
    </fill>
    <fill>
      <patternFill patternType="solid">
        <fgColor theme="4" tint="0.79995117038483843"/>
        <bgColor theme="4" tint="0.79995117038483843"/>
      </patternFill>
    </fill>
    <fill>
      <patternFill patternType="solid">
        <fgColor theme="6" tint="0.39997558519241921"/>
        <bgColor indexed="64"/>
      </patternFill>
    </fill>
    <fill>
      <patternFill patternType="solid">
        <fgColor rgb="FF00B050"/>
        <bgColor indexed="64"/>
      </patternFill>
    </fill>
    <fill>
      <patternFill patternType="solid">
        <fgColor rgb="FFFF0000"/>
        <bgColor indexed="64"/>
      </patternFill>
    </fill>
    <fill>
      <patternFill patternType="solid">
        <fgColor theme="7" tint="0.39997558519241921"/>
        <bgColor indexed="64"/>
      </patternFill>
    </fill>
    <fill>
      <patternFill patternType="solid">
        <fgColor theme="9" tint="0.79995117038483843"/>
        <bgColor indexed="64"/>
      </patternFill>
    </fill>
    <fill>
      <patternFill patternType="solid">
        <fgColor theme="1" tint="0.499984740745262"/>
        <bgColor indexed="64"/>
      </patternFill>
    </fill>
    <fill>
      <patternFill patternType="solid">
        <fgColor theme="9" tint="0.59999389629810485"/>
        <bgColor theme="4" tint="0.79995117038483843"/>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3" tint="0.79998168889431442"/>
        <bgColor indexed="64"/>
      </patternFill>
    </fill>
  </fills>
  <borders count="36">
    <border>
      <left/>
      <right/>
      <top/>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top/>
      <bottom style="thin">
        <color auto="1"/>
      </bottom>
      <diagonal/>
    </border>
    <border>
      <left style="medium">
        <color auto="1"/>
      </left>
      <right style="medium">
        <color auto="1"/>
      </right>
      <top/>
      <bottom style="thin">
        <color auto="1"/>
      </bottom>
      <diagonal/>
    </border>
    <border>
      <left/>
      <right/>
      <top style="thin">
        <color auto="1"/>
      </top>
      <bottom style="thin">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thin">
        <color auto="1"/>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s>
  <cellStyleXfs count="2">
    <xf numFmtId="0" fontId="0" fillId="0" borderId="0"/>
    <xf numFmtId="0" fontId="10" fillId="0" borderId="0"/>
  </cellStyleXfs>
  <cellXfs count="123">
    <xf numFmtId="0" fontId="0" fillId="0" borderId="0" xfId="0"/>
    <xf numFmtId="0" fontId="2" fillId="2" borderId="0" xfId="0" applyFont="1" applyFill="1"/>
    <xf numFmtId="0" fontId="3" fillId="2" borderId="0" xfId="0" applyFont="1" applyFill="1"/>
    <xf numFmtId="0" fontId="4" fillId="2" borderId="0" xfId="0" applyFont="1" applyFill="1"/>
    <xf numFmtId="0" fontId="5" fillId="3" borderId="0" xfId="0" applyFont="1" applyFill="1" applyAlignment="1">
      <alignment horizontal="center"/>
    </xf>
    <xf numFmtId="0" fontId="4" fillId="2" borderId="1" xfId="0" applyFont="1" applyFill="1" applyBorder="1"/>
    <xf numFmtId="0" fontId="6" fillId="4" borderId="2" xfId="0" applyFont="1" applyFill="1" applyBorder="1"/>
    <xf numFmtId="0" fontId="6" fillId="0" borderId="0" xfId="0" applyFont="1"/>
    <xf numFmtId="0" fontId="6" fillId="0" borderId="3" xfId="0" applyFont="1" applyBorder="1"/>
    <xf numFmtId="0" fontId="6" fillId="0" borderId="4" xfId="0" applyFont="1" applyBorder="1"/>
    <xf numFmtId="0" fontId="0" fillId="0" borderId="5" xfId="0" applyBorder="1"/>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6" fillId="4" borderId="3" xfId="0" applyFont="1" applyFill="1" applyBorder="1"/>
    <xf numFmtId="166" fontId="0" fillId="0" borderId="13" xfId="0" applyNumberFormat="1" applyBorder="1"/>
    <xf numFmtId="166" fontId="0" fillId="0" borderId="1" xfId="0" applyNumberFormat="1" applyBorder="1"/>
    <xf numFmtId="166" fontId="0" fillId="0" borderId="14" xfId="0" applyNumberFormat="1" applyBorder="1"/>
    <xf numFmtId="166" fontId="0" fillId="0" borderId="8" xfId="0" applyNumberFormat="1" applyBorder="1"/>
    <xf numFmtId="166" fontId="0" fillId="0" borderId="15" xfId="0" applyNumberFormat="1" applyBorder="1"/>
    <xf numFmtId="166" fontId="0" fillId="0" borderId="11" xfId="0" applyNumberFormat="1" applyBorder="1"/>
    <xf numFmtId="0" fontId="0" fillId="0" borderId="3" xfId="0" applyBorder="1"/>
    <xf numFmtId="0" fontId="6" fillId="5" borderId="16" xfId="0" applyFont="1" applyFill="1" applyBorder="1" applyAlignment="1">
      <alignment horizontal="center"/>
    </xf>
    <xf numFmtId="0" fontId="6" fillId="5" borderId="17" xfId="0" applyFont="1" applyFill="1" applyBorder="1" applyAlignment="1">
      <alignment horizontal="center"/>
    </xf>
    <xf numFmtId="0" fontId="0" fillId="5" borderId="5" xfId="0" applyFill="1" applyBorder="1" applyAlignment="1">
      <alignment horizontal="center"/>
    </xf>
    <xf numFmtId="0" fontId="0" fillId="6" borderId="18" xfId="0" applyFill="1" applyBorder="1"/>
    <xf numFmtId="0" fontId="0" fillId="6" borderId="19" xfId="0" applyFill="1" applyBorder="1"/>
    <xf numFmtId="0" fontId="0" fillId="5" borderId="7" xfId="0" applyFill="1" applyBorder="1" applyAlignment="1">
      <alignment horizontal="center"/>
    </xf>
    <xf numFmtId="0" fontId="0" fillId="5" borderId="20" xfId="0" applyFill="1" applyBorder="1"/>
    <xf numFmtId="0" fontId="0" fillId="5" borderId="7" xfId="0" applyFill="1" applyBorder="1"/>
    <xf numFmtId="0" fontId="0" fillId="6" borderId="20" xfId="0" applyFill="1" applyBorder="1"/>
    <xf numFmtId="0" fontId="0" fillId="6" borderId="7" xfId="0" applyFill="1" applyBorder="1"/>
    <xf numFmtId="0" fontId="0" fillId="5" borderId="10" xfId="0" applyFill="1" applyBorder="1" applyAlignment="1">
      <alignment horizontal="center"/>
    </xf>
    <xf numFmtId="0" fontId="0" fillId="5" borderId="21" xfId="0" applyFill="1" applyBorder="1"/>
    <xf numFmtId="0" fontId="0" fillId="5" borderId="10" xfId="0" applyFill="1" applyBorder="1"/>
    <xf numFmtId="0" fontId="6" fillId="8" borderId="8" xfId="0" applyFont="1" applyFill="1" applyBorder="1"/>
    <xf numFmtId="0" fontId="0" fillId="6" borderId="8" xfId="0" applyFill="1" applyBorder="1"/>
    <xf numFmtId="0" fontId="6" fillId="6" borderId="8" xfId="0" applyFont="1" applyFill="1" applyBorder="1"/>
    <xf numFmtId="0" fontId="6" fillId="6" borderId="0" xfId="0" applyFont="1" applyFill="1"/>
    <xf numFmtId="0" fontId="0" fillId="9" borderId="0" xfId="0" applyFill="1"/>
    <xf numFmtId="0" fontId="7" fillId="9" borderId="0" xfId="0" applyFont="1" applyFill="1"/>
    <xf numFmtId="0" fontId="6" fillId="9" borderId="0" xfId="0" applyFont="1" applyFill="1"/>
    <xf numFmtId="0" fontId="0" fillId="6" borderId="0" xfId="0" applyFill="1" applyAlignment="1">
      <alignment horizontal="center"/>
    </xf>
    <xf numFmtId="0" fontId="6" fillId="9" borderId="1" xfId="0" applyFont="1" applyFill="1" applyBorder="1"/>
    <xf numFmtId="167" fontId="0" fillId="0" borderId="0" xfId="0" applyNumberFormat="1"/>
    <xf numFmtId="0" fontId="6" fillId="10" borderId="22" xfId="0" applyFont="1" applyFill="1" applyBorder="1" applyAlignment="1">
      <alignment horizontal="center"/>
    </xf>
    <xf numFmtId="0" fontId="6" fillId="10" borderId="3" xfId="0" applyFont="1" applyFill="1" applyBorder="1" applyAlignment="1">
      <alignment horizontal="center"/>
    </xf>
    <xf numFmtId="0" fontId="6" fillId="11" borderId="19" xfId="0" applyFont="1" applyFill="1" applyBorder="1" applyAlignment="1">
      <alignment horizontal="center"/>
    </xf>
    <xf numFmtId="0" fontId="6" fillId="11" borderId="7" xfId="0" applyFont="1" applyFill="1" applyBorder="1" applyAlignment="1">
      <alignment horizontal="center"/>
    </xf>
    <xf numFmtId="0" fontId="6" fillId="11" borderId="10" xfId="0" applyFont="1" applyFill="1" applyBorder="1" applyAlignment="1">
      <alignment horizontal="center"/>
    </xf>
    <xf numFmtId="0" fontId="6" fillId="10" borderId="23" xfId="0" applyFont="1" applyFill="1" applyBorder="1" applyAlignment="1">
      <alignment horizontal="center"/>
    </xf>
    <xf numFmtId="0" fontId="6" fillId="12" borderId="16" xfId="0" applyFont="1" applyFill="1" applyBorder="1"/>
    <xf numFmtId="166" fontId="0" fillId="0" borderId="6" xfId="0" applyNumberFormat="1" applyBorder="1"/>
    <xf numFmtId="166" fontId="6" fillId="8" borderId="19" xfId="0" applyNumberFormat="1" applyFont="1" applyFill="1" applyBorder="1"/>
    <xf numFmtId="166" fontId="0" fillId="0" borderId="9" xfId="0" applyNumberFormat="1" applyBorder="1"/>
    <xf numFmtId="166" fontId="6" fillId="8" borderId="7" xfId="0" applyNumberFormat="1" applyFont="1" applyFill="1" applyBorder="1"/>
    <xf numFmtId="0" fontId="6" fillId="13" borderId="24" xfId="0" applyFont="1" applyFill="1" applyBorder="1" applyAlignment="1">
      <alignment horizontal="center"/>
    </xf>
    <xf numFmtId="0" fontId="6" fillId="13" borderId="4" xfId="0" applyFont="1" applyFill="1" applyBorder="1" applyAlignment="1">
      <alignment horizontal="center"/>
    </xf>
    <xf numFmtId="0" fontId="6" fillId="13" borderId="25" xfId="0" applyFont="1" applyFill="1" applyBorder="1" applyAlignment="1">
      <alignment horizontal="center"/>
    </xf>
    <xf numFmtId="0" fontId="6" fillId="14" borderId="26" xfId="0" applyFont="1" applyFill="1" applyBorder="1"/>
    <xf numFmtId="0" fontId="6" fillId="13" borderId="27" xfId="0" applyFont="1" applyFill="1" applyBorder="1" applyAlignment="1">
      <alignment horizontal="center"/>
    </xf>
    <xf numFmtId="0" fontId="6" fillId="8" borderId="27" xfId="0" applyFont="1" applyFill="1" applyBorder="1"/>
    <xf numFmtId="0" fontId="6" fillId="13" borderId="28" xfId="0" applyFont="1" applyFill="1" applyBorder="1" applyAlignment="1">
      <alignment horizontal="center"/>
    </xf>
    <xf numFmtId="0" fontId="6" fillId="15" borderId="28" xfId="0" applyFont="1" applyFill="1" applyBorder="1"/>
    <xf numFmtId="166" fontId="0" fillId="0" borderId="12" xfId="0" applyNumberFormat="1" applyBorder="1"/>
    <xf numFmtId="166" fontId="6" fillId="8" borderId="10" xfId="0" applyNumberFormat="1" applyFont="1" applyFill="1" applyBorder="1"/>
    <xf numFmtId="0" fontId="6" fillId="0" borderId="8" xfId="0" applyFont="1" applyBorder="1"/>
    <xf numFmtId="166" fontId="0" fillId="0" borderId="0" xfId="0" applyNumberFormat="1"/>
    <xf numFmtId="0" fontId="6" fillId="0" borderId="2" xfId="0" applyFont="1" applyBorder="1"/>
    <xf numFmtId="0" fontId="6" fillId="16" borderId="27" xfId="0" applyFont="1" applyFill="1" applyBorder="1"/>
    <xf numFmtId="0" fontId="8" fillId="0" borderId="0" xfId="0" applyFont="1"/>
    <xf numFmtId="0" fontId="0" fillId="17" borderId="0" xfId="0" applyFill="1" applyAlignment="1">
      <alignment horizontal="center"/>
    </xf>
    <xf numFmtId="0" fontId="9" fillId="18" borderId="0" xfId="0" applyFont="1" applyFill="1" applyAlignment="1">
      <alignment horizontal="center"/>
    </xf>
    <xf numFmtId="168" fontId="0" fillId="0" borderId="0" xfId="0" applyNumberFormat="1"/>
    <xf numFmtId="0" fontId="0" fillId="18" borderId="0" xfId="0" applyFill="1"/>
    <xf numFmtId="2" fontId="0" fillId="0" borderId="0" xfId="0" applyNumberFormat="1"/>
    <xf numFmtId="0" fontId="0" fillId="0" borderId="29" xfId="0" applyBorder="1"/>
    <xf numFmtId="168" fontId="0" fillId="0" borderId="6" xfId="0" applyNumberFormat="1" applyBorder="1"/>
    <xf numFmtId="0" fontId="0" fillId="0" borderId="30" xfId="0" applyBorder="1"/>
    <xf numFmtId="168" fontId="0" fillId="0" borderId="9" xfId="0" applyNumberFormat="1" applyBorder="1"/>
    <xf numFmtId="0" fontId="0" fillId="0" borderId="31" xfId="0" applyBorder="1"/>
    <xf numFmtId="168" fontId="0" fillId="0" borderId="12" xfId="0" applyNumberFormat="1" applyBorder="1"/>
    <xf numFmtId="0" fontId="0" fillId="0" borderId="0" xfId="0" applyAlignment="1">
      <alignment horizontal="left"/>
    </xf>
    <xf numFmtId="0" fontId="6" fillId="19" borderId="2" xfId="0" applyFont="1" applyFill="1" applyBorder="1" applyAlignment="1">
      <alignment horizontal="center"/>
    </xf>
    <xf numFmtId="0" fontId="6" fillId="19" borderId="3" xfId="0" applyFont="1" applyFill="1" applyBorder="1"/>
    <xf numFmtId="0" fontId="0" fillId="5" borderId="5" xfId="0" applyFill="1" applyBorder="1"/>
    <xf numFmtId="166" fontId="0" fillId="20" borderId="13" xfId="0" applyNumberFormat="1" applyFill="1" applyBorder="1"/>
    <xf numFmtId="166" fontId="0" fillId="20" borderId="1" xfId="0" applyNumberFormat="1" applyFill="1" applyBorder="1"/>
    <xf numFmtId="166" fontId="0" fillId="20" borderId="14" xfId="0" applyNumberFormat="1" applyFill="1" applyBorder="1"/>
    <xf numFmtId="166" fontId="0" fillId="20" borderId="8" xfId="0" applyNumberFormat="1" applyFill="1" applyBorder="1"/>
    <xf numFmtId="166" fontId="0" fillId="20" borderId="15" xfId="0" applyNumberFormat="1" applyFill="1" applyBorder="1"/>
    <xf numFmtId="166" fontId="0" fillId="20" borderId="11" xfId="0" applyNumberFormat="1" applyFill="1" applyBorder="1"/>
    <xf numFmtId="0" fontId="6" fillId="5" borderId="32" xfId="0" applyFont="1" applyFill="1" applyBorder="1" applyAlignment="1">
      <alignment horizontal="center"/>
    </xf>
    <xf numFmtId="166" fontId="0" fillId="20" borderId="33" xfId="0" applyNumberFormat="1" applyFill="1" applyBorder="1"/>
    <xf numFmtId="0" fontId="0" fillId="21" borderId="5" xfId="0" applyFill="1" applyBorder="1"/>
    <xf numFmtId="166" fontId="0" fillId="20" borderId="34" xfId="0" applyNumberFormat="1" applyFill="1" applyBorder="1"/>
    <xf numFmtId="0" fontId="0" fillId="21" borderId="7" xfId="0" applyFill="1" applyBorder="1"/>
    <xf numFmtId="166" fontId="0" fillId="20" borderId="35" xfId="0" applyNumberFormat="1" applyFill="1" applyBorder="1"/>
    <xf numFmtId="0" fontId="0" fillId="21" borderId="10" xfId="0" applyFill="1" applyBorder="1"/>
    <xf numFmtId="0" fontId="0" fillId="6" borderId="0" xfId="0" applyFill="1"/>
    <xf numFmtId="0" fontId="10" fillId="0" borderId="0" xfId="1"/>
    <xf numFmtId="0" fontId="6" fillId="0" borderId="0" xfId="0" applyFont="1" applyAlignment="1">
      <alignment horizontal="center"/>
    </xf>
    <xf numFmtId="0" fontId="0" fillId="0" borderId="0" xfId="0" applyAlignment="1">
      <alignment horizontal="center"/>
    </xf>
    <xf numFmtId="0" fontId="0" fillId="7" borderId="0" xfId="0" applyFill="1" applyAlignment="1">
      <alignment horizontal="center"/>
    </xf>
    <xf numFmtId="0" fontId="6" fillId="4" borderId="8" xfId="0" applyFont="1" applyFill="1" applyBorder="1"/>
    <xf numFmtId="166" fontId="0" fillId="0" borderId="34" xfId="0" applyNumberFormat="1" applyBorder="1"/>
    <xf numFmtId="0" fontId="0" fillId="0" borderId="14" xfId="0" applyBorder="1"/>
    <xf numFmtId="0" fontId="6" fillId="0" borderId="14" xfId="0" applyFont="1" applyBorder="1"/>
    <xf numFmtId="0" fontId="1" fillId="0" borderId="9" xfId="0" applyFont="1" applyBorder="1"/>
    <xf numFmtId="0" fontId="1" fillId="0" borderId="6" xfId="0" applyFont="1" applyBorder="1"/>
    <xf numFmtId="0" fontId="0" fillId="0" borderId="13" xfId="0" applyBorder="1"/>
    <xf numFmtId="0" fontId="0" fillId="0" borderId="15" xfId="0" applyBorder="1"/>
    <xf numFmtId="0" fontId="11" fillId="22" borderId="0" xfId="0" applyFont="1" applyFill="1" applyProtection="1">
      <protection hidden="1"/>
    </xf>
    <xf numFmtId="0" fontId="12" fillId="22" borderId="0" xfId="0" applyFont="1" applyFill="1" applyProtection="1">
      <protection hidden="1"/>
    </xf>
    <xf numFmtId="0" fontId="13" fillId="22" borderId="0" xfId="0" applyFont="1" applyFill="1" applyProtection="1">
      <protection hidden="1"/>
    </xf>
    <xf numFmtId="0" fontId="13" fillId="22" borderId="1" xfId="0" applyFont="1" applyFill="1" applyBorder="1" applyProtection="1">
      <protection hidden="1"/>
    </xf>
    <xf numFmtId="0" fontId="1" fillId="22" borderId="0" xfId="0" applyFont="1" applyFill="1" applyProtection="1">
      <protection hidden="1"/>
    </xf>
    <xf numFmtId="0" fontId="14" fillId="22" borderId="0" xfId="0" applyFont="1" applyFill="1" applyAlignment="1" applyProtection="1">
      <alignment horizontal="center" vertical="center"/>
      <protection hidden="1"/>
    </xf>
  </cellXfs>
  <cellStyles count="2">
    <cellStyle name="Normal" xfId="0" builtinId="0"/>
    <cellStyle name="Normal 2" xfId="1" xr:uid="{00000000-0005-0000-0000-000031000000}"/>
  </cellStyles>
  <dxfs count="109">
    <dxf>
      <fill>
        <gradientFill degree="90">
          <stop position="0">
            <color theme="0"/>
          </stop>
          <stop position="1">
            <color rgb="FFFF0000"/>
          </stop>
        </gradientFill>
      </fill>
    </dxf>
    <dxf>
      <fill>
        <patternFill patternType="solid">
          <bgColor theme="7" tint="0.79998168889431442"/>
        </patternFill>
      </fill>
    </dxf>
    <dxf>
      <fill>
        <gradientFill degree="90">
          <stop position="0">
            <color theme="0"/>
          </stop>
          <stop position="1">
            <color rgb="FF00B050"/>
          </stop>
        </gradientFill>
      </fill>
    </dxf>
    <dxf>
      <fill>
        <patternFill patternType="solid">
          <bgColor rgb="FFFF0000"/>
        </patternFill>
      </fill>
    </dxf>
    <dxf>
      <fill>
        <gradientFill degree="90">
          <stop position="0">
            <color theme="0"/>
          </stop>
          <stop position="1">
            <color rgb="FFFF0000"/>
          </stop>
        </gradientFill>
      </fill>
    </dxf>
    <dxf>
      <fill>
        <patternFill patternType="solid">
          <bgColor theme="7" tint="0.39997558519241921"/>
        </patternFill>
      </fill>
    </dxf>
    <dxf>
      <fill>
        <gradientFill degree="90">
          <stop position="0">
            <color theme="0"/>
          </stop>
          <stop position="1">
            <color rgb="FF00B050"/>
          </stop>
        </gradientFill>
      </fill>
    </dxf>
    <dxf>
      <fill>
        <patternFill patternType="solid">
          <bgColor rgb="FFFF0000"/>
        </patternFill>
      </fill>
    </dxf>
    <dxf>
      <font>
        <b/>
      </font>
    </dxf>
    <dxf>
      <font>
        <b/>
      </font>
    </dxf>
    <dxf>
      <font>
        <b/>
      </font>
    </dxf>
    <dxf>
      <font>
        <b/>
      </font>
    </dxf>
    <dxf>
      <font>
        <b/>
      </font>
    </dxf>
    <dxf>
      <font>
        <b/>
      </font>
    </dxf>
    <dxf>
      <font>
        <b/>
      </font>
    </dxf>
    <dxf>
      <font>
        <b/>
      </font>
    </dxf>
    <dxf>
      <font>
        <b/>
      </font>
    </dxf>
    <dxf>
      <font>
        <b/>
      </font>
    </dxf>
    <dxf>
      <font>
        <b/>
      </font>
    </dxf>
    <dxf>
      <font>
        <b/>
      </font>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top/>
      </border>
    </dxf>
    <dxf>
      <border>
        <top/>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numFmt numFmtId="166" formatCode="0.000_ "/>
    </dxf>
    <dxf>
      <numFmt numFmtId="167" formatCode="0.00_ "/>
    </dxf>
    <dxf>
      <numFmt numFmtId="166" formatCode="0.000_ "/>
    </dxf>
    <dxf>
      <numFmt numFmtId="174" formatCode="0.0000_ "/>
    </dxf>
    <dxf>
      <numFmt numFmtId="173" formatCode="0.00000_ "/>
    </dxf>
    <dxf>
      <numFmt numFmtId="172" formatCode="0.000000_ "/>
    </dxf>
    <dxf>
      <numFmt numFmtId="171" formatCode="0.0000000_ "/>
    </dxf>
    <dxf>
      <numFmt numFmtId="169" formatCode="0.00000000_ "/>
    </dxf>
    <dxf>
      <numFmt numFmtId="170" formatCode="0.000000000_ "/>
    </dxf>
    <dxf>
      <numFmt numFmtId="169" formatCode="0.00000000_ "/>
    </dxf>
    <dxf>
      <numFmt numFmtId="0" formatCode="General"/>
    </dxf>
    <dxf>
      <numFmt numFmtId="168" formatCode="0.0000"/>
    </dxf>
    <dxf>
      <numFmt numFmtId="168" formatCode="0.0000"/>
    </dxf>
    <dxf>
      <numFmt numFmtId="2" formatCode="0.00"/>
    </dxf>
    <dxf>
      <numFmt numFmtId="2" formatCode="0.00"/>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left style="thin">
          <color indexed="0"/>
        </left>
        <right style="thin">
          <color indexed="0"/>
        </right>
        <top style="thin">
          <color indexed="0"/>
        </top>
        <bottom style="thin">
          <color indexed="0"/>
        </bottom>
      </border>
    </dxf>
    <dxf>
      <border>
        <top/>
      </border>
    </dxf>
    <dxf>
      <border>
        <top/>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
      <border>
        <bottom/>
      </border>
    </dxf>
  </dxfs>
  <tableStyles count="0" defaultTableStyle="TableStyleMedium2" defaultPivotStyle="PivotStyleLight16"/>
  <colors>
    <mruColors>
      <color rgb="FF66FF99"/>
      <color rgb="FFF7FB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[Rainfed_Excel_Analysis.xlsx]Yield_Chart_Used!PivotTable1</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Yield Trend Across Year 2002-2010 for the Highest and Lowest Performing Regions </a:t>
            </a:r>
          </a:p>
        </c:rich>
      </c:tx>
      <c:layout>
        <c:manualLayout>
          <c:xMode val="edge"/>
          <c:yMode val="edge"/>
          <c:x val="9.3213371077812995E-2"/>
          <c:y val="6.88239555662883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Yield_Chart_Used!$B$3:$B$4</c:f>
              <c:strCache>
                <c:ptCount val="1"/>
                <c:pt idx="0">
                  <c:v>9101</c:v>
                </c:pt>
              </c:strCache>
            </c:strRef>
          </c:tx>
          <c:spPr>
            <a:ln w="28575" cap="rnd">
              <a:solidFill>
                <a:schemeClr val="accent6">
                  <a:lumMod val="50000"/>
                </a:schemeClr>
              </a:solidFill>
              <a:round/>
            </a:ln>
            <a:effectLst/>
          </c:spPr>
          <c:marker>
            <c:symbol val="none"/>
          </c:marker>
          <c:cat>
            <c:strRef>
              <c:f>Yield_Chart_Used!$A$5:$A$14</c:f>
              <c:strCache>
                <c:ptCount val="9"/>
                <c:pt idx="0">
                  <c:v>2002</c:v>
                </c:pt>
                <c:pt idx="1">
                  <c:v>2003</c:v>
                </c:pt>
                <c:pt idx="2">
                  <c:v>2004</c:v>
                </c:pt>
                <c:pt idx="3">
                  <c:v>2005</c:v>
                </c:pt>
                <c:pt idx="4">
                  <c:v>2006</c:v>
                </c:pt>
                <c:pt idx="5">
                  <c:v>2007</c:v>
                </c:pt>
                <c:pt idx="6">
                  <c:v>2008</c:v>
                </c:pt>
                <c:pt idx="7">
                  <c:v>2009</c:v>
                </c:pt>
                <c:pt idx="8">
                  <c:v>2010</c:v>
                </c:pt>
              </c:strCache>
            </c:strRef>
          </c:cat>
          <c:val>
            <c:numRef>
              <c:f>Yield_Chart_Used!$B$5:$B$14</c:f>
              <c:numCache>
                <c:formatCode>General</c:formatCode>
                <c:ptCount val="9"/>
                <c:pt idx="0">
                  <c:v>1.5</c:v>
                </c:pt>
                <c:pt idx="1">
                  <c:v>1.4</c:v>
                </c:pt>
                <c:pt idx="2">
                  <c:v>1.4</c:v>
                </c:pt>
                <c:pt idx="3">
                  <c:v>1.5</c:v>
                </c:pt>
                <c:pt idx="4">
                  <c:v>1.7</c:v>
                </c:pt>
                <c:pt idx="5">
                  <c:v>1.8</c:v>
                </c:pt>
                <c:pt idx="6">
                  <c:v>2.4809999999999999</c:v>
                </c:pt>
                <c:pt idx="7">
                  <c:v>2.492</c:v>
                </c:pt>
                <c:pt idx="8">
                  <c:v>2.6</c:v>
                </c:pt>
              </c:numCache>
            </c:numRef>
          </c:val>
          <c:smooth val="0"/>
          <c:extLst>
            <c:ext xmlns:c16="http://schemas.microsoft.com/office/drawing/2014/chart" uri="{C3380CC4-5D6E-409C-BE32-E72D297353CC}">
              <c16:uniqueId val="{00000000-8385-4ACB-99E0-793807EAF5B3}"/>
            </c:ext>
          </c:extLst>
        </c:ser>
        <c:ser>
          <c:idx val="1"/>
          <c:order val="1"/>
          <c:tx>
            <c:strRef>
              <c:f>Yield_Chart_Used!$C$3:$C$4</c:f>
              <c:strCache>
                <c:ptCount val="1"/>
                <c:pt idx="0">
                  <c:v>9301</c:v>
                </c:pt>
              </c:strCache>
            </c:strRef>
          </c:tx>
          <c:spPr>
            <a:ln w="28575" cap="rnd">
              <a:solidFill>
                <a:schemeClr val="accent2"/>
              </a:solidFill>
              <a:round/>
            </a:ln>
            <a:effectLst/>
          </c:spPr>
          <c:marker>
            <c:symbol val="none"/>
          </c:marker>
          <c:cat>
            <c:strRef>
              <c:f>Yield_Chart_Used!$A$5:$A$14</c:f>
              <c:strCache>
                <c:ptCount val="9"/>
                <c:pt idx="0">
                  <c:v>2002</c:v>
                </c:pt>
                <c:pt idx="1">
                  <c:v>2003</c:v>
                </c:pt>
                <c:pt idx="2">
                  <c:v>2004</c:v>
                </c:pt>
                <c:pt idx="3">
                  <c:v>2005</c:v>
                </c:pt>
                <c:pt idx="4">
                  <c:v>2006</c:v>
                </c:pt>
                <c:pt idx="5">
                  <c:v>2007</c:v>
                </c:pt>
                <c:pt idx="6">
                  <c:v>2008</c:v>
                </c:pt>
                <c:pt idx="7">
                  <c:v>2009</c:v>
                </c:pt>
                <c:pt idx="8">
                  <c:v>2010</c:v>
                </c:pt>
              </c:strCache>
            </c:strRef>
          </c:cat>
          <c:val>
            <c:numRef>
              <c:f>Yield_Chart_Used!$C$5:$C$14</c:f>
              <c:numCache>
                <c:formatCode>General</c:formatCode>
                <c:ptCount val="9"/>
                <c:pt idx="0">
                  <c:v>1.6</c:v>
                </c:pt>
                <c:pt idx="1">
                  <c:v>1.5</c:v>
                </c:pt>
                <c:pt idx="2">
                  <c:v>1.4</c:v>
                </c:pt>
                <c:pt idx="3">
                  <c:v>1.5</c:v>
                </c:pt>
                <c:pt idx="4">
                  <c:v>1.5</c:v>
                </c:pt>
                <c:pt idx="5">
                  <c:v>1.6</c:v>
                </c:pt>
                <c:pt idx="6">
                  <c:v>1.671</c:v>
                </c:pt>
                <c:pt idx="7">
                  <c:v>2.3490000000000002</c:v>
                </c:pt>
              </c:numCache>
            </c:numRef>
          </c:val>
          <c:smooth val="0"/>
          <c:extLst>
            <c:ext xmlns:c16="http://schemas.microsoft.com/office/drawing/2014/chart" uri="{C3380CC4-5D6E-409C-BE32-E72D297353CC}">
              <c16:uniqueId val="{00000001-8385-4ACB-99E0-793807EAF5B3}"/>
            </c:ext>
          </c:extLst>
        </c:ser>
        <c:dLbls>
          <c:showLegendKey val="0"/>
          <c:showVal val="0"/>
          <c:showCatName val="0"/>
          <c:showSerName val="0"/>
          <c:showPercent val="0"/>
          <c:showBubbleSize val="0"/>
        </c:dLbls>
        <c:smooth val="0"/>
        <c:axId val="709556714"/>
        <c:axId val="471388230"/>
      </c:lineChart>
      <c:catAx>
        <c:axId val="70955671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71388230"/>
        <c:crosses val="autoZero"/>
        <c:auto val="1"/>
        <c:lblAlgn val="ctr"/>
        <c:lblOffset val="100"/>
        <c:noMultiLvlLbl val="0"/>
      </c:catAx>
      <c:valAx>
        <c:axId val="47138823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09556714"/>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929473d-d240-4e31-9caa-3021f372917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Actual</a:t>
            </a:r>
            <a:r>
              <a:rPr lang="en-US" baseline="0"/>
              <a:t> Yield Trend Across Harvested Years</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6"/>
              </a:solidFill>
              <a:round/>
            </a:ln>
            <a:effectLst/>
          </c:spPr>
          <c:marker>
            <c:symbol val="none"/>
          </c:marker>
          <c:cat>
            <c:numRef>
              <c:f>Validation_year_YAChart!$B$3:$B$11</c:f>
              <c:numCache>
                <c:formatCode>General</c:formatCode>
                <c:ptCount val="9"/>
                <c:pt idx="0">
                  <c:v>2002</c:v>
                </c:pt>
                <c:pt idx="1">
                  <c:v>2003</c:v>
                </c:pt>
                <c:pt idx="2">
                  <c:v>2004</c:v>
                </c:pt>
                <c:pt idx="3">
                  <c:v>2005</c:v>
                </c:pt>
                <c:pt idx="4">
                  <c:v>2006</c:v>
                </c:pt>
                <c:pt idx="5">
                  <c:v>2007</c:v>
                </c:pt>
                <c:pt idx="6">
                  <c:v>2008</c:v>
                </c:pt>
                <c:pt idx="7">
                  <c:v>2009</c:v>
                </c:pt>
                <c:pt idx="8">
                  <c:v>2010</c:v>
                </c:pt>
              </c:numCache>
            </c:numRef>
          </c:cat>
          <c:val>
            <c:numRef>
              <c:f>Validation_year_YAChart!$C$3:$C$11</c:f>
              <c:numCache>
                <c:formatCode>General</c:formatCode>
                <c:ptCount val="9"/>
                <c:pt idx="0">
                  <c:v>2.2000000000000002</c:v>
                </c:pt>
                <c:pt idx="1">
                  <c:v>2.1</c:v>
                </c:pt>
                <c:pt idx="2">
                  <c:v>2.1</c:v>
                </c:pt>
                <c:pt idx="3">
                  <c:v>2.1</c:v>
                </c:pt>
                <c:pt idx="4">
                  <c:v>1.9</c:v>
                </c:pt>
                <c:pt idx="5">
                  <c:v>1.9</c:v>
                </c:pt>
                <c:pt idx="6">
                  <c:v>1.929</c:v>
                </c:pt>
                <c:pt idx="7">
                  <c:v>2.355</c:v>
                </c:pt>
                <c:pt idx="8">
                  <c:v>2.76</c:v>
                </c:pt>
              </c:numCache>
            </c:numRef>
          </c:val>
          <c:smooth val="0"/>
          <c:extLst>
            <c:ext xmlns:c16="http://schemas.microsoft.com/office/drawing/2014/chart" uri="{C3380CC4-5D6E-409C-BE32-E72D297353CC}">
              <c16:uniqueId val="{00000000-1537-4FE1-BF4B-A8B6AFFD541A}"/>
            </c:ext>
          </c:extLst>
        </c:ser>
        <c:dLbls>
          <c:showLegendKey val="0"/>
          <c:showVal val="0"/>
          <c:showCatName val="0"/>
          <c:showSerName val="0"/>
          <c:showPercent val="0"/>
          <c:showBubbleSize val="0"/>
        </c:dLbls>
        <c:smooth val="0"/>
        <c:axId val="53165712"/>
        <c:axId val="55379600"/>
      </c:lineChart>
      <c:catAx>
        <c:axId val="5316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5379600"/>
        <c:crosses val="autoZero"/>
        <c:auto val="1"/>
        <c:lblAlgn val="ctr"/>
        <c:lblOffset val="100"/>
        <c:noMultiLvlLbl val="0"/>
      </c:catAx>
      <c:valAx>
        <c:axId val="5537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3165712"/>
        <c:crosses val="autoZero"/>
        <c:crossBetween val="between"/>
      </c:valAx>
      <c:spPr>
        <a:noFill/>
        <a:ln>
          <a:noFill/>
        </a:ln>
        <a:effectLst/>
      </c:spPr>
    </c:plotArea>
    <c:plotVisOnly val="1"/>
    <c:dispBlanksAs val="gap"/>
    <c:showDLblsOverMax val="0"/>
    <c:extLst>
      <c:ext uri="{0b15fc19-7d7d-44ad-8c2d-2c3a37ce22c3}">
        <chartProps xmlns="https://web.wps.cn/et/2018/main" chartId="{ce220b01-e8a1-4953-965f-5dd50d595c18}"/>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Average</a:t>
            </a:r>
            <a:r>
              <a:rPr lang="en-US" baseline="0"/>
              <a:t> Yield Gap Across Each Zone</a:t>
            </a:r>
          </a:p>
        </c:rich>
      </c:tx>
      <c:layout>
        <c:manualLayout>
          <c:xMode val="edge"/>
          <c:yMode val="edge"/>
          <c:x val="0.15733318424769399"/>
          <c:y val="5.5210477992321001E-3"/>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936319992745001"/>
          <c:y val="0.160607280479662"/>
          <c:w val="0.79972474119128001"/>
          <c:h val="0.71131397459796297"/>
        </c:manualLayout>
      </c:layout>
      <c:barChart>
        <c:barDir val="bar"/>
        <c:grouping val="clustered"/>
        <c:varyColors val="0"/>
        <c:ser>
          <c:idx val="0"/>
          <c:order val="0"/>
          <c:spPr>
            <a:solidFill>
              <a:schemeClr val="accent6">
                <a:tint val="77000"/>
              </a:schemeClr>
            </a:solidFill>
            <a:ln>
              <a:noFill/>
            </a:ln>
            <a:effectLst/>
          </c:spPr>
          <c:invertIfNegative val="0"/>
          <c:dLbls>
            <c:dLbl>
              <c:idx val="7"/>
              <c:numFmt formatCode="0.0;[Red]0.0" sourceLinked="0"/>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4.2453853442976502E-2"/>
                      <c:h val="4.9606831840187E-2"/>
                    </c:manualLayout>
                  </c15:layout>
                </c:ext>
                <c:ext xmlns:c16="http://schemas.microsoft.com/office/drawing/2014/chart" uri="{C3380CC4-5D6E-409C-BE32-E72D297353CC}">
                  <c16:uniqueId val="{00000000-1E80-4C5B-A144-669BD0473C5F}"/>
                </c:ext>
              </c:extLst>
            </c:dLbl>
            <c:numFmt formatCode="0.0;[Red]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Yield_Gap_Chart!$A$3:$A$14</c:f>
              <c:numCache>
                <c:formatCode>General</c:formatCode>
                <c:ptCount val="12"/>
                <c:pt idx="0">
                  <c:v>9101</c:v>
                </c:pt>
                <c:pt idx="1">
                  <c:v>9301</c:v>
                </c:pt>
                <c:pt idx="2">
                  <c:v>9401</c:v>
                </c:pt>
                <c:pt idx="3">
                  <c:v>9501</c:v>
                </c:pt>
                <c:pt idx="4">
                  <c:v>9701</c:v>
                </c:pt>
                <c:pt idx="5">
                  <c:v>9801</c:v>
                </c:pt>
                <c:pt idx="6">
                  <c:v>9901</c:v>
                </c:pt>
                <c:pt idx="7">
                  <c:v>10101</c:v>
                </c:pt>
                <c:pt idx="8">
                  <c:v>10301</c:v>
                </c:pt>
                <c:pt idx="9">
                  <c:v>10401</c:v>
                </c:pt>
                <c:pt idx="10">
                  <c:v>10501</c:v>
                </c:pt>
                <c:pt idx="11">
                  <c:v>10901</c:v>
                </c:pt>
              </c:numCache>
            </c:numRef>
          </c:cat>
          <c:val>
            <c:numRef>
              <c:f>Yield_Gap_Chart!$G$3:$G$14</c:f>
              <c:numCache>
                <c:formatCode>General</c:formatCode>
                <c:ptCount val="12"/>
                <c:pt idx="0">
                  <c:v>9.5749999999999993</c:v>
                </c:pt>
                <c:pt idx="1">
                  <c:v>9.8128223501127003</c:v>
                </c:pt>
                <c:pt idx="2">
                  <c:v>11.4033977348566</c:v>
                </c:pt>
                <c:pt idx="3">
                  <c:v>11.6938888888889</c:v>
                </c:pt>
                <c:pt idx="4">
                  <c:v>#N/A</c:v>
                </c:pt>
                <c:pt idx="5">
                  <c:v>12.842555555555601</c:v>
                </c:pt>
                <c:pt idx="6">
                  <c:v>12.9704444444444</c:v>
                </c:pt>
                <c:pt idx="7">
                  <c:v>13.2062222222222</c:v>
                </c:pt>
                <c:pt idx="8">
                  <c:v>13.4871111111111</c:v>
                </c:pt>
                <c:pt idx="9">
                  <c:v>13.561282944991</c:v>
                </c:pt>
                <c:pt idx="10">
                  <c:v>13.6415555555556</c:v>
                </c:pt>
                <c:pt idx="11">
                  <c:v>13.976600877872601</c:v>
                </c:pt>
              </c:numCache>
            </c:numRef>
          </c:val>
          <c:extLst>
            <c:ext xmlns:c16="http://schemas.microsoft.com/office/drawing/2014/chart" uri="{C3380CC4-5D6E-409C-BE32-E72D297353CC}">
              <c16:uniqueId val="{00000001-1E80-4C5B-A144-669BD0473C5F}"/>
            </c:ext>
          </c:extLst>
        </c:ser>
        <c:ser>
          <c:idx val="1"/>
          <c:order val="1"/>
          <c:spPr>
            <a:solidFill>
              <a:schemeClr val="accent6">
                <a:shade val="76000"/>
              </a:schemeClr>
            </a:solidFill>
            <a:ln>
              <a:noFill/>
            </a:ln>
            <a:effectLst/>
          </c:spPr>
          <c:invertIfNegative val="0"/>
          <c:cat>
            <c:numRef>
              <c:f>Yield_Gap_Chart!$A$3:$A$14</c:f>
              <c:numCache>
                <c:formatCode>General</c:formatCode>
                <c:ptCount val="12"/>
                <c:pt idx="0">
                  <c:v>9101</c:v>
                </c:pt>
                <c:pt idx="1">
                  <c:v>9301</c:v>
                </c:pt>
                <c:pt idx="2">
                  <c:v>9401</c:v>
                </c:pt>
                <c:pt idx="3">
                  <c:v>9501</c:v>
                </c:pt>
                <c:pt idx="4">
                  <c:v>9701</c:v>
                </c:pt>
                <c:pt idx="5">
                  <c:v>9801</c:v>
                </c:pt>
                <c:pt idx="6">
                  <c:v>9901</c:v>
                </c:pt>
                <c:pt idx="7">
                  <c:v>10101</c:v>
                </c:pt>
                <c:pt idx="8">
                  <c:v>10301</c:v>
                </c:pt>
                <c:pt idx="9">
                  <c:v>10401</c:v>
                </c:pt>
                <c:pt idx="10">
                  <c:v>10501</c:v>
                </c:pt>
                <c:pt idx="11">
                  <c:v>10901</c:v>
                </c:pt>
              </c:numCache>
            </c:numRef>
          </c:cat>
          <c:val>
            <c:numRef>
              <c:f>Yield_Gap_Chart!$H$3:$H$14</c:f>
              <c:numCache>
                <c:formatCode>General</c:formatCode>
                <c:ptCount val="12"/>
                <c:pt idx="0">
                  <c:v>#N/A</c:v>
                </c:pt>
                <c:pt idx="1">
                  <c:v>#N/A</c:v>
                </c:pt>
                <c:pt idx="2">
                  <c:v>#N/A</c:v>
                </c:pt>
                <c:pt idx="3">
                  <c:v>#N/A</c:v>
                </c:pt>
                <c:pt idx="4">
                  <c:v>12.535</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2-1E80-4C5B-A144-669BD0473C5F}"/>
            </c:ext>
          </c:extLst>
        </c:ser>
        <c:dLbls>
          <c:showLegendKey val="0"/>
          <c:showVal val="0"/>
          <c:showCatName val="0"/>
          <c:showSerName val="0"/>
          <c:showPercent val="0"/>
          <c:showBubbleSize val="0"/>
        </c:dLbls>
        <c:gapWidth val="182"/>
        <c:axId val="134501888"/>
        <c:axId val="134502368"/>
      </c:barChart>
      <c:catAx>
        <c:axId val="13450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34502368"/>
        <c:crosses val="autoZero"/>
        <c:auto val="1"/>
        <c:lblAlgn val="ctr"/>
        <c:lblOffset val="100"/>
        <c:noMultiLvlLbl val="0"/>
      </c:catAx>
      <c:valAx>
        <c:axId val="134502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34501888"/>
        <c:crosses val="autoZero"/>
        <c:crossBetween val="between"/>
      </c:valAx>
      <c:spPr>
        <a:noFill/>
        <a:ln>
          <a:noFill/>
        </a:ln>
        <a:effectLst/>
      </c:spPr>
    </c:plotArea>
    <c:plotVisOnly val="1"/>
    <c:dispBlanksAs val="gap"/>
    <c:showDLblsOverMax val="0"/>
    <c:extLst>
      <c:ext uri="{0b15fc19-7d7d-44ad-8c2d-2c3a37ce22c3}">
        <chartProps xmlns="https://web.wps.cn/et/2018/main" chartId="{0a3cd759-ccbc-4068-800e-9a3efa1eb480}"/>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How</a:t>
            </a:r>
            <a:r>
              <a:rPr lang="en-US" baseline="0"/>
              <a:t> Stress Index Flentuate Across Year in each Zone</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6"/>
              </a:solidFill>
              <a:round/>
            </a:ln>
            <a:effectLst/>
          </c:spPr>
          <c:marker>
            <c:symbol val="none"/>
          </c:marker>
          <c:cat>
            <c:numRef>
              <c:f>Validation_YA_SIchart!$D$2:$D$10</c:f>
              <c:numCache>
                <c:formatCode>General</c:formatCode>
                <c:ptCount val="9"/>
                <c:pt idx="0">
                  <c:v>2002</c:v>
                </c:pt>
                <c:pt idx="1">
                  <c:v>2003</c:v>
                </c:pt>
                <c:pt idx="2">
                  <c:v>2004</c:v>
                </c:pt>
                <c:pt idx="3">
                  <c:v>2005</c:v>
                </c:pt>
                <c:pt idx="4">
                  <c:v>2006</c:v>
                </c:pt>
                <c:pt idx="5">
                  <c:v>2007</c:v>
                </c:pt>
                <c:pt idx="6">
                  <c:v>2008</c:v>
                </c:pt>
                <c:pt idx="7">
                  <c:v>2009</c:v>
                </c:pt>
                <c:pt idx="8">
                  <c:v>2010</c:v>
                </c:pt>
              </c:numCache>
            </c:numRef>
          </c:cat>
          <c:val>
            <c:numRef>
              <c:f>Validation_YA_SIchart!$E$2:$E$10</c:f>
              <c:numCache>
                <c:formatCode>General</c:formatCode>
                <c:ptCount val="9"/>
                <c:pt idx="0">
                  <c:v>1.1671087533156499</c:v>
                </c:pt>
                <c:pt idx="1">
                  <c:v>1.09034267912772</c:v>
                </c:pt>
                <c:pt idx="2">
                  <c:v>1.0676156583629901</c:v>
                </c:pt>
                <c:pt idx="3">
                  <c:v>1.0458167330677299</c:v>
                </c:pt>
                <c:pt idx="4">
                  <c:v>0.92728160078086597</c:v>
                </c:pt>
                <c:pt idx="5">
                  <c:v>0.90909090909090795</c:v>
                </c:pt>
                <c:pt idx="6">
                  <c:v>0.90520882214922604</c:v>
                </c:pt>
                <c:pt idx="7">
                  <c:v>1.0842541436464099</c:v>
                </c:pt>
                <c:pt idx="8">
                  <c:v>1.2471757794848699</c:v>
                </c:pt>
              </c:numCache>
            </c:numRef>
          </c:val>
          <c:smooth val="0"/>
          <c:extLst>
            <c:ext xmlns:c16="http://schemas.microsoft.com/office/drawing/2014/chart" uri="{C3380CC4-5D6E-409C-BE32-E72D297353CC}">
              <c16:uniqueId val="{00000000-A73E-45CF-9D2C-00B8B0C8D598}"/>
            </c:ext>
          </c:extLst>
        </c:ser>
        <c:dLbls>
          <c:showLegendKey val="0"/>
          <c:showVal val="0"/>
          <c:showCatName val="0"/>
          <c:showSerName val="0"/>
          <c:showPercent val="0"/>
          <c:showBubbleSize val="0"/>
        </c:dLbls>
        <c:smooth val="0"/>
        <c:axId val="134502848"/>
        <c:axId val="134502368"/>
      </c:lineChart>
      <c:catAx>
        <c:axId val="13450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34502368"/>
        <c:crosses val="autoZero"/>
        <c:auto val="1"/>
        <c:lblAlgn val="ctr"/>
        <c:lblOffset val="100"/>
        <c:noMultiLvlLbl val="0"/>
      </c:catAx>
      <c:valAx>
        <c:axId val="13450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34502848"/>
        <c:crosses val="autoZero"/>
        <c:crossBetween val="between"/>
      </c:valAx>
      <c:spPr>
        <a:noFill/>
        <a:ln>
          <a:noFill/>
        </a:ln>
        <a:effectLst/>
      </c:spPr>
    </c:plotArea>
    <c:plotVisOnly val="1"/>
    <c:dispBlanksAs val="gap"/>
    <c:showDLblsOverMax val="0"/>
    <c:extLst>
      <c:ext uri="{0b15fc19-7d7d-44ad-8c2d-2c3a37ce22c3}">
        <chartProps xmlns="https://web.wps.cn/et/2018/main" chartId="{ef74794a-7349-41a3-84c2-11df55e47315}"/>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Level of Inefficiency in Farm Management; Indicated as Low (≤ 11.9), Moderate (~12.7), and High (≥ 13.5).</a:t>
            </a:r>
          </a:p>
        </c:rich>
      </c:tx>
      <c:layout>
        <c:manualLayout>
          <c:xMode val="edge"/>
          <c:yMode val="edge"/>
          <c:x val="0.127106102003643"/>
          <c:y val="2.2662889518413599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0.13214285714285701"/>
          <c:y val="0.268642447418738"/>
          <c:w val="0.81200166112956795"/>
          <c:h val="0.59950286806883402"/>
        </c:manualLayout>
      </c:layout>
      <c:barChart>
        <c:barDir val="bar"/>
        <c:grouping val="clustered"/>
        <c:varyColors val="0"/>
        <c:ser>
          <c:idx val="0"/>
          <c:order val="0"/>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86F0-4297-9689-7349F9B524AA}"/>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86F0-4297-9689-7349F9B524AA}"/>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86F0-4297-9689-7349F9B524AA}"/>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86F0-4297-9689-7349F9B524AA}"/>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9-86F0-4297-9689-7349F9B524AA}"/>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B-86F0-4297-9689-7349F9B524AA}"/>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D-86F0-4297-9689-7349F9B524AA}"/>
              </c:ext>
            </c:extLst>
          </c:dPt>
          <c:dPt>
            <c:idx val="7"/>
            <c:invertIfNegative val="0"/>
            <c:bubble3D val="0"/>
            <c:spPr>
              <a:solidFill>
                <a:schemeClr val="accent6">
                  <a:lumMod val="75000"/>
                </a:schemeClr>
              </a:solidFill>
              <a:ln>
                <a:noFill/>
              </a:ln>
              <a:effectLst/>
            </c:spPr>
            <c:extLst>
              <c:ext xmlns:c16="http://schemas.microsoft.com/office/drawing/2014/chart" uri="{C3380CC4-5D6E-409C-BE32-E72D297353CC}">
                <c16:uniqueId val="{0000000F-86F0-4297-9689-7349F9B524AA}"/>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11-86F0-4297-9689-7349F9B524AA}"/>
              </c:ext>
            </c:extLst>
          </c:dPt>
          <c:dPt>
            <c:idx val="9"/>
            <c:invertIfNegative val="0"/>
            <c:bubble3D val="0"/>
            <c:spPr>
              <a:solidFill>
                <a:schemeClr val="accent6">
                  <a:lumMod val="75000"/>
                </a:schemeClr>
              </a:solidFill>
              <a:ln>
                <a:noFill/>
              </a:ln>
              <a:effectLst/>
            </c:spPr>
            <c:extLst>
              <c:ext xmlns:c16="http://schemas.microsoft.com/office/drawing/2014/chart" uri="{C3380CC4-5D6E-409C-BE32-E72D297353CC}">
                <c16:uniqueId val="{00000013-86F0-4297-9689-7349F9B524AA}"/>
              </c:ext>
            </c:extLst>
          </c:dPt>
          <c:dPt>
            <c:idx val="10"/>
            <c:invertIfNegative val="0"/>
            <c:bubble3D val="0"/>
            <c:spPr>
              <a:solidFill>
                <a:schemeClr val="accent6">
                  <a:lumMod val="75000"/>
                </a:schemeClr>
              </a:solidFill>
              <a:ln>
                <a:noFill/>
              </a:ln>
              <a:effectLst/>
            </c:spPr>
            <c:extLst>
              <c:ext xmlns:c16="http://schemas.microsoft.com/office/drawing/2014/chart" uri="{C3380CC4-5D6E-409C-BE32-E72D297353CC}">
                <c16:uniqueId val="{00000015-86F0-4297-9689-7349F9B524AA}"/>
              </c:ext>
            </c:extLst>
          </c:dPt>
          <c:dPt>
            <c:idx val="11"/>
            <c:invertIfNegative val="0"/>
            <c:bubble3D val="0"/>
            <c:spPr>
              <a:solidFill>
                <a:schemeClr val="accent6">
                  <a:lumMod val="75000"/>
                </a:schemeClr>
              </a:solidFill>
              <a:ln>
                <a:noFill/>
              </a:ln>
              <a:effectLst/>
            </c:spPr>
            <c:extLst>
              <c:ext xmlns:c16="http://schemas.microsoft.com/office/drawing/2014/chart" uri="{C3380CC4-5D6E-409C-BE32-E72D297353CC}">
                <c16:uniqueId val="{00000017-86F0-4297-9689-7349F9B524AA}"/>
              </c:ext>
            </c:extLst>
          </c:dPt>
          <c:dLbls>
            <c:numFmt formatCode="#,##0.00_);[Red]\(#,##0.00\)" sourceLinked="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Yield_Gap_Chart!$A$3:$A$14</c:f>
              <c:numCache>
                <c:formatCode>General</c:formatCode>
                <c:ptCount val="12"/>
                <c:pt idx="0">
                  <c:v>9101</c:v>
                </c:pt>
                <c:pt idx="1">
                  <c:v>9301</c:v>
                </c:pt>
                <c:pt idx="2">
                  <c:v>9401</c:v>
                </c:pt>
                <c:pt idx="3">
                  <c:v>9501</c:v>
                </c:pt>
                <c:pt idx="4">
                  <c:v>9701</c:v>
                </c:pt>
                <c:pt idx="5">
                  <c:v>9801</c:v>
                </c:pt>
                <c:pt idx="6">
                  <c:v>9901</c:v>
                </c:pt>
                <c:pt idx="7">
                  <c:v>10101</c:v>
                </c:pt>
                <c:pt idx="8">
                  <c:v>10301</c:v>
                </c:pt>
                <c:pt idx="9">
                  <c:v>10401</c:v>
                </c:pt>
                <c:pt idx="10">
                  <c:v>10501</c:v>
                </c:pt>
                <c:pt idx="11">
                  <c:v>10901</c:v>
                </c:pt>
              </c:numCache>
            </c:numRef>
          </c:cat>
          <c:val>
            <c:numRef>
              <c:f>Yield_Gap_Chart!$B$3:$B$14</c:f>
              <c:numCache>
                <c:formatCode>0.00_ </c:formatCode>
                <c:ptCount val="12"/>
                <c:pt idx="0">
                  <c:v>9.5749999999999993</c:v>
                </c:pt>
                <c:pt idx="1">
                  <c:v>9.8128223501127003</c:v>
                </c:pt>
                <c:pt idx="2">
                  <c:v>11.4033977348566</c:v>
                </c:pt>
                <c:pt idx="3">
                  <c:v>11.6938888888889</c:v>
                </c:pt>
                <c:pt idx="4">
                  <c:v>12.535</c:v>
                </c:pt>
                <c:pt idx="5">
                  <c:v>12.842555555555601</c:v>
                </c:pt>
                <c:pt idx="6">
                  <c:v>12.9704444444444</c:v>
                </c:pt>
                <c:pt idx="7">
                  <c:v>13.2062222222222</c:v>
                </c:pt>
                <c:pt idx="8">
                  <c:v>13.4871111111111</c:v>
                </c:pt>
                <c:pt idx="9">
                  <c:v>13.561282944991</c:v>
                </c:pt>
                <c:pt idx="10">
                  <c:v>13.6415555555556</c:v>
                </c:pt>
                <c:pt idx="11">
                  <c:v>13.976600877872601</c:v>
                </c:pt>
              </c:numCache>
            </c:numRef>
          </c:val>
          <c:extLst>
            <c:ext xmlns:c16="http://schemas.microsoft.com/office/drawing/2014/chart" uri="{C3380CC4-5D6E-409C-BE32-E72D297353CC}">
              <c16:uniqueId val="{00000018-86F0-4297-9689-7349F9B524AA}"/>
            </c:ext>
          </c:extLst>
        </c:ser>
        <c:dLbls>
          <c:showLegendKey val="0"/>
          <c:showVal val="1"/>
          <c:showCatName val="0"/>
          <c:showSerName val="0"/>
          <c:showPercent val="0"/>
          <c:showBubbleSize val="0"/>
        </c:dLbls>
        <c:gapWidth val="246"/>
        <c:axId val="131349035"/>
        <c:axId val="961124258"/>
      </c:barChart>
      <c:catAx>
        <c:axId val="131349035"/>
        <c:scaling>
          <c:orientation val="minMax"/>
        </c:scaling>
        <c:delete val="0"/>
        <c:axPos val="l"/>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US" b="1"/>
                  <a:t>Climate Zones</a:t>
                </a:r>
              </a:p>
            </c:rich>
          </c:tx>
          <c:layout>
            <c:manualLayout>
              <c:xMode val="edge"/>
              <c:yMode val="edge"/>
              <c:x val="4.1528239202657802E-3"/>
              <c:y val="0.450719757401566"/>
            </c:manualLayout>
          </c:layout>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961124258"/>
        <c:crosses val="autoZero"/>
        <c:auto val="1"/>
        <c:lblAlgn val="ctr"/>
        <c:lblOffset val="100"/>
        <c:noMultiLvlLbl val="0"/>
      </c:catAx>
      <c:valAx>
        <c:axId val="961124258"/>
        <c:scaling>
          <c:orientation val="minMax"/>
          <c:max val="15"/>
          <c:min val="1"/>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US" b="1"/>
                  <a:t>Yield Gap</a:t>
                </a:r>
              </a:p>
            </c:rich>
          </c:tx>
          <c:layout>
            <c:manualLayout>
              <c:xMode val="edge"/>
              <c:yMode val="edge"/>
              <c:x val="0.48380398671096297"/>
              <c:y val="0.93728489483747601"/>
            </c:manualLayout>
          </c:layout>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US"/>
            </a:p>
          </c:txPr>
        </c:title>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31349035"/>
        <c:crosses val="autoZero"/>
        <c:crossBetween val="between"/>
      </c:valAx>
      <c:spPr>
        <a:noFill/>
        <a:ln>
          <a:noFill/>
        </a:ln>
        <a:effectLst/>
      </c:spPr>
    </c:plotArea>
    <c:plotVisOnly val="1"/>
    <c:dispBlanksAs val="gap"/>
    <c:showDLblsOverMax val="0"/>
    <c:extLst>
      <c:ext uri="{0b15fc19-7d7d-44ad-8c2d-2c3a37ce22c3}">
        <chartProps xmlns="https://web.wps.cn/et/2018/main" chartId="{3557914e-91d1-4339-9623-085d60fc85c5}"/>
      </c:ext>
    </c:extLst>
  </c:chart>
  <c:spPr>
    <a:solidFill>
      <a:schemeClr val="bg1">
        <a:lumMod val="85000"/>
      </a:schemeClr>
    </a:solidFill>
    <a:ln w="9525" cap="flat" cmpd="sng" algn="ctr">
      <a:gradFill>
        <a:gsLst>
          <a:gs pos="50000">
            <a:schemeClr val="accent6"/>
          </a:gs>
          <a:gs pos="0">
            <a:schemeClr val="accent6">
              <a:lumMod val="25000"/>
              <a:lumOff val="75000"/>
            </a:schemeClr>
          </a:gs>
          <a:gs pos="100000">
            <a:schemeClr val="accent6">
              <a:lumMod val="85000"/>
            </a:schemeClr>
          </a:gs>
        </a:gsLst>
        <a:lin ang="5400000" scaled="0"/>
      </a:gradFill>
      <a:round/>
    </a:ln>
    <a:effectLst/>
  </c:spPr>
  <c:txPr>
    <a:bodyPr/>
    <a:lstStyle/>
    <a:p>
      <a:pPr>
        <a:defRPr lang="en-US"/>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Production Constraint: Climate Stress vs Management Efficiency</a:t>
            </a:r>
          </a:p>
          <a:p>
            <a:pPr defTabSz="914400">
              <a:defRPr/>
            </a:pPr>
            <a:endParaRPr/>
          </a:p>
        </c:rich>
      </c:tx>
      <c:layout>
        <c:manualLayout>
          <c:xMode val="edge"/>
          <c:yMode val="edge"/>
          <c:x val="0.14037831077992499"/>
          <c:y val="2.4139931283744601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0.134473846153846"/>
          <c:y val="0.25038002171552698"/>
          <c:w val="0.82244923076923104"/>
          <c:h val="0.55383279044516798"/>
        </c:manualLayout>
      </c:layout>
      <c:scatterChart>
        <c:scatterStyle val="lineMarker"/>
        <c:varyColors val="0"/>
        <c:ser>
          <c:idx val="0"/>
          <c:order val="0"/>
          <c:tx>
            <c:strRef>
              <c:f>SI_YG_Chart!$C$1</c:f>
              <c:strCache>
                <c:ptCount val="1"/>
                <c:pt idx="0">
                  <c:v>Average of Stress_Index</c:v>
                </c:pt>
              </c:strCache>
            </c:strRef>
          </c:tx>
          <c:spPr>
            <a:ln w="19050" cap="rnd">
              <a:noFill/>
              <a:round/>
            </a:ln>
            <a:effectLst/>
          </c:spPr>
          <c:marker>
            <c:symbol val="circle"/>
            <c:size val="5"/>
            <c:spPr>
              <a:solidFill>
                <a:schemeClr val="accent6"/>
              </a:solidFill>
              <a:ln w="9525">
                <a:solidFill>
                  <a:schemeClr val="accent6"/>
                </a:solidFill>
              </a:ln>
              <a:effectLst/>
            </c:spPr>
          </c:marker>
          <c:dLbls>
            <c:dLbl>
              <c:idx val="0"/>
              <c:tx>
                <c:rich>
                  <a:bodyPr/>
                  <a:lstStyle/>
                  <a:p>
                    <a:fld id="{E12C8447-D7FE-4267-B14D-4992E798F07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41C-429C-9FEA-7DB11E7D5ECA}"/>
                </c:ext>
              </c:extLst>
            </c:dLbl>
            <c:dLbl>
              <c:idx val="1"/>
              <c:tx>
                <c:rich>
                  <a:bodyPr/>
                  <a:lstStyle/>
                  <a:p>
                    <a:fld id="{44DF9294-7CC5-43E0-A037-FD56A7416E8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41C-429C-9FEA-7DB11E7D5ECA}"/>
                </c:ext>
              </c:extLst>
            </c:dLbl>
            <c:dLbl>
              <c:idx val="2"/>
              <c:tx>
                <c:rich>
                  <a:bodyPr/>
                  <a:lstStyle/>
                  <a:p>
                    <a:fld id="{A31DF176-B3F1-49FC-8822-F90A4613E7A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41C-429C-9FEA-7DB11E7D5ECA}"/>
                </c:ext>
              </c:extLst>
            </c:dLbl>
            <c:dLbl>
              <c:idx val="3"/>
              <c:tx>
                <c:rich>
                  <a:bodyPr/>
                  <a:lstStyle/>
                  <a:p>
                    <a:fld id="{EA9A0C1B-091A-435F-AFB6-0FB6026A764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41C-429C-9FEA-7DB11E7D5ECA}"/>
                </c:ext>
              </c:extLst>
            </c:dLbl>
            <c:dLbl>
              <c:idx val="4"/>
              <c:tx>
                <c:rich>
                  <a:bodyPr/>
                  <a:lstStyle/>
                  <a:p>
                    <a:fld id="{8A6C976C-6367-459A-8E21-96A64E8A94D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41C-429C-9FEA-7DB11E7D5ECA}"/>
                </c:ext>
              </c:extLst>
            </c:dLbl>
            <c:dLbl>
              <c:idx val="5"/>
              <c:tx>
                <c:rich>
                  <a:bodyPr/>
                  <a:lstStyle/>
                  <a:p>
                    <a:fld id="{CBFFF438-BA8A-4AF7-9DBC-FD957607FD3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41C-429C-9FEA-7DB11E7D5ECA}"/>
                </c:ext>
              </c:extLst>
            </c:dLbl>
            <c:dLbl>
              <c:idx val="6"/>
              <c:tx>
                <c:rich>
                  <a:bodyPr/>
                  <a:lstStyle/>
                  <a:p>
                    <a:fld id="{464ECA87-8E6E-4379-BA37-5CD0B4C62C6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41C-429C-9FEA-7DB11E7D5ECA}"/>
                </c:ext>
              </c:extLst>
            </c:dLbl>
            <c:dLbl>
              <c:idx val="7"/>
              <c:tx>
                <c:rich>
                  <a:bodyPr/>
                  <a:lstStyle/>
                  <a:p>
                    <a:fld id="{991AA7E3-E0CC-478B-A622-B3AA48EE607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41C-429C-9FEA-7DB11E7D5ECA}"/>
                </c:ext>
              </c:extLst>
            </c:dLbl>
            <c:dLbl>
              <c:idx val="8"/>
              <c:tx>
                <c:rich>
                  <a:bodyPr/>
                  <a:lstStyle/>
                  <a:p>
                    <a:fld id="{E4B5013C-C045-46AB-AEB8-5B53ADACF95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41C-429C-9FEA-7DB11E7D5ECA}"/>
                </c:ext>
              </c:extLst>
            </c:dLbl>
            <c:dLbl>
              <c:idx val="9"/>
              <c:tx>
                <c:rich>
                  <a:bodyPr/>
                  <a:lstStyle/>
                  <a:p>
                    <a:fld id="{6EC1BA64-5DF4-4DFF-8369-717C9790395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41C-429C-9FEA-7DB11E7D5ECA}"/>
                </c:ext>
              </c:extLst>
            </c:dLbl>
            <c:dLbl>
              <c:idx val="10"/>
              <c:tx>
                <c:rich>
                  <a:bodyPr/>
                  <a:lstStyle/>
                  <a:p>
                    <a:fld id="{57FD0111-D466-4F39-BA73-C7B1F976661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41C-429C-9FEA-7DB11E7D5ECA}"/>
                </c:ext>
              </c:extLst>
            </c:dLbl>
            <c:dLbl>
              <c:idx val="11"/>
              <c:tx>
                <c:rich>
                  <a:bodyPr/>
                  <a:lstStyle/>
                  <a:p>
                    <a:fld id="{6E76136A-E2C0-43CD-948D-BC7293A284F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41C-429C-9FEA-7DB11E7D5ECA}"/>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SI_YG_Chart!$B$2:$B$13</c:f>
              <c:numCache>
                <c:formatCode>0.000_ </c:formatCode>
                <c:ptCount val="12"/>
                <c:pt idx="0">
                  <c:v>9.5749999999999993</c:v>
                </c:pt>
                <c:pt idx="1">
                  <c:v>12.535</c:v>
                </c:pt>
                <c:pt idx="2">
                  <c:v>11.6938888888889</c:v>
                </c:pt>
                <c:pt idx="3">
                  <c:v>13.976600877872601</c:v>
                </c:pt>
                <c:pt idx="4">
                  <c:v>13.2062222222222</c:v>
                </c:pt>
                <c:pt idx="5">
                  <c:v>12.842555555555601</c:v>
                </c:pt>
                <c:pt idx="6">
                  <c:v>11.4033977348566</c:v>
                </c:pt>
                <c:pt idx="7">
                  <c:v>9.8128223501127003</c:v>
                </c:pt>
                <c:pt idx="8">
                  <c:v>13.6415555555556</c:v>
                </c:pt>
                <c:pt idx="9">
                  <c:v>13.561282944991</c:v>
                </c:pt>
                <c:pt idx="10">
                  <c:v>13.4871111111111</c:v>
                </c:pt>
                <c:pt idx="11">
                  <c:v>12.9704444444444</c:v>
                </c:pt>
              </c:numCache>
            </c:numRef>
          </c:xVal>
          <c:yVal>
            <c:numRef>
              <c:f>SI_YG_Chart!$C$2:$C$13</c:f>
              <c:numCache>
                <c:formatCode>0.000_ </c:formatCode>
                <c:ptCount val="12"/>
                <c:pt idx="0">
                  <c:v>0.96629690073435304</c:v>
                </c:pt>
                <c:pt idx="1">
                  <c:v>1.0477183950247499</c:v>
                </c:pt>
                <c:pt idx="2">
                  <c:v>1.0324475523521699</c:v>
                </c:pt>
                <c:pt idx="3">
                  <c:v>1.01292284144557</c:v>
                </c:pt>
                <c:pt idx="4">
                  <c:v>1.04932167544737</c:v>
                </c:pt>
                <c:pt idx="5">
                  <c:v>0.99139710055460994</c:v>
                </c:pt>
                <c:pt idx="6">
                  <c:v>1.01118980358863</c:v>
                </c:pt>
                <c:pt idx="7">
                  <c:v>0.99464684364272804</c:v>
                </c:pt>
                <c:pt idx="8">
                  <c:v>0.94974882506971103</c:v>
                </c:pt>
                <c:pt idx="9">
                  <c:v>1.03214395812949</c:v>
                </c:pt>
                <c:pt idx="10">
                  <c:v>0.98117346972276598</c:v>
                </c:pt>
                <c:pt idx="11">
                  <c:v>0.95017904504873996</c:v>
                </c:pt>
              </c:numCache>
            </c:numRef>
          </c:yVal>
          <c:smooth val="0"/>
          <c:extLst>
            <c:ext xmlns:c15="http://schemas.microsoft.com/office/drawing/2012/chart" uri="{02D57815-91ED-43cb-92C2-25804820EDAC}">
              <c15:datalabelsRange>
                <c15:f>SI_YG_Chart!$A$2:$A$13</c15:f>
                <c15:dlblRangeCache>
                  <c:ptCount val="12"/>
                  <c:pt idx="0">
                    <c:v>9101</c:v>
                  </c:pt>
                  <c:pt idx="1">
                    <c:v>9301</c:v>
                  </c:pt>
                  <c:pt idx="2">
                    <c:v>9401</c:v>
                  </c:pt>
                  <c:pt idx="3">
                    <c:v>9501</c:v>
                  </c:pt>
                  <c:pt idx="4">
                    <c:v>9701</c:v>
                  </c:pt>
                  <c:pt idx="5">
                    <c:v>9801</c:v>
                  </c:pt>
                  <c:pt idx="6">
                    <c:v>9901</c:v>
                  </c:pt>
                  <c:pt idx="7">
                    <c:v>10101</c:v>
                  </c:pt>
                  <c:pt idx="8">
                    <c:v>10301</c:v>
                  </c:pt>
                  <c:pt idx="9">
                    <c:v>10401</c:v>
                  </c:pt>
                  <c:pt idx="10">
                    <c:v>10501</c:v>
                  </c:pt>
                  <c:pt idx="11">
                    <c:v>10901</c:v>
                  </c:pt>
                </c15:dlblRangeCache>
              </c15:datalabelsRange>
            </c:ext>
            <c:ext xmlns:c16="http://schemas.microsoft.com/office/drawing/2014/chart" uri="{C3380CC4-5D6E-409C-BE32-E72D297353CC}">
              <c16:uniqueId val="{0000000C-241C-429C-9FEA-7DB11E7D5ECA}"/>
            </c:ext>
          </c:extLst>
        </c:ser>
        <c:dLbls>
          <c:showLegendKey val="0"/>
          <c:showVal val="0"/>
          <c:showCatName val="0"/>
          <c:showSerName val="0"/>
          <c:showPercent val="0"/>
          <c:showBubbleSize val="0"/>
        </c:dLbls>
        <c:axId val="55565869"/>
        <c:axId val="102189494"/>
      </c:scatterChart>
      <c:valAx>
        <c:axId val="55565869"/>
        <c:scaling>
          <c:orientation val="minMax"/>
          <c:max val="15"/>
          <c:min val="9"/>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b="1"/>
                  <a:t>Average Yield Gap</a:t>
                </a:r>
              </a:p>
            </c:rich>
          </c:tx>
          <c:layout>
            <c:manualLayout>
              <c:xMode val="edge"/>
              <c:yMode val="edge"/>
              <c:x val="0.43582894736842098"/>
              <c:y val="0.89745370370370403"/>
            </c:manualLayout>
          </c:layout>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US"/>
            </a:p>
          </c:txPr>
        </c:title>
        <c:numFmt formatCode="0.000_ "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02189494"/>
        <c:crosses val="autoZero"/>
        <c:crossBetween val="midCat"/>
      </c:valAx>
      <c:valAx>
        <c:axId val="102189494"/>
        <c:scaling>
          <c:orientation val="minMax"/>
          <c:max val="1.08"/>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b="1"/>
                  <a:t>Average Stress index</a:t>
                </a:r>
              </a:p>
            </c:rich>
          </c:tx>
          <c:layout>
            <c:manualLayout>
              <c:xMode val="edge"/>
              <c:yMode val="edge"/>
              <c:x val="1.11939394987633E-2"/>
              <c:y val="0.29140956490471098"/>
            </c:manualLayout>
          </c:layout>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US"/>
            </a:p>
          </c:txPr>
        </c:title>
        <c:numFmt formatCode="0.00_);[Red]\(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5565869"/>
        <c:crosses val="autoZero"/>
        <c:crossBetween val="midCat"/>
      </c:valAx>
      <c:spPr>
        <a:noFill/>
        <a:ln w="9525" cap="flat" cmpd="sng" algn="ctr">
          <a:solidFill>
            <a:schemeClr val="tx1">
              <a:lumMod val="15000"/>
              <a:lumOff val="85000"/>
            </a:schemeClr>
          </a:solidFill>
          <a:round/>
        </a:ln>
        <a:effectLst/>
      </c:spPr>
    </c:plotArea>
    <c:plotVisOnly val="1"/>
    <c:dispBlanksAs val="gap"/>
    <c:showDLblsOverMax val="0"/>
    <c:extLst>
      <c:ext uri="{0b15fc19-7d7d-44ad-8c2d-2c3a37ce22c3}">
        <chartProps xmlns="https://web.wps.cn/et/2018/main" chartId="{2443b32c-6463-4345-af7a-9f2f8e559df3}"/>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Production Constraint: Climate Stress vs Management Efficiency</a:t>
            </a:r>
          </a:p>
          <a:p>
            <a:pPr defTabSz="914400">
              <a:defRPr/>
            </a:pPr>
            <a:endParaRPr lang="en-US"/>
          </a:p>
        </c:rich>
      </c:tx>
      <c:layout>
        <c:manualLayout>
          <c:xMode val="edge"/>
          <c:yMode val="edge"/>
          <c:x val="0.14037831077992499"/>
          <c:y val="2.4139931283744601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0.134473846153846"/>
          <c:y val="0.25038002171552698"/>
          <c:w val="0.82244923076923104"/>
          <c:h val="0.55383279044516798"/>
        </c:manualLayout>
      </c:layout>
      <c:scatterChart>
        <c:scatterStyle val="lineMarker"/>
        <c:varyColors val="0"/>
        <c:ser>
          <c:idx val="0"/>
          <c:order val="0"/>
          <c:tx>
            <c:strRef>
              <c:f>SI_YG_Chart!$C$1</c:f>
              <c:strCache>
                <c:ptCount val="1"/>
                <c:pt idx="0">
                  <c:v>Average of Stress_Index</c:v>
                </c:pt>
              </c:strCache>
            </c:strRef>
          </c:tx>
          <c:spPr>
            <a:ln w="19050" cap="rnd">
              <a:noFill/>
              <a:round/>
            </a:ln>
            <a:effectLst/>
          </c:spPr>
          <c:marker>
            <c:symbol val="circle"/>
            <c:size val="5"/>
            <c:spPr>
              <a:solidFill>
                <a:schemeClr val="accent6"/>
              </a:solidFill>
              <a:ln w="9525">
                <a:solidFill>
                  <a:schemeClr val="accent6"/>
                </a:solidFill>
              </a:ln>
              <a:effectLst/>
            </c:spPr>
          </c:marker>
          <c:dLbls>
            <c:dLbl>
              <c:idx val="0"/>
              <c:tx>
                <c:rich>
                  <a:bodyPr/>
                  <a:lstStyle/>
                  <a:p>
                    <a:fld id="{EC6F5151-7F1F-4C36-88A8-C0F93766582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BF5-4E36-B9B3-C859E7E4C035}"/>
                </c:ext>
              </c:extLst>
            </c:dLbl>
            <c:dLbl>
              <c:idx val="1"/>
              <c:tx>
                <c:rich>
                  <a:bodyPr/>
                  <a:lstStyle/>
                  <a:p>
                    <a:fld id="{120B1A4B-B1BF-4101-8658-1439755FB9D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F5-4E36-B9B3-C859E7E4C035}"/>
                </c:ext>
              </c:extLst>
            </c:dLbl>
            <c:dLbl>
              <c:idx val="2"/>
              <c:tx>
                <c:rich>
                  <a:bodyPr/>
                  <a:lstStyle/>
                  <a:p>
                    <a:fld id="{B0759DBA-2426-4D2D-95BB-283AB02DC80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BF5-4E36-B9B3-C859E7E4C035}"/>
                </c:ext>
              </c:extLst>
            </c:dLbl>
            <c:dLbl>
              <c:idx val="3"/>
              <c:tx>
                <c:rich>
                  <a:bodyPr/>
                  <a:lstStyle/>
                  <a:p>
                    <a:fld id="{F89C9D15-9CA2-4162-8016-B72ED56094E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BF5-4E36-B9B3-C859E7E4C035}"/>
                </c:ext>
              </c:extLst>
            </c:dLbl>
            <c:dLbl>
              <c:idx val="4"/>
              <c:tx>
                <c:rich>
                  <a:bodyPr/>
                  <a:lstStyle/>
                  <a:p>
                    <a:fld id="{CC5A58DF-1ACC-4892-816A-7A35459E34C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BF5-4E36-B9B3-C859E7E4C035}"/>
                </c:ext>
              </c:extLst>
            </c:dLbl>
            <c:dLbl>
              <c:idx val="5"/>
              <c:tx>
                <c:rich>
                  <a:bodyPr/>
                  <a:lstStyle/>
                  <a:p>
                    <a:fld id="{DF8FD1E7-7A82-46FD-8D2E-445BF92F616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BF5-4E36-B9B3-C859E7E4C035}"/>
                </c:ext>
              </c:extLst>
            </c:dLbl>
            <c:dLbl>
              <c:idx val="6"/>
              <c:tx>
                <c:rich>
                  <a:bodyPr/>
                  <a:lstStyle/>
                  <a:p>
                    <a:fld id="{78A807F7-82CD-4C0E-BEF7-4150E73197F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BF5-4E36-B9B3-C859E7E4C035}"/>
                </c:ext>
              </c:extLst>
            </c:dLbl>
            <c:dLbl>
              <c:idx val="7"/>
              <c:tx>
                <c:rich>
                  <a:bodyPr/>
                  <a:lstStyle/>
                  <a:p>
                    <a:fld id="{DCAB8AB7-E3ED-45AC-9A2D-A82F1B6785F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BF5-4E36-B9B3-C859E7E4C035}"/>
                </c:ext>
              </c:extLst>
            </c:dLbl>
            <c:dLbl>
              <c:idx val="8"/>
              <c:tx>
                <c:rich>
                  <a:bodyPr/>
                  <a:lstStyle/>
                  <a:p>
                    <a:fld id="{C925F356-FF02-4AE4-9CD9-A89DD522866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BF5-4E36-B9B3-C859E7E4C035}"/>
                </c:ext>
              </c:extLst>
            </c:dLbl>
            <c:dLbl>
              <c:idx val="9"/>
              <c:tx>
                <c:rich>
                  <a:bodyPr/>
                  <a:lstStyle/>
                  <a:p>
                    <a:fld id="{ACE182C2-73AE-4814-858E-312F1673D8F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BF5-4E36-B9B3-C859E7E4C035}"/>
                </c:ext>
              </c:extLst>
            </c:dLbl>
            <c:dLbl>
              <c:idx val="10"/>
              <c:tx>
                <c:rich>
                  <a:bodyPr/>
                  <a:lstStyle/>
                  <a:p>
                    <a:fld id="{2A6E0FCF-8B15-4BED-B86C-61CB13DF480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BF5-4E36-B9B3-C859E7E4C035}"/>
                </c:ext>
              </c:extLst>
            </c:dLbl>
            <c:dLbl>
              <c:idx val="11"/>
              <c:tx>
                <c:rich>
                  <a:bodyPr/>
                  <a:lstStyle/>
                  <a:p>
                    <a:fld id="{767AF670-7985-498B-A28F-D887941D773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BF5-4E36-B9B3-C859E7E4C035}"/>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SI_YG_Chart!$B$2:$B$13</c:f>
              <c:numCache>
                <c:formatCode>0.000_ </c:formatCode>
                <c:ptCount val="12"/>
                <c:pt idx="0">
                  <c:v>9.5749999999999993</c:v>
                </c:pt>
                <c:pt idx="1">
                  <c:v>12.535</c:v>
                </c:pt>
                <c:pt idx="2">
                  <c:v>11.6938888888889</c:v>
                </c:pt>
                <c:pt idx="3">
                  <c:v>13.976600877872601</c:v>
                </c:pt>
                <c:pt idx="4">
                  <c:v>13.2062222222222</c:v>
                </c:pt>
                <c:pt idx="5">
                  <c:v>12.842555555555601</c:v>
                </c:pt>
                <c:pt idx="6">
                  <c:v>11.4033977348566</c:v>
                </c:pt>
                <c:pt idx="7">
                  <c:v>9.8128223501127003</c:v>
                </c:pt>
                <c:pt idx="8">
                  <c:v>13.6415555555556</c:v>
                </c:pt>
                <c:pt idx="9">
                  <c:v>13.561282944991</c:v>
                </c:pt>
                <c:pt idx="10">
                  <c:v>13.4871111111111</c:v>
                </c:pt>
                <c:pt idx="11">
                  <c:v>12.9704444444444</c:v>
                </c:pt>
              </c:numCache>
            </c:numRef>
          </c:xVal>
          <c:yVal>
            <c:numRef>
              <c:f>SI_YG_Chart!$C$2:$C$13</c:f>
              <c:numCache>
                <c:formatCode>0.000_ </c:formatCode>
                <c:ptCount val="12"/>
                <c:pt idx="0">
                  <c:v>0.96629690073435304</c:v>
                </c:pt>
                <c:pt idx="1">
                  <c:v>1.0477183950247499</c:v>
                </c:pt>
                <c:pt idx="2">
                  <c:v>1.0324475523521699</c:v>
                </c:pt>
                <c:pt idx="3">
                  <c:v>1.01292284144557</c:v>
                </c:pt>
                <c:pt idx="4">
                  <c:v>1.04932167544737</c:v>
                </c:pt>
                <c:pt idx="5">
                  <c:v>0.99139710055460994</c:v>
                </c:pt>
                <c:pt idx="6">
                  <c:v>1.01118980358863</c:v>
                </c:pt>
                <c:pt idx="7">
                  <c:v>0.99464684364272804</c:v>
                </c:pt>
                <c:pt idx="8">
                  <c:v>0.94974882506971103</c:v>
                </c:pt>
                <c:pt idx="9">
                  <c:v>1.03214395812949</c:v>
                </c:pt>
                <c:pt idx="10">
                  <c:v>0.98117346972276598</c:v>
                </c:pt>
                <c:pt idx="11">
                  <c:v>0.95017904504873996</c:v>
                </c:pt>
              </c:numCache>
            </c:numRef>
          </c:yVal>
          <c:smooth val="0"/>
          <c:extLst>
            <c:ext xmlns:c15="http://schemas.microsoft.com/office/drawing/2012/chart" uri="{02D57815-91ED-43cb-92C2-25804820EDAC}">
              <c15:datalabelsRange>
                <c15:f>SI_YG_Chart!$A$2:$A$13</c15:f>
                <c15:dlblRangeCache>
                  <c:ptCount val="12"/>
                  <c:pt idx="0">
                    <c:v>9101</c:v>
                  </c:pt>
                  <c:pt idx="1">
                    <c:v>9301</c:v>
                  </c:pt>
                  <c:pt idx="2">
                    <c:v>9401</c:v>
                  </c:pt>
                  <c:pt idx="3">
                    <c:v>9501</c:v>
                  </c:pt>
                  <c:pt idx="4">
                    <c:v>9701</c:v>
                  </c:pt>
                  <c:pt idx="5">
                    <c:v>9801</c:v>
                  </c:pt>
                  <c:pt idx="6">
                    <c:v>9901</c:v>
                  </c:pt>
                  <c:pt idx="7">
                    <c:v>10101</c:v>
                  </c:pt>
                  <c:pt idx="8">
                    <c:v>10301</c:v>
                  </c:pt>
                  <c:pt idx="9">
                    <c:v>10401</c:v>
                  </c:pt>
                  <c:pt idx="10">
                    <c:v>10501</c:v>
                  </c:pt>
                  <c:pt idx="11">
                    <c:v>10901</c:v>
                  </c:pt>
                </c15:dlblRangeCache>
              </c15:datalabelsRange>
            </c:ext>
            <c:ext xmlns:c16="http://schemas.microsoft.com/office/drawing/2014/chart" uri="{C3380CC4-5D6E-409C-BE32-E72D297353CC}">
              <c16:uniqueId val="{0000000C-7BF5-4E36-B9B3-C859E7E4C035}"/>
            </c:ext>
          </c:extLst>
        </c:ser>
        <c:dLbls>
          <c:showLegendKey val="0"/>
          <c:showVal val="0"/>
          <c:showCatName val="0"/>
          <c:showSerName val="0"/>
          <c:showPercent val="0"/>
          <c:showBubbleSize val="0"/>
        </c:dLbls>
        <c:axId val="55565869"/>
        <c:axId val="102189494"/>
      </c:scatterChart>
      <c:valAx>
        <c:axId val="55565869"/>
        <c:scaling>
          <c:orientation val="minMax"/>
          <c:max val="15"/>
          <c:min val="9"/>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US" b="1"/>
                  <a:t>Average Yield Gap</a:t>
                </a:r>
              </a:p>
            </c:rich>
          </c:tx>
          <c:layout>
            <c:manualLayout>
              <c:xMode val="edge"/>
              <c:yMode val="edge"/>
              <c:x val="0.43582894736842098"/>
              <c:y val="0.89745370370370403"/>
            </c:manualLayout>
          </c:layout>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US"/>
            </a:p>
          </c:txPr>
        </c:title>
        <c:numFmt formatCode="0.000_ "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02189494"/>
        <c:crosses val="autoZero"/>
        <c:crossBetween val="midCat"/>
      </c:valAx>
      <c:valAx>
        <c:axId val="102189494"/>
        <c:scaling>
          <c:orientation val="minMax"/>
          <c:max val="1.08"/>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US" b="1"/>
                  <a:t>Average Stress index</a:t>
                </a:r>
              </a:p>
            </c:rich>
          </c:tx>
          <c:layout>
            <c:manualLayout>
              <c:xMode val="edge"/>
              <c:yMode val="edge"/>
              <c:x val="2.1052631578947399E-2"/>
              <c:y val="0.28546296296296297"/>
            </c:manualLayout>
          </c:layout>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US"/>
            </a:p>
          </c:txPr>
        </c:title>
        <c:numFmt formatCode="0.00_);[Red]\(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5565869"/>
        <c:crosses val="autoZero"/>
        <c:crossBetween val="midCat"/>
      </c:valAx>
      <c:spPr>
        <a:noFill/>
        <a:ln w="9525" cap="flat" cmpd="sng" algn="ctr">
          <a:solidFill>
            <a:schemeClr val="tx1">
              <a:lumMod val="15000"/>
              <a:lumOff val="85000"/>
            </a:schemeClr>
          </a:solidFill>
          <a:round/>
        </a:ln>
        <a:effectLst/>
      </c:spPr>
    </c:plotArea>
    <c:plotVisOnly val="1"/>
    <c:dispBlanksAs val="gap"/>
    <c:showDLblsOverMax val="0"/>
    <c:extLst>
      <c:ext uri="{0b15fc19-7d7d-44ad-8c2d-2c3a37ce22c3}">
        <chartProps xmlns="https://web.wps.cn/et/2018/main" chartId="{2443b32c-6463-4345-af7a-9f2f8e559df3}"/>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Production Constraint: Climate Stress vs Management Efficiency</a:t>
            </a:r>
          </a:p>
          <a:p>
            <a:pPr defTabSz="914400">
              <a:defRPr/>
            </a:pPr>
            <a:endParaRPr lang="en-US"/>
          </a:p>
        </c:rich>
      </c:tx>
      <c:layout>
        <c:manualLayout>
          <c:xMode val="edge"/>
          <c:yMode val="edge"/>
          <c:x val="0.14037831077992499"/>
          <c:y val="2.4139931283744601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0.134473846153846"/>
          <c:y val="0.25038002171552698"/>
          <c:w val="0.82244923076923104"/>
          <c:h val="0.55383279044516798"/>
        </c:manualLayout>
      </c:layout>
      <c:scatterChart>
        <c:scatterStyle val="lineMarker"/>
        <c:varyColors val="0"/>
        <c:ser>
          <c:idx val="0"/>
          <c:order val="0"/>
          <c:tx>
            <c:strRef>
              <c:f>SI_YG_Chart!$C$1</c:f>
              <c:strCache>
                <c:ptCount val="1"/>
                <c:pt idx="0">
                  <c:v>Average of Stress_Index</c:v>
                </c:pt>
              </c:strCache>
            </c:strRef>
          </c:tx>
          <c:spPr>
            <a:ln w="19050" cap="rnd">
              <a:noFill/>
              <a:round/>
            </a:ln>
            <a:effectLst/>
          </c:spPr>
          <c:marker>
            <c:symbol val="circle"/>
            <c:size val="5"/>
            <c:spPr>
              <a:solidFill>
                <a:schemeClr val="accent6"/>
              </a:solidFill>
              <a:ln w="9525">
                <a:solidFill>
                  <a:schemeClr val="accent6"/>
                </a:solidFill>
              </a:ln>
              <a:effectLst/>
            </c:spPr>
          </c:marker>
          <c:dLbls>
            <c:dLbl>
              <c:idx val="0"/>
              <c:tx>
                <c:rich>
                  <a:bodyPr/>
                  <a:lstStyle/>
                  <a:p>
                    <a:fld id="{E26AE124-84C2-484D-895B-1BDE0240F29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460-43D9-A326-510513C7FE8B}"/>
                </c:ext>
              </c:extLst>
            </c:dLbl>
            <c:dLbl>
              <c:idx val="1"/>
              <c:tx>
                <c:rich>
                  <a:bodyPr/>
                  <a:lstStyle/>
                  <a:p>
                    <a:fld id="{05C83E2B-AFF8-47E4-B53A-E0D029D755A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460-43D9-A326-510513C7FE8B}"/>
                </c:ext>
              </c:extLst>
            </c:dLbl>
            <c:dLbl>
              <c:idx val="2"/>
              <c:tx>
                <c:rich>
                  <a:bodyPr/>
                  <a:lstStyle/>
                  <a:p>
                    <a:fld id="{D2FF3618-577C-4AF3-B73C-37F40B5CF53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460-43D9-A326-510513C7FE8B}"/>
                </c:ext>
              </c:extLst>
            </c:dLbl>
            <c:dLbl>
              <c:idx val="3"/>
              <c:tx>
                <c:rich>
                  <a:bodyPr/>
                  <a:lstStyle/>
                  <a:p>
                    <a:fld id="{C0ADCF73-D0DA-4AD2-9AB8-C31DDB559BD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460-43D9-A326-510513C7FE8B}"/>
                </c:ext>
              </c:extLst>
            </c:dLbl>
            <c:dLbl>
              <c:idx val="4"/>
              <c:tx>
                <c:rich>
                  <a:bodyPr/>
                  <a:lstStyle/>
                  <a:p>
                    <a:fld id="{B99404C8-85B9-4591-AA80-0A802AB7B95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460-43D9-A326-510513C7FE8B}"/>
                </c:ext>
              </c:extLst>
            </c:dLbl>
            <c:dLbl>
              <c:idx val="5"/>
              <c:tx>
                <c:rich>
                  <a:bodyPr/>
                  <a:lstStyle/>
                  <a:p>
                    <a:fld id="{1D82552A-C580-4B39-8331-095F702899B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460-43D9-A326-510513C7FE8B}"/>
                </c:ext>
              </c:extLst>
            </c:dLbl>
            <c:dLbl>
              <c:idx val="6"/>
              <c:tx>
                <c:rich>
                  <a:bodyPr/>
                  <a:lstStyle/>
                  <a:p>
                    <a:fld id="{9BBE514D-8753-456E-94BA-81C37E2D23A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460-43D9-A326-510513C7FE8B}"/>
                </c:ext>
              </c:extLst>
            </c:dLbl>
            <c:dLbl>
              <c:idx val="7"/>
              <c:tx>
                <c:rich>
                  <a:bodyPr/>
                  <a:lstStyle/>
                  <a:p>
                    <a:fld id="{2B720CD4-F91A-460A-A9C7-B0D6223E8A1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460-43D9-A326-510513C7FE8B}"/>
                </c:ext>
              </c:extLst>
            </c:dLbl>
            <c:dLbl>
              <c:idx val="8"/>
              <c:tx>
                <c:rich>
                  <a:bodyPr/>
                  <a:lstStyle/>
                  <a:p>
                    <a:fld id="{CEC2FA66-1720-4AA1-99A1-A2A81A8AFF7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460-43D9-A326-510513C7FE8B}"/>
                </c:ext>
              </c:extLst>
            </c:dLbl>
            <c:dLbl>
              <c:idx val="9"/>
              <c:tx>
                <c:rich>
                  <a:bodyPr/>
                  <a:lstStyle/>
                  <a:p>
                    <a:fld id="{AA577D2F-A3E6-4256-B960-0B6F18B87CC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460-43D9-A326-510513C7FE8B}"/>
                </c:ext>
              </c:extLst>
            </c:dLbl>
            <c:dLbl>
              <c:idx val="10"/>
              <c:tx>
                <c:rich>
                  <a:bodyPr/>
                  <a:lstStyle/>
                  <a:p>
                    <a:fld id="{0CADF527-E641-496A-867F-1C154BDFA7C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460-43D9-A326-510513C7FE8B}"/>
                </c:ext>
              </c:extLst>
            </c:dLbl>
            <c:dLbl>
              <c:idx val="11"/>
              <c:tx>
                <c:rich>
                  <a:bodyPr/>
                  <a:lstStyle/>
                  <a:p>
                    <a:fld id="{AD79ACE0-0CFC-46F5-874A-7FDE52C5EB7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460-43D9-A326-510513C7FE8B}"/>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SI_YG_Chart!$B$2:$B$13</c:f>
              <c:numCache>
                <c:formatCode>0.000_ </c:formatCode>
                <c:ptCount val="12"/>
                <c:pt idx="0">
                  <c:v>9.5749999999999993</c:v>
                </c:pt>
                <c:pt idx="1">
                  <c:v>12.535</c:v>
                </c:pt>
                <c:pt idx="2">
                  <c:v>11.6938888888889</c:v>
                </c:pt>
                <c:pt idx="3">
                  <c:v>13.976600877872601</c:v>
                </c:pt>
                <c:pt idx="4">
                  <c:v>13.2062222222222</c:v>
                </c:pt>
                <c:pt idx="5">
                  <c:v>12.842555555555601</c:v>
                </c:pt>
                <c:pt idx="6">
                  <c:v>11.4033977348566</c:v>
                </c:pt>
                <c:pt idx="7">
                  <c:v>9.8128223501127003</c:v>
                </c:pt>
                <c:pt idx="8">
                  <c:v>13.6415555555556</c:v>
                </c:pt>
                <c:pt idx="9">
                  <c:v>13.561282944991</c:v>
                </c:pt>
                <c:pt idx="10">
                  <c:v>13.4871111111111</c:v>
                </c:pt>
                <c:pt idx="11">
                  <c:v>12.9704444444444</c:v>
                </c:pt>
              </c:numCache>
            </c:numRef>
          </c:xVal>
          <c:yVal>
            <c:numRef>
              <c:f>SI_YG_Chart!$C$2:$C$13</c:f>
              <c:numCache>
                <c:formatCode>0.000_ </c:formatCode>
                <c:ptCount val="12"/>
                <c:pt idx="0">
                  <c:v>0.96629690073435304</c:v>
                </c:pt>
                <c:pt idx="1">
                  <c:v>1.0477183950247499</c:v>
                </c:pt>
                <c:pt idx="2">
                  <c:v>1.0324475523521699</c:v>
                </c:pt>
                <c:pt idx="3">
                  <c:v>1.01292284144557</c:v>
                </c:pt>
                <c:pt idx="4">
                  <c:v>1.04932167544737</c:v>
                </c:pt>
                <c:pt idx="5">
                  <c:v>0.99139710055460994</c:v>
                </c:pt>
                <c:pt idx="6">
                  <c:v>1.01118980358863</c:v>
                </c:pt>
                <c:pt idx="7">
                  <c:v>0.99464684364272804</c:v>
                </c:pt>
                <c:pt idx="8">
                  <c:v>0.94974882506971103</c:v>
                </c:pt>
                <c:pt idx="9">
                  <c:v>1.03214395812949</c:v>
                </c:pt>
                <c:pt idx="10">
                  <c:v>0.98117346972276598</c:v>
                </c:pt>
                <c:pt idx="11">
                  <c:v>0.95017904504873996</c:v>
                </c:pt>
              </c:numCache>
            </c:numRef>
          </c:yVal>
          <c:smooth val="0"/>
          <c:extLst>
            <c:ext xmlns:c15="http://schemas.microsoft.com/office/drawing/2012/chart" uri="{02D57815-91ED-43cb-92C2-25804820EDAC}">
              <c15:datalabelsRange>
                <c15:f>SI_YG_Chart!$A$2:$A$13</c15:f>
                <c15:dlblRangeCache>
                  <c:ptCount val="12"/>
                  <c:pt idx="0">
                    <c:v>9101</c:v>
                  </c:pt>
                  <c:pt idx="1">
                    <c:v>9301</c:v>
                  </c:pt>
                  <c:pt idx="2">
                    <c:v>9401</c:v>
                  </c:pt>
                  <c:pt idx="3">
                    <c:v>9501</c:v>
                  </c:pt>
                  <c:pt idx="4">
                    <c:v>9701</c:v>
                  </c:pt>
                  <c:pt idx="5">
                    <c:v>9801</c:v>
                  </c:pt>
                  <c:pt idx="6">
                    <c:v>9901</c:v>
                  </c:pt>
                  <c:pt idx="7">
                    <c:v>10101</c:v>
                  </c:pt>
                  <c:pt idx="8">
                    <c:v>10301</c:v>
                  </c:pt>
                  <c:pt idx="9">
                    <c:v>10401</c:v>
                  </c:pt>
                  <c:pt idx="10">
                    <c:v>10501</c:v>
                  </c:pt>
                  <c:pt idx="11">
                    <c:v>10901</c:v>
                  </c:pt>
                </c15:dlblRangeCache>
              </c15:datalabelsRange>
            </c:ext>
            <c:ext xmlns:c16="http://schemas.microsoft.com/office/drawing/2014/chart" uri="{C3380CC4-5D6E-409C-BE32-E72D297353CC}">
              <c16:uniqueId val="{0000000C-5460-43D9-A326-510513C7FE8B}"/>
            </c:ext>
          </c:extLst>
        </c:ser>
        <c:dLbls>
          <c:showLegendKey val="0"/>
          <c:showVal val="0"/>
          <c:showCatName val="0"/>
          <c:showSerName val="0"/>
          <c:showPercent val="0"/>
          <c:showBubbleSize val="0"/>
        </c:dLbls>
        <c:axId val="55565869"/>
        <c:axId val="102189494"/>
      </c:scatterChart>
      <c:valAx>
        <c:axId val="55565869"/>
        <c:scaling>
          <c:orientation val="minMax"/>
          <c:max val="15"/>
          <c:min val="9"/>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US" b="1"/>
                  <a:t>Average Yield Gap</a:t>
                </a:r>
              </a:p>
            </c:rich>
          </c:tx>
          <c:layout>
            <c:manualLayout>
              <c:xMode val="edge"/>
              <c:yMode val="edge"/>
              <c:x val="0.39632286704902636"/>
              <c:y val="0.89745355859643738"/>
            </c:manualLayout>
          </c:layout>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US"/>
            </a:p>
          </c:txPr>
        </c:title>
        <c:numFmt formatCode="0.000_ "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02189494"/>
        <c:crosses val="autoZero"/>
        <c:crossBetween val="midCat"/>
      </c:valAx>
      <c:valAx>
        <c:axId val="102189494"/>
        <c:scaling>
          <c:orientation val="minMax"/>
          <c:max val="1.08"/>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US" b="1"/>
                  <a:t>Average Stress index</a:t>
                </a:r>
              </a:p>
            </c:rich>
          </c:tx>
          <c:layout>
            <c:manualLayout>
              <c:xMode val="edge"/>
              <c:yMode val="edge"/>
              <c:x val="1.3352775347526004E-3"/>
              <c:y val="0.26228346456692914"/>
            </c:manualLayout>
          </c:layout>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US"/>
            </a:p>
          </c:txPr>
        </c:title>
        <c:numFmt formatCode="0.00_);[Red]\(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5565869"/>
        <c:crosses val="autoZero"/>
        <c:crossBetween val="midCat"/>
      </c:valAx>
      <c:spPr>
        <a:noFill/>
        <a:ln w="9525" cap="flat" cmpd="sng" algn="ctr">
          <a:solidFill>
            <a:schemeClr val="tx1">
              <a:lumMod val="15000"/>
              <a:lumOff val="85000"/>
            </a:schemeClr>
          </a:solidFill>
          <a:round/>
        </a:ln>
        <a:effectLst/>
      </c:spPr>
    </c:plotArea>
    <c:plotVisOnly val="1"/>
    <c:dispBlanksAs val="gap"/>
    <c:showDLblsOverMax val="0"/>
    <c:extLst>
      <c:ext uri="{0b15fc19-7d7d-44ad-8c2d-2c3a37ce22c3}">
        <chartProps xmlns="https://web.wps.cn/et/2018/main" chartId="{2443b32c-6463-4345-af7a-9f2f8e559df3}"/>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xdr:col>
      <xdr:colOff>868045</xdr:colOff>
      <xdr:row>6</xdr:row>
      <xdr:rowOff>22225</xdr:rowOff>
    </xdr:from>
    <xdr:to>
      <xdr:col>7</xdr:col>
      <xdr:colOff>140335</xdr:colOff>
      <xdr:row>19</xdr:row>
      <xdr:rowOff>175260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228600</xdr:colOff>
      <xdr:row>16</xdr:row>
      <xdr:rowOff>9525</xdr:rowOff>
    </xdr:from>
    <xdr:to>
      <xdr:col>12</xdr:col>
      <xdr:colOff>657225</xdr:colOff>
      <xdr:row>21</xdr:row>
      <xdr:rowOff>0</xdr:rowOff>
    </xdr:to>
    <xdr:sp macro="" textlink="">
      <xdr:nvSpPr>
        <xdr:cNvPr id="16" name="Rectangle 15">
          <a:extLst>
            <a:ext uri="{FF2B5EF4-FFF2-40B4-BE49-F238E27FC236}">
              <a16:creationId xmlns:a16="http://schemas.microsoft.com/office/drawing/2014/main" id="{00000000-0008-0000-0A00-000010000000}"/>
            </a:ext>
          </a:extLst>
        </xdr:cNvPr>
        <xdr:cNvSpPr/>
      </xdr:nvSpPr>
      <xdr:spPr>
        <a:xfrm>
          <a:off x="9277350" y="3105150"/>
          <a:ext cx="2228850" cy="94297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19050</xdr:colOff>
      <xdr:row>16</xdr:row>
      <xdr:rowOff>123824</xdr:rowOff>
    </xdr:from>
    <xdr:to>
      <xdr:col>7</xdr:col>
      <xdr:colOff>514350</xdr:colOff>
      <xdr:row>21</xdr:row>
      <xdr:rowOff>76199</xdr:rowOff>
    </xdr:to>
    <xdr:sp macro="" textlink="">
      <xdr:nvSpPr>
        <xdr:cNvPr id="15" name="Rectangle 14">
          <a:extLst>
            <a:ext uri="{FF2B5EF4-FFF2-40B4-BE49-F238E27FC236}">
              <a16:creationId xmlns:a16="http://schemas.microsoft.com/office/drawing/2014/main" id="{00000000-0008-0000-0A00-00000F000000}"/>
            </a:ext>
          </a:extLst>
        </xdr:cNvPr>
        <xdr:cNvSpPr/>
      </xdr:nvSpPr>
      <xdr:spPr>
        <a:xfrm>
          <a:off x="4591050" y="3218815"/>
          <a:ext cx="2695575" cy="90487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200025</xdr:colOff>
      <xdr:row>16</xdr:row>
      <xdr:rowOff>57151</xdr:rowOff>
    </xdr:from>
    <xdr:to>
      <xdr:col>3</xdr:col>
      <xdr:colOff>476250</xdr:colOff>
      <xdr:row>21</xdr:row>
      <xdr:rowOff>38101</xdr:rowOff>
    </xdr:to>
    <xdr:sp macro="" textlink="">
      <xdr:nvSpPr>
        <xdr:cNvPr id="8" name="Rectangle 7">
          <a:extLst>
            <a:ext uri="{FF2B5EF4-FFF2-40B4-BE49-F238E27FC236}">
              <a16:creationId xmlns:a16="http://schemas.microsoft.com/office/drawing/2014/main" id="{00000000-0008-0000-0A00-000008000000}"/>
            </a:ext>
          </a:extLst>
        </xdr:cNvPr>
        <xdr:cNvSpPr/>
      </xdr:nvSpPr>
      <xdr:spPr>
        <a:xfrm>
          <a:off x="800100" y="3152775"/>
          <a:ext cx="2228850" cy="933450"/>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114300</xdr:colOff>
      <xdr:row>3</xdr:row>
      <xdr:rowOff>66674</xdr:rowOff>
    </xdr:from>
    <xdr:to>
      <xdr:col>4</xdr:col>
      <xdr:colOff>476250</xdr:colOff>
      <xdr:row>15</xdr:row>
      <xdr:rowOff>95249</xdr:rowOff>
    </xdr:to>
    <xdr:graphicFrame macro="">
      <xdr:nvGraphicFramePr>
        <xdr:cNvPr id="4" name="Chart 1">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638176</xdr:colOff>
      <xdr:row>3</xdr:row>
      <xdr:rowOff>90485</xdr:rowOff>
    </xdr:from>
    <xdr:to>
      <xdr:col>7</xdr:col>
      <xdr:colOff>1419226</xdr:colOff>
      <xdr:row>16</xdr:row>
      <xdr:rowOff>28574</xdr:rowOff>
    </xdr:to>
    <xdr:graphicFrame macro="">
      <xdr:nvGraphicFramePr>
        <xdr:cNvPr id="6" name="Chart 1">
          <a:extLst>
            <a:ext uri="{FF2B5EF4-FFF2-40B4-BE49-F238E27FC236}">
              <a16:creationId xmlns:a16="http://schemas.microsoft.com/office/drawing/2014/main" id="{00000000-0008-0000-0A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1581150</xdr:colOff>
      <xdr:row>3</xdr:row>
      <xdr:rowOff>85725</xdr:rowOff>
    </xdr:from>
    <xdr:to>
      <xdr:col>13</xdr:col>
      <xdr:colOff>447675</xdr:colOff>
      <xdr:row>15</xdr:row>
      <xdr:rowOff>85725</xdr:rowOff>
    </xdr:to>
    <xdr:graphicFrame macro="">
      <xdr:nvGraphicFramePr>
        <xdr:cNvPr id="7" name="Chart 3">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276225</xdr:colOff>
      <xdr:row>18</xdr:row>
      <xdr:rowOff>85725</xdr:rowOff>
    </xdr:from>
    <xdr:to>
      <xdr:col>3</xdr:col>
      <xdr:colOff>419099</xdr:colOff>
      <xdr:row>21</xdr:row>
      <xdr:rowOff>19050</xdr:rowOff>
    </xdr:to>
    <xdr:sp macro="" textlink="Avg_Yield">
      <xdr:nvSpPr>
        <xdr:cNvPr id="9" name="TextBox 8">
          <a:extLst>
            <a:ext uri="{FF2B5EF4-FFF2-40B4-BE49-F238E27FC236}">
              <a16:creationId xmlns:a16="http://schemas.microsoft.com/office/drawing/2014/main" id="{00000000-0008-0000-0A00-000009000000}"/>
            </a:ext>
          </a:extLst>
        </xdr:cNvPr>
        <xdr:cNvSpPr txBox="1"/>
      </xdr:nvSpPr>
      <xdr:spPr>
        <a:xfrm>
          <a:off x="876300" y="3562350"/>
          <a:ext cx="2094865" cy="504825"/>
        </a:xfrm>
        <a:prstGeom prst="rect">
          <a:avLst/>
        </a:prstGeom>
        <a:ln>
          <a:solidFill>
            <a:srgbClr val="66FF99"/>
          </a:solid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fld id="{8B4055EF-5C5F-4A3F-967E-E16B2689C502}" type="TxLink">
            <a:rPr lang="en-US" sz="2000" b="1" i="0" u="none" strike="noStrike">
              <a:solidFill>
                <a:srgbClr val="000000"/>
              </a:solidFill>
              <a:latin typeface="Calibri" panose="020F0502020204030204"/>
              <a:cs typeface="Calibri" panose="020F0502020204030204"/>
            </a:rPr>
            <a:pPr algn="ctr"/>
            <a:t>2.149333333</a:t>
          </a:fld>
          <a:endParaRPr lang="en-US" sz="2000" b="1"/>
        </a:p>
      </xdr:txBody>
    </xdr:sp>
    <xdr:clientData/>
  </xdr:twoCellAnchor>
  <xdr:twoCellAnchor>
    <xdr:from>
      <xdr:col>2</xdr:col>
      <xdr:colOff>38100</xdr:colOff>
      <xdr:row>15</xdr:row>
      <xdr:rowOff>171449</xdr:rowOff>
    </xdr:from>
    <xdr:to>
      <xdr:col>2</xdr:col>
      <xdr:colOff>1323975</xdr:colOff>
      <xdr:row>18</xdr:row>
      <xdr:rowOff>123825</xdr:rowOff>
    </xdr:to>
    <xdr:sp macro="" textlink="">
      <xdr:nvSpPr>
        <xdr:cNvPr id="10" name="TextBox 9">
          <a:extLst>
            <a:ext uri="{FF2B5EF4-FFF2-40B4-BE49-F238E27FC236}">
              <a16:creationId xmlns:a16="http://schemas.microsoft.com/office/drawing/2014/main" id="{00000000-0008-0000-0A00-00000A000000}"/>
            </a:ext>
          </a:extLst>
        </xdr:cNvPr>
        <xdr:cNvSpPr txBox="1"/>
      </xdr:nvSpPr>
      <xdr:spPr>
        <a:xfrm>
          <a:off x="1238250" y="3075940"/>
          <a:ext cx="1285875" cy="524510"/>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pPr algn="ctr"/>
          <a:r>
            <a:rPr lang="en-US" sz="1200" b="0" i="0" u="none" strike="noStrike">
              <a:solidFill>
                <a:srgbClr val="000000"/>
              </a:solidFill>
              <a:latin typeface="+mn-lt"/>
              <a:cs typeface="Calibri" panose="020F0502020204030204"/>
            </a:rPr>
            <a:t>Average</a:t>
          </a:r>
          <a:r>
            <a:rPr lang="en-US" sz="1200" b="0" i="0" u="none" strike="noStrike" baseline="0">
              <a:solidFill>
                <a:srgbClr val="000000"/>
              </a:solidFill>
              <a:latin typeface="+mn-lt"/>
              <a:cs typeface="Calibri" panose="020F0502020204030204"/>
            </a:rPr>
            <a:t> </a:t>
          </a:r>
          <a:r>
            <a:rPr lang="en-US" sz="1200" b="0" i="0" u="none" strike="noStrike">
              <a:solidFill>
                <a:srgbClr val="000000"/>
              </a:solidFill>
              <a:latin typeface="+mn-lt"/>
              <a:cs typeface="Calibri" panose="020F0502020204030204"/>
            </a:rPr>
            <a:t>Yield_kg/ha</a:t>
          </a:r>
        </a:p>
        <a:p>
          <a:pPr algn="ctr"/>
          <a:endParaRPr lang="en-US" sz="1100" b="0" i="0" u="none" strike="noStrike">
            <a:solidFill>
              <a:srgbClr val="000000"/>
            </a:solidFill>
            <a:latin typeface="+mn-lt"/>
            <a:cs typeface="Calibri" panose="020F0502020204030204"/>
          </a:endParaRPr>
        </a:p>
      </xdr:txBody>
    </xdr:sp>
    <xdr:clientData/>
  </xdr:twoCellAnchor>
  <xdr:twoCellAnchor>
    <xdr:from>
      <xdr:col>5</xdr:col>
      <xdr:colOff>190500</xdr:colOff>
      <xdr:row>18</xdr:row>
      <xdr:rowOff>95250</xdr:rowOff>
    </xdr:from>
    <xdr:to>
      <xdr:col>7</xdr:col>
      <xdr:colOff>485776</xdr:colOff>
      <xdr:row>21</xdr:row>
      <xdr:rowOff>28576</xdr:rowOff>
    </xdr:to>
    <xdr:sp macro="" textlink="Gap">
      <xdr:nvSpPr>
        <xdr:cNvPr id="11" name="TextBox 10">
          <a:extLst>
            <a:ext uri="{FF2B5EF4-FFF2-40B4-BE49-F238E27FC236}">
              <a16:creationId xmlns:a16="http://schemas.microsoft.com/office/drawing/2014/main" id="{00000000-0008-0000-0A00-00000B000000}"/>
            </a:ext>
          </a:extLst>
        </xdr:cNvPr>
        <xdr:cNvSpPr txBox="1"/>
      </xdr:nvSpPr>
      <xdr:spPr>
        <a:xfrm>
          <a:off x="4762500" y="3571875"/>
          <a:ext cx="2495550" cy="504825"/>
        </a:xfrm>
        <a:prstGeom prst="rect">
          <a:avLst/>
        </a:prstGeom>
        <a:ln>
          <a:solidFill>
            <a:srgbClr val="66FF99"/>
          </a:solid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marL="0" indent="0" algn="ctr"/>
          <a:fld id="{57EE334B-44B5-450E-954D-356FAF23847A}" type="TxLink">
            <a:rPr lang="en-US" sz="2000" b="1" i="0" u="none" strike="noStrike">
              <a:solidFill>
                <a:srgbClr val="000000"/>
              </a:solidFill>
              <a:latin typeface="Calibri" panose="020F0502020204030204"/>
              <a:ea typeface="+mn-ea"/>
              <a:cs typeface="Calibri" panose="020F0502020204030204"/>
            </a:rPr>
            <a:pPr marL="0" indent="0" algn="ctr"/>
            <a:t>13.20622222</a:t>
          </a:fld>
          <a:endParaRPr lang="en-US" sz="2000" b="1" i="0" u="none" strike="noStrike">
            <a:solidFill>
              <a:srgbClr val="000000"/>
            </a:solidFill>
            <a:latin typeface="Calibri" panose="020F0502020204030204"/>
            <a:ea typeface="+mn-ea"/>
            <a:cs typeface="Calibri" panose="020F0502020204030204"/>
          </a:endParaRPr>
        </a:p>
      </xdr:txBody>
    </xdr:sp>
    <xdr:clientData/>
  </xdr:twoCellAnchor>
  <xdr:twoCellAnchor>
    <xdr:from>
      <xdr:col>5</xdr:col>
      <xdr:colOff>600074</xdr:colOff>
      <xdr:row>16</xdr:row>
      <xdr:rowOff>47625</xdr:rowOff>
    </xdr:from>
    <xdr:to>
      <xdr:col>6</xdr:col>
      <xdr:colOff>1590674</xdr:colOff>
      <xdr:row>19</xdr:row>
      <xdr:rowOff>0</xdr:rowOff>
    </xdr:to>
    <xdr:sp macro="" textlink="">
      <xdr:nvSpPr>
        <xdr:cNvPr id="12" name="TextBox 11">
          <a:extLst>
            <a:ext uri="{FF2B5EF4-FFF2-40B4-BE49-F238E27FC236}">
              <a16:creationId xmlns:a16="http://schemas.microsoft.com/office/drawing/2014/main" id="{00000000-0008-0000-0A00-00000C000000}"/>
            </a:ext>
          </a:extLst>
        </xdr:cNvPr>
        <xdr:cNvSpPr txBox="1"/>
      </xdr:nvSpPr>
      <xdr:spPr>
        <a:xfrm>
          <a:off x="5171440" y="3143250"/>
          <a:ext cx="1590675" cy="523875"/>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pPr marL="0" indent="0" algn="ctr"/>
          <a:r>
            <a:rPr lang="en-US" sz="1200" b="0" i="0" u="none" strike="noStrike">
              <a:solidFill>
                <a:srgbClr val="000000"/>
              </a:solidFill>
              <a:latin typeface="+mn-lt"/>
              <a:ea typeface="+mn-ea"/>
              <a:cs typeface="Calibri" panose="020F0502020204030204"/>
            </a:rPr>
            <a:t>Average</a:t>
          </a:r>
        </a:p>
        <a:p>
          <a:pPr marL="0" indent="0" algn="ctr"/>
          <a:r>
            <a:rPr lang="en-US" sz="1200" b="0" i="0" u="none" strike="noStrike">
              <a:solidFill>
                <a:srgbClr val="000000"/>
              </a:solidFill>
              <a:latin typeface="+mn-lt"/>
              <a:ea typeface="+mn-ea"/>
              <a:cs typeface="Calibri" panose="020F0502020204030204"/>
            </a:rPr>
            <a:t>Yield Gap</a:t>
          </a:r>
        </a:p>
        <a:p>
          <a:pPr marL="0" indent="0" algn="ctr"/>
          <a:endParaRPr lang="en-US" sz="1200" b="0" i="0" u="none" strike="noStrike">
            <a:solidFill>
              <a:srgbClr val="000000"/>
            </a:solidFill>
            <a:latin typeface="+mn-lt"/>
            <a:ea typeface="+mn-ea"/>
            <a:cs typeface="Calibri" panose="020F0502020204030204"/>
          </a:endParaRPr>
        </a:p>
      </xdr:txBody>
    </xdr:sp>
    <xdr:clientData/>
  </xdr:twoCellAnchor>
  <xdr:twoCellAnchor>
    <xdr:from>
      <xdr:col>9</xdr:col>
      <xdr:colOff>561974</xdr:colOff>
      <xdr:row>15</xdr:row>
      <xdr:rowOff>114299</xdr:rowOff>
    </xdr:from>
    <xdr:to>
      <xdr:col>12</xdr:col>
      <xdr:colOff>333374</xdr:colOff>
      <xdr:row>18</xdr:row>
      <xdr:rowOff>47624</xdr:rowOff>
    </xdr:to>
    <xdr:sp macro="" textlink="">
      <xdr:nvSpPr>
        <xdr:cNvPr id="13" name="TextBox 12">
          <a:extLst>
            <a:ext uri="{FF2B5EF4-FFF2-40B4-BE49-F238E27FC236}">
              <a16:creationId xmlns:a16="http://schemas.microsoft.com/office/drawing/2014/main" id="{00000000-0008-0000-0A00-00000D000000}"/>
            </a:ext>
          </a:extLst>
        </xdr:cNvPr>
        <xdr:cNvSpPr txBox="1"/>
      </xdr:nvSpPr>
      <xdr:spPr>
        <a:xfrm>
          <a:off x="9610090" y="3018790"/>
          <a:ext cx="1571625" cy="504825"/>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pPr marL="0" indent="0" algn="ctr"/>
          <a:r>
            <a:rPr lang="en-US" sz="1200" b="0" i="0" u="none" strike="noStrike">
              <a:solidFill>
                <a:srgbClr val="000000"/>
              </a:solidFill>
              <a:latin typeface="+mn-lt"/>
              <a:ea typeface="+mn-ea"/>
              <a:cs typeface="Calibri" panose="020F0502020204030204"/>
            </a:rPr>
            <a:t>Average</a:t>
          </a:r>
        </a:p>
        <a:p>
          <a:pPr marL="0" indent="0" algn="ctr"/>
          <a:r>
            <a:rPr lang="en-US" sz="1200" b="0" i="0" u="none" strike="noStrike">
              <a:solidFill>
                <a:srgbClr val="000000"/>
              </a:solidFill>
              <a:latin typeface="+mn-lt"/>
              <a:ea typeface="+mn-ea"/>
              <a:cs typeface="Calibri" panose="020F0502020204030204"/>
            </a:rPr>
            <a:t>Stress Index</a:t>
          </a:r>
        </a:p>
        <a:p>
          <a:pPr marL="0" indent="0" algn="ctr"/>
          <a:endParaRPr lang="en-US" sz="1200" b="0" i="0" u="none" strike="noStrike">
            <a:solidFill>
              <a:srgbClr val="000000"/>
            </a:solidFill>
            <a:latin typeface="+mn-lt"/>
            <a:ea typeface="+mn-ea"/>
            <a:cs typeface="Calibri" panose="020F0502020204030204"/>
          </a:endParaRPr>
        </a:p>
      </xdr:txBody>
    </xdr:sp>
    <xdr:clientData/>
  </xdr:twoCellAnchor>
  <xdr:twoCellAnchor>
    <xdr:from>
      <xdr:col>9</xdr:col>
      <xdr:colOff>285750</xdr:colOff>
      <xdr:row>18</xdr:row>
      <xdr:rowOff>66675</xdr:rowOff>
    </xdr:from>
    <xdr:to>
      <xdr:col>12</xdr:col>
      <xdr:colOff>619125</xdr:colOff>
      <xdr:row>20</xdr:row>
      <xdr:rowOff>180975</xdr:rowOff>
    </xdr:to>
    <xdr:sp macro="" textlink="Index">
      <xdr:nvSpPr>
        <xdr:cNvPr id="14" name="TextBox 13">
          <a:extLst>
            <a:ext uri="{FF2B5EF4-FFF2-40B4-BE49-F238E27FC236}">
              <a16:creationId xmlns:a16="http://schemas.microsoft.com/office/drawing/2014/main" id="{00000000-0008-0000-0A00-00000E000000}"/>
            </a:ext>
          </a:extLst>
        </xdr:cNvPr>
        <xdr:cNvSpPr txBox="1"/>
      </xdr:nvSpPr>
      <xdr:spPr>
        <a:xfrm>
          <a:off x="9334500" y="3543300"/>
          <a:ext cx="2133600" cy="495300"/>
        </a:xfrm>
        <a:prstGeom prst="rect">
          <a:avLst/>
        </a:prstGeom>
        <a:ln>
          <a:solidFill>
            <a:srgbClr val="66FF99"/>
          </a:solid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marL="0" indent="0" algn="ctr"/>
          <a:fld id="{AC5EA5E3-61EF-4F87-9ACC-1AC45A135B6D}" type="TxLink">
            <a:rPr lang="en-US" sz="2000" b="1" i="0" u="none" strike="noStrike">
              <a:solidFill>
                <a:srgbClr val="000000"/>
              </a:solidFill>
              <a:latin typeface="Calibri" panose="020F0502020204030204"/>
              <a:ea typeface="+mn-ea"/>
              <a:cs typeface="Calibri" panose="020F0502020204030204"/>
            </a:rPr>
            <a:pPr marL="0" indent="0" algn="ctr"/>
            <a:t>1.049321675</a:t>
          </a:fld>
          <a:endParaRPr lang="en-US" sz="2000" b="1" i="0" u="none" strike="noStrike">
            <a:solidFill>
              <a:srgbClr val="000000"/>
            </a:solidFill>
            <a:latin typeface="Calibri" panose="020F0502020204030204"/>
            <a:ea typeface="+mn-ea"/>
            <a:cs typeface="Calibri" panose="020F0502020204030204"/>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50800</xdr:colOff>
      <xdr:row>1</xdr:row>
      <xdr:rowOff>98425</xdr:rowOff>
    </xdr:from>
    <xdr:to>
      <xdr:col>17</xdr:col>
      <xdr:colOff>123190</xdr:colOff>
      <xdr:row>17</xdr:row>
      <xdr:rowOff>84455</xdr:rowOff>
    </xdr:to>
    <xdr:graphicFrame macro="">
      <xdr:nvGraphicFramePr>
        <xdr:cNvPr id="6" name="Chart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38100</xdr:colOff>
      <xdr:row>21</xdr:row>
      <xdr:rowOff>28575</xdr:rowOff>
    </xdr:from>
    <xdr:to>
      <xdr:col>7</xdr:col>
      <xdr:colOff>279400</xdr:colOff>
      <xdr:row>31</xdr:row>
      <xdr:rowOff>169545</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923925" y="4029075"/>
          <a:ext cx="4527550" cy="2045970"/>
        </a:xfrm>
        <a:prstGeom prst="rect">
          <a:avLst/>
        </a:prstGeom>
        <a:noFill/>
        <a:ln w="9525">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12700</xdr:colOff>
      <xdr:row>3</xdr:row>
      <xdr:rowOff>51435</xdr:rowOff>
    </xdr:from>
    <xdr:to>
      <xdr:col>3</xdr:col>
      <xdr:colOff>711200</xdr:colOff>
      <xdr:row>5</xdr:row>
      <xdr:rowOff>77470</xdr:rowOff>
    </xdr:to>
    <xdr:sp macro="" textlink="">
      <xdr:nvSpPr>
        <xdr:cNvPr id="2" name="Rounded Rectangle 1">
          <a:extLst>
            <a:ext uri="{FF2B5EF4-FFF2-40B4-BE49-F238E27FC236}">
              <a16:creationId xmlns:a16="http://schemas.microsoft.com/office/drawing/2014/main" id="{00000000-0008-0000-0E00-000002000000}"/>
            </a:ext>
          </a:extLst>
        </xdr:cNvPr>
        <xdr:cNvSpPr/>
      </xdr:nvSpPr>
      <xdr:spPr>
        <a:xfrm>
          <a:off x="1231900" y="749935"/>
          <a:ext cx="1555750" cy="407035"/>
        </a:xfrm>
        <a:prstGeom prst="roundRect">
          <a:avLst/>
        </a:prstGeom>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14</xdr:col>
      <xdr:colOff>569595</xdr:colOff>
      <xdr:row>28</xdr:row>
      <xdr:rowOff>137160</xdr:rowOff>
    </xdr:from>
    <xdr:to>
      <xdr:col>20</xdr:col>
      <xdr:colOff>299720</xdr:colOff>
      <xdr:row>32</xdr:row>
      <xdr:rowOff>8890</xdr:rowOff>
    </xdr:to>
    <xdr:sp macro="" textlink="">
      <xdr:nvSpPr>
        <xdr:cNvPr id="26" name="Rounded Rectangle 25">
          <a:extLst>
            <a:ext uri="{FF2B5EF4-FFF2-40B4-BE49-F238E27FC236}">
              <a16:creationId xmlns:a16="http://schemas.microsoft.com/office/drawing/2014/main" id="{00000000-0008-0000-0E00-00001A000000}"/>
            </a:ext>
          </a:extLst>
        </xdr:cNvPr>
        <xdr:cNvSpPr/>
      </xdr:nvSpPr>
      <xdr:spPr>
        <a:xfrm>
          <a:off x="10761345" y="5598160"/>
          <a:ext cx="4054475" cy="633730"/>
        </a:xfrm>
        <a:prstGeom prst="roundRect">
          <a:avLst/>
        </a:prstGeom>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15</xdr:col>
      <xdr:colOff>40640</xdr:colOff>
      <xdr:row>27</xdr:row>
      <xdr:rowOff>175260</xdr:rowOff>
    </xdr:from>
    <xdr:to>
      <xdr:col>20</xdr:col>
      <xdr:colOff>199390</xdr:colOff>
      <xdr:row>31</xdr:row>
      <xdr:rowOff>56515</xdr:rowOff>
    </xdr:to>
    <xdr:sp macro="" textlink="">
      <xdr:nvSpPr>
        <xdr:cNvPr id="36" name="Rounded Rectangle 35">
          <a:extLst>
            <a:ext uri="{FF2B5EF4-FFF2-40B4-BE49-F238E27FC236}">
              <a16:creationId xmlns:a16="http://schemas.microsoft.com/office/drawing/2014/main" id="{00000000-0008-0000-0E00-000024000000}"/>
            </a:ext>
          </a:extLst>
        </xdr:cNvPr>
        <xdr:cNvSpPr/>
      </xdr:nvSpPr>
      <xdr:spPr>
        <a:xfrm>
          <a:off x="10841990" y="5445760"/>
          <a:ext cx="3873500" cy="643255"/>
        </a:xfrm>
        <a:prstGeom prst="roundRect">
          <a:avLst/>
        </a:prstGeom>
        <a:solidFill>
          <a:schemeClr val="accent6">
            <a:lumMod val="20000"/>
            <a:lumOff val="80000"/>
          </a:schemeClr>
        </a:solidFill>
        <a:ln w="28575" cap="flat" cmpd="sng" algn="ctr">
          <a:solidFill>
            <a:schemeClr val="accent6">
              <a:lumMod val="60000"/>
              <a:lumOff val="4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7</xdr:col>
      <xdr:colOff>774700</xdr:colOff>
      <xdr:row>28</xdr:row>
      <xdr:rowOff>137160</xdr:rowOff>
    </xdr:from>
    <xdr:to>
      <xdr:col>13</xdr:col>
      <xdr:colOff>257175</xdr:colOff>
      <xdr:row>32</xdr:row>
      <xdr:rowOff>8890</xdr:rowOff>
    </xdr:to>
    <xdr:sp macro="" textlink="">
      <xdr:nvSpPr>
        <xdr:cNvPr id="17" name="Rounded Rectangle 16">
          <a:extLst>
            <a:ext uri="{FF2B5EF4-FFF2-40B4-BE49-F238E27FC236}">
              <a16:creationId xmlns:a16="http://schemas.microsoft.com/office/drawing/2014/main" id="{00000000-0008-0000-0E00-000011000000}"/>
            </a:ext>
          </a:extLst>
        </xdr:cNvPr>
        <xdr:cNvSpPr/>
      </xdr:nvSpPr>
      <xdr:spPr>
        <a:xfrm>
          <a:off x="5784850" y="5598160"/>
          <a:ext cx="4054475" cy="633730"/>
        </a:xfrm>
        <a:prstGeom prst="roundRect">
          <a:avLst/>
        </a:prstGeom>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8</xdr:col>
      <xdr:colOff>13335</xdr:colOff>
      <xdr:row>27</xdr:row>
      <xdr:rowOff>187960</xdr:rowOff>
    </xdr:from>
    <xdr:to>
      <xdr:col>13</xdr:col>
      <xdr:colOff>172085</xdr:colOff>
      <xdr:row>31</xdr:row>
      <xdr:rowOff>69215</xdr:rowOff>
    </xdr:to>
    <xdr:sp macro="" textlink="">
      <xdr:nvSpPr>
        <xdr:cNvPr id="35" name="Rounded Rectangle 34">
          <a:extLst>
            <a:ext uri="{FF2B5EF4-FFF2-40B4-BE49-F238E27FC236}">
              <a16:creationId xmlns:a16="http://schemas.microsoft.com/office/drawing/2014/main" id="{00000000-0008-0000-0E00-000023000000}"/>
            </a:ext>
          </a:extLst>
        </xdr:cNvPr>
        <xdr:cNvSpPr/>
      </xdr:nvSpPr>
      <xdr:spPr>
        <a:xfrm>
          <a:off x="5880735" y="5458460"/>
          <a:ext cx="3873500" cy="643255"/>
        </a:xfrm>
        <a:prstGeom prst="roundRect">
          <a:avLst/>
        </a:prstGeom>
        <a:solidFill>
          <a:schemeClr val="accent6">
            <a:lumMod val="20000"/>
            <a:lumOff val="80000"/>
          </a:schemeClr>
        </a:solidFill>
        <a:ln w="28575" cap="flat" cmpd="sng" algn="ctr">
          <a:solidFill>
            <a:schemeClr val="accent6">
              <a:lumMod val="60000"/>
              <a:lumOff val="4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0</xdr:col>
      <xdr:colOff>635</xdr:colOff>
      <xdr:row>10</xdr:row>
      <xdr:rowOff>113030</xdr:rowOff>
    </xdr:from>
    <xdr:to>
      <xdr:col>5</xdr:col>
      <xdr:colOff>542925</xdr:colOff>
      <xdr:row>15</xdr:row>
      <xdr:rowOff>160020</xdr:rowOff>
    </xdr:to>
    <xdr:sp macro="" textlink="">
      <xdr:nvSpPr>
        <xdr:cNvPr id="31" name="Oval 30">
          <a:extLst>
            <a:ext uri="{FF2B5EF4-FFF2-40B4-BE49-F238E27FC236}">
              <a16:creationId xmlns:a16="http://schemas.microsoft.com/office/drawing/2014/main" id="{00000000-0008-0000-0E00-00001F000000}"/>
            </a:ext>
          </a:extLst>
        </xdr:cNvPr>
        <xdr:cNvSpPr/>
      </xdr:nvSpPr>
      <xdr:spPr>
        <a:xfrm>
          <a:off x="635" y="2145030"/>
          <a:ext cx="4085590" cy="999490"/>
        </a:xfrm>
        <a:prstGeom prst="ellipse">
          <a:avLst/>
        </a:prstGeom>
      </xdr:spPr>
      <xdr:style>
        <a:lnRef idx="0">
          <a:srgbClr val="FFFFFF"/>
        </a:lnRef>
        <a:fillRef idx="2">
          <a:schemeClr val="accent6"/>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0</xdr:col>
      <xdr:colOff>345440</xdr:colOff>
      <xdr:row>27</xdr:row>
      <xdr:rowOff>66040</xdr:rowOff>
    </xdr:from>
    <xdr:to>
      <xdr:col>6</xdr:col>
      <xdr:colOff>410210</xdr:colOff>
      <xdr:row>30</xdr:row>
      <xdr:rowOff>161290</xdr:rowOff>
    </xdr:to>
    <xdr:sp macro="" textlink="">
      <xdr:nvSpPr>
        <xdr:cNvPr id="16" name="Rounded Rectangle 15">
          <a:extLst>
            <a:ext uri="{FF2B5EF4-FFF2-40B4-BE49-F238E27FC236}">
              <a16:creationId xmlns:a16="http://schemas.microsoft.com/office/drawing/2014/main" id="{00000000-0008-0000-0E00-000010000000}"/>
            </a:ext>
          </a:extLst>
        </xdr:cNvPr>
        <xdr:cNvSpPr/>
      </xdr:nvSpPr>
      <xdr:spPr>
        <a:xfrm>
          <a:off x="345440" y="5336540"/>
          <a:ext cx="4465320" cy="666750"/>
        </a:xfrm>
        <a:prstGeom prst="roundRect">
          <a:avLst/>
        </a:prstGeom>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7</xdr:col>
      <xdr:colOff>775970</xdr:colOff>
      <xdr:row>3</xdr:row>
      <xdr:rowOff>89535</xdr:rowOff>
    </xdr:from>
    <xdr:to>
      <xdr:col>22</xdr:col>
      <xdr:colOff>814705</xdr:colOff>
      <xdr:row>6</xdr:row>
      <xdr:rowOff>178435</xdr:rowOff>
    </xdr:to>
    <xdr:sp macro="" textlink="">
      <xdr:nvSpPr>
        <xdr:cNvPr id="8" name="Rounded Rectangle 7">
          <a:extLst>
            <a:ext uri="{FF2B5EF4-FFF2-40B4-BE49-F238E27FC236}">
              <a16:creationId xmlns:a16="http://schemas.microsoft.com/office/drawing/2014/main" id="{00000000-0008-0000-0E00-000008000000}"/>
            </a:ext>
          </a:extLst>
        </xdr:cNvPr>
        <xdr:cNvSpPr/>
      </xdr:nvSpPr>
      <xdr:spPr>
        <a:xfrm>
          <a:off x="5786120" y="788035"/>
          <a:ext cx="10763885" cy="660400"/>
        </a:xfrm>
        <a:prstGeom prst="roundRect">
          <a:avLst/>
        </a:prstGeom>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7</xdr:col>
          <xdr:colOff>781050</xdr:colOff>
          <xdr:row>7</xdr:row>
          <xdr:rowOff>95250</xdr:rowOff>
        </xdr:from>
        <xdr:to>
          <xdr:col>14</xdr:col>
          <xdr:colOff>390525</xdr:colOff>
          <xdr:row>27</xdr:row>
          <xdr:rowOff>104775</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E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0</xdr:col>
      <xdr:colOff>416560</xdr:colOff>
      <xdr:row>26</xdr:row>
      <xdr:rowOff>114300</xdr:rowOff>
    </xdr:from>
    <xdr:to>
      <xdr:col>6</xdr:col>
      <xdr:colOff>312420</xdr:colOff>
      <xdr:row>30</xdr:row>
      <xdr:rowOff>46990</xdr:rowOff>
    </xdr:to>
    <xdr:sp macro="" textlink="">
      <xdr:nvSpPr>
        <xdr:cNvPr id="9" name="Rounded Rectangle 8">
          <a:extLst>
            <a:ext uri="{FF2B5EF4-FFF2-40B4-BE49-F238E27FC236}">
              <a16:creationId xmlns:a16="http://schemas.microsoft.com/office/drawing/2014/main" id="{00000000-0008-0000-0E00-000009000000}"/>
            </a:ext>
          </a:extLst>
        </xdr:cNvPr>
        <xdr:cNvSpPr/>
      </xdr:nvSpPr>
      <xdr:spPr>
        <a:xfrm>
          <a:off x="416560" y="5194300"/>
          <a:ext cx="4296410" cy="694690"/>
        </a:xfrm>
        <a:prstGeom prst="roundRect">
          <a:avLst/>
        </a:prstGeom>
        <a:solidFill>
          <a:schemeClr val="accent6">
            <a:lumMod val="20000"/>
            <a:lumOff val="80000"/>
          </a:schemeClr>
        </a:solidFill>
        <a:ln w="28575" cap="flat" cmpd="sng" algn="ctr">
          <a:solidFill>
            <a:schemeClr val="accent6">
              <a:lumMod val="60000"/>
              <a:lumOff val="4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editAs="oneCell">
    <xdr:from>
      <xdr:col>0</xdr:col>
      <xdr:colOff>161925</xdr:colOff>
      <xdr:row>5</xdr:row>
      <xdr:rowOff>128270</xdr:rowOff>
    </xdr:from>
    <xdr:to>
      <xdr:col>7</xdr:col>
      <xdr:colOff>483235</xdr:colOff>
      <xdr:row>26</xdr:row>
      <xdr:rowOff>22225</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1"/>
        <a:stretch>
          <a:fillRect/>
        </a:stretch>
      </xdr:blipFill>
      <xdr:spPr>
        <a:xfrm>
          <a:off x="161925" y="1207770"/>
          <a:ext cx="5331460" cy="3894455"/>
        </a:xfrm>
        <a:prstGeom prst="rect">
          <a:avLst/>
        </a:prstGeom>
        <a:noFill/>
        <a:ln w="9525">
          <a:noFill/>
        </a:ln>
      </xdr:spPr>
    </xdr:pic>
    <xdr:clientData/>
  </xdr:twoCellAnchor>
  <xdr:twoCellAnchor editAs="oneCell">
    <xdr:from>
      <xdr:col>14</xdr:col>
      <xdr:colOff>541020</xdr:colOff>
      <xdr:row>7</xdr:row>
      <xdr:rowOff>79375</xdr:rowOff>
    </xdr:from>
    <xdr:to>
      <xdr:col>22</xdr:col>
      <xdr:colOff>831850</xdr:colOff>
      <xdr:row>27</xdr:row>
      <xdr:rowOff>46355</xdr:rowOff>
    </xdr:to>
    <xdr:pic>
      <xdr:nvPicPr>
        <xdr:cNvPr id="7" name="Picture 6">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2"/>
        <a:stretch>
          <a:fillRect/>
        </a:stretch>
      </xdr:blipFill>
      <xdr:spPr>
        <a:xfrm>
          <a:off x="10732770" y="1539875"/>
          <a:ext cx="5834380" cy="3776980"/>
        </a:xfrm>
        <a:prstGeom prst="rect">
          <a:avLst/>
        </a:prstGeom>
        <a:noFill/>
        <a:ln w="9525">
          <a:noFill/>
        </a:ln>
      </xdr:spPr>
    </xdr:pic>
    <xdr:clientData/>
  </xdr:twoCellAnchor>
  <xdr:twoCellAnchor>
    <xdr:from>
      <xdr:col>7</xdr:col>
      <xdr:colOff>846455</xdr:colOff>
      <xdr:row>2</xdr:row>
      <xdr:rowOff>150495</xdr:rowOff>
    </xdr:from>
    <xdr:to>
      <xdr:col>15</xdr:col>
      <xdr:colOff>526415</xdr:colOff>
      <xdr:row>6</xdr:row>
      <xdr:rowOff>92075</xdr:rowOff>
    </xdr:to>
    <xdr:sp macro="" textlink="">
      <xdr:nvSpPr>
        <xdr:cNvPr id="11" name="Rounded Rectangle 10">
          <a:extLst>
            <a:ext uri="{FF2B5EF4-FFF2-40B4-BE49-F238E27FC236}">
              <a16:creationId xmlns:a16="http://schemas.microsoft.com/office/drawing/2014/main" id="{00000000-0008-0000-0E00-00000B000000}"/>
            </a:ext>
          </a:extLst>
        </xdr:cNvPr>
        <xdr:cNvSpPr/>
      </xdr:nvSpPr>
      <xdr:spPr>
        <a:xfrm>
          <a:off x="5856605" y="607695"/>
          <a:ext cx="5471160" cy="754380"/>
        </a:xfrm>
        <a:prstGeom prst="roundRect">
          <a:avLst/>
        </a:prstGeom>
        <a:solidFill>
          <a:schemeClr val="accent6">
            <a:lumMod val="20000"/>
            <a:lumOff val="80000"/>
          </a:schemeClr>
        </a:solidFill>
        <a:ln w="28575" cap="flat" cmpd="sng" algn="ctr">
          <a:solidFill>
            <a:schemeClr val="accent6">
              <a:lumMod val="60000"/>
              <a:lumOff val="4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15</xdr:col>
      <xdr:colOff>557530</xdr:colOff>
      <xdr:row>2</xdr:row>
      <xdr:rowOff>158115</xdr:rowOff>
    </xdr:from>
    <xdr:to>
      <xdr:col>22</xdr:col>
      <xdr:colOff>758190</xdr:colOff>
      <xdr:row>6</xdr:row>
      <xdr:rowOff>83185</xdr:rowOff>
    </xdr:to>
    <xdr:sp macro="" textlink="">
      <xdr:nvSpPr>
        <xdr:cNvPr id="10" name="Rounded Rectangle 9">
          <a:extLst>
            <a:ext uri="{FF2B5EF4-FFF2-40B4-BE49-F238E27FC236}">
              <a16:creationId xmlns:a16="http://schemas.microsoft.com/office/drawing/2014/main" id="{00000000-0008-0000-0E00-00000A000000}"/>
            </a:ext>
          </a:extLst>
        </xdr:cNvPr>
        <xdr:cNvSpPr/>
      </xdr:nvSpPr>
      <xdr:spPr>
        <a:xfrm>
          <a:off x="11358880" y="615315"/>
          <a:ext cx="5134610" cy="737870"/>
        </a:xfrm>
        <a:prstGeom prst="roundRect">
          <a:avLst/>
        </a:prstGeom>
        <a:solidFill>
          <a:schemeClr val="accent6">
            <a:lumMod val="20000"/>
            <a:lumOff val="80000"/>
          </a:schemeClr>
        </a:solidFill>
        <a:ln w="28575" cap="flat" cmpd="sng" algn="ctr">
          <a:solidFill>
            <a:schemeClr val="accent6">
              <a:lumMod val="60000"/>
              <a:lumOff val="4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xdr:col>
      <xdr:colOff>295910</xdr:colOff>
      <xdr:row>26</xdr:row>
      <xdr:rowOff>191135</xdr:rowOff>
    </xdr:from>
    <xdr:to>
      <xdr:col>6</xdr:col>
      <xdr:colOff>31750</xdr:colOff>
      <xdr:row>29</xdr:row>
      <xdr:rowOff>191135</xdr:rowOff>
    </xdr:to>
    <xdr:sp macro="[0]!TextBox12_Click" textlink="">
      <xdr:nvSpPr>
        <xdr:cNvPr id="13" name="Text Box 12">
          <a:extLst>
            <a:ext uri="{FF2B5EF4-FFF2-40B4-BE49-F238E27FC236}">
              <a16:creationId xmlns:a16="http://schemas.microsoft.com/office/drawing/2014/main" id="{00000000-0008-0000-0E00-00000D000000}"/>
            </a:ext>
          </a:extLst>
        </xdr:cNvPr>
        <xdr:cNvSpPr txBox="1"/>
      </xdr:nvSpPr>
      <xdr:spPr>
        <a:xfrm>
          <a:off x="905510" y="5270500"/>
          <a:ext cx="3526790" cy="57150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en-US" sz="1600" b="1">
              <a:solidFill>
                <a:schemeClr val="accent6">
                  <a:lumMod val="50000"/>
                </a:schemeClr>
              </a:solidFill>
            </a:rPr>
            <a:t>Unique Label =</a:t>
          </a:r>
          <a:r>
            <a:rPr lang="en-US" sz="1800" b="1">
              <a:solidFill>
                <a:schemeClr val="accent6">
                  <a:lumMod val="50000"/>
                </a:schemeClr>
              </a:solidFill>
            </a:rPr>
            <a:t> </a:t>
          </a:r>
          <a:r>
            <a:rPr lang="en-US" sz="2200" b="1">
              <a:solidFill>
                <a:schemeClr val="accent6">
                  <a:lumMod val="50000"/>
                </a:schemeClr>
              </a:solidFill>
            </a:rPr>
            <a:t>Low YG + SI &gt; 1</a:t>
          </a:r>
        </a:p>
      </xdr:txBody>
    </xdr:sp>
    <xdr:clientData/>
  </xdr:twoCellAnchor>
  <xdr:twoCellAnchor>
    <xdr:from>
      <xdr:col>14</xdr:col>
      <xdr:colOff>519430</xdr:colOff>
      <xdr:row>27</xdr:row>
      <xdr:rowOff>152400</xdr:rowOff>
    </xdr:from>
    <xdr:to>
      <xdr:col>20</xdr:col>
      <xdr:colOff>146685</xdr:colOff>
      <xdr:row>31</xdr:row>
      <xdr:rowOff>182245</xdr:rowOff>
    </xdr:to>
    <xdr:sp macro="" textlink="">
      <xdr:nvSpPr>
        <xdr:cNvPr id="14" name="Text Box 13">
          <a:extLst>
            <a:ext uri="{FF2B5EF4-FFF2-40B4-BE49-F238E27FC236}">
              <a16:creationId xmlns:a16="http://schemas.microsoft.com/office/drawing/2014/main" id="{00000000-0008-0000-0E00-00000E000000}"/>
            </a:ext>
          </a:extLst>
        </xdr:cNvPr>
        <xdr:cNvSpPr txBox="1"/>
      </xdr:nvSpPr>
      <xdr:spPr>
        <a:xfrm>
          <a:off x="10711180" y="5422900"/>
          <a:ext cx="3951605" cy="791845"/>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n>
                <a:noFill/>
              </a:ln>
              <a:solidFill>
                <a:schemeClr val="accent6">
                  <a:lumMod val="50000"/>
                </a:schemeClr>
              </a:solidFill>
            </a:rPr>
            <a:t>Average Stress Index </a:t>
          </a:r>
          <a:endParaRPr lang="en-US" sz="1400" b="1">
            <a:ln>
              <a:noFill/>
            </a:ln>
            <a:solidFill>
              <a:schemeClr val="accent6">
                <a:lumMod val="50000"/>
              </a:schemeClr>
            </a:solidFill>
          </a:endParaRPr>
        </a:p>
        <a:p>
          <a:pPr algn="ctr"/>
          <a:r>
            <a:rPr lang="en-US" sz="2000" b="1">
              <a:ln>
                <a:noFill/>
              </a:ln>
              <a:solidFill>
                <a:schemeClr val="accent6">
                  <a:lumMod val="50000"/>
                </a:schemeClr>
              </a:solidFill>
            </a:rPr>
            <a:t> </a:t>
          </a:r>
          <a:r>
            <a:rPr lang="en-US" sz="2200" b="1">
              <a:ln>
                <a:noFill/>
              </a:ln>
              <a:solidFill>
                <a:schemeClr val="accent6">
                  <a:lumMod val="50000"/>
                </a:schemeClr>
              </a:solidFill>
            </a:rPr>
            <a:t>1.032447552</a:t>
          </a:r>
          <a:endParaRPr lang="en-US" sz="2200" b="1">
            <a:solidFill>
              <a:schemeClr val="accent6">
                <a:lumMod val="50000"/>
              </a:schemeClr>
            </a:solidFill>
          </a:endParaRPr>
        </a:p>
        <a:p>
          <a:pPr algn="l"/>
          <a:endParaRPr lang="en-US" sz="2200"/>
        </a:p>
      </xdr:txBody>
    </xdr:sp>
    <xdr:clientData/>
  </xdr:twoCellAnchor>
  <xdr:twoCellAnchor>
    <xdr:from>
      <xdr:col>8</xdr:col>
      <xdr:colOff>240665</xdr:colOff>
      <xdr:row>28</xdr:row>
      <xdr:rowOff>80010</xdr:rowOff>
    </xdr:from>
    <xdr:to>
      <xdr:col>12</xdr:col>
      <xdr:colOff>567055</xdr:colOff>
      <xdr:row>30</xdr:row>
      <xdr:rowOff>146685</xdr:rowOff>
    </xdr:to>
    <xdr:sp macro="" textlink="">
      <xdr:nvSpPr>
        <xdr:cNvPr id="15" name="Text Box 14">
          <a:extLst>
            <a:ext uri="{FF2B5EF4-FFF2-40B4-BE49-F238E27FC236}">
              <a16:creationId xmlns:a16="http://schemas.microsoft.com/office/drawing/2014/main" id="{00000000-0008-0000-0E00-00000F000000}"/>
            </a:ext>
          </a:extLst>
        </xdr:cNvPr>
        <xdr:cNvSpPr txBox="1"/>
      </xdr:nvSpPr>
      <xdr:spPr>
        <a:xfrm>
          <a:off x="6108065" y="5541010"/>
          <a:ext cx="3431540" cy="447675"/>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600" b="1">
              <a:ln>
                <a:noFill/>
              </a:ln>
              <a:solidFill>
                <a:schemeClr val="accent6">
                  <a:lumMod val="50000"/>
                </a:schemeClr>
              </a:solidFill>
            </a:rPr>
            <a:t>Average Yield Gap = </a:t>
          </a:r>
          <a:r>
            <a:rPr lang="en-US" sz="2200" b="1">
              <a:solidFill>
                <a:schemeClr val="accent6">
                  <a:lumMod val="50000"/>
                </a:schemeClr>
              </a:solidFill>
            </a:rPr>
            <a:t>0.991397101</a:t>
          </a:r>
        </a:p>
        <a:p>
          <a:pPr algn="l"/>
          <a:endParaRPr lang="en-US" sz="2200" b="1">
            <a:solidFill>
              <a:schemeClr val="accent6">
                <a:lumMod val="50000"/>
              </a:schemeClr>
            </a:solidFill>
          </a:endParaRPr>
        </a:p>
        <a:p>
          <a:pPr algn="l"/>
          <a:endParaRPr lang="en-US" sz="2200" b="1">
            <a:solidFill>
              <a:schemeClr val="accent6">
                <a:lumMod val="50000"/>
              </a:schemeClr>
            </a:solidFill>
          </a:endParaRPr>
        </a:p>
        <a:p>
          <a:pPr algn="l"/>
          <a:endParaRPr lang="en-US" sz="2200"/>
        </a:p>
      </xdr:txBody>
    </xdr:sp>
    <xdr:clientData/>
  </xdr:twoCellAnchor>
  <xdr:twoCellAnchor>
    <xdr:from>
      <xdr:col>8</xdr:col>
      <xdr:colOff>109855</xdr:colOff>
      <xdr:row>2</xdr:row>
      <xdr:rowOff>186690</xdr:rowOff>
    </xdr:from>
    <xdr:to>
      <xdr:col>15</xdr:col>
      <xdr:colOff>419100</xdr:colOff>
      <xdr:row>7</xdr:row>
      <xdr:rowOff>107950</xdr:rowOff>
    </xdr:to>
    <xdr:sp macro="" textlink="">
      <xdr:nvSpPr>
        <xdr:cNvPr id="24" name="Text Box 23">
          <a:extLst>
            <a:ext uri="{FF2B5EF4-FFF2-40B4-BE49-F238E27FC236}">
              <a16:creationId xmlns:a16="http://schemas.microsoft.com/office/drawing/2014/main" id="{00000000-0008-0000-0E00-000018000000}"/>
            </a:ext>
          </a:extLst>
        </xdr:cNvPr>
        <xdr:cNvSpPr txBox="1"/>
      </xdr:nvSpPr>
      <xdr:spPr>
        <a:xfrm>
          <a:off x="5977255" y="643890"/>
          <a:ext cx="5243195" cy="924560"/>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400" b="1">
              <a:ln>
                <a:noFill/>
              </a:ln>
              <a:solidFill>
                <a:schemeClr val="accent6">
                  <a:lumMod val="50000"/>
                </a:schemeClr>
              </a:solidFill>
            </a:rPr>
            <a:t>Label Interpretation</a:t>
          </a:r>
          <a:r>
            <a:rPr lang="en-US" sz="1600" b="1">
              <a:ln>
                <a:noFill/>
              </a:ln>
              <a:solidFill>
                <a:schemeClr val="accent6">
                  <a:lumMod val="50000"/>
                </a:schemeClr>
              </a:solidFill>
            </a:rPr>
            <a:t> </a:t>
          </a:r>
        </a:p>
        <a:p>
          <a:pPr algn="ctr"/>
          <a:r>
            <a:rPr lang="en-US" sz="2200" b="1">
              <a:solidFill>
                <a:schemeClr val="accent6">
                  <a:lumMod val="50000"/>
                </a:schemeClr>
              </a:solidFill>
            </a:rPr>
            <a:t>Mainly Climate Constraint</a:t>
          </a:r>
        </a:p>
        <a:p>
          <a:pPr algn="l"/>
          <a:endParaRPr lang="en-US" sz="2200" b="1">
            <a:solidFill>
              <a:schemeClr val="accent6">
                <a:lumMod val="50000"/>
              </a:schemeClr>
            </a:solidFill>
          </a:endParaRPr>
        </a:p>
        <a:p>
          <a:pPr algn="l"/>
          <a:endParaRPr lang="en-US" sz="2200" b="1">
            <a:solidFill>
              <a:schemeClr val="accent6">
                <a:lumMod val="50000"/>
              </a:schemeClr>
            </a:solidFill>
          </a:endParaRPr>
        </a:p>
        <a:p>
          <a:pPr algn="l"/>
          <a:endParaRPr lang="en-US" sz="2200"/>
        </a:p>
      </xdr:txBody>
    </xdr:sp>
    <xdr:clientData/>
  </xdr:twoCellAnchor>
  <xdr:twoCellAnchor>
    <xdr:from>
      <xdr:col>15</xdr:col>
      <xdr:colOff>659130</xdr:colOff>
      <xdr:row>2</xdr:row>
      <xdr:rowOff>172720</xdr:rowOff>
    </xdr:from>
    <xdr:to>
      <xdr:col>22</xdr:col>
      <xdr:colOff>401320</xdr:colOff>
      <xdr:row>7</xdr:row>
      <xdr:rowOff>120650</xdr:rowOff>
    </xdr:to>
    <xdr:sp macro="" textlink="">
      <xdr:nvSpPr>
        <xdr:cNvPr id="25" name="Text Box 24">
          <a:extLst>
            <a:ext uri="{FF2B5EF4-FFF2-40B4-BE49-F238E27FC236}">
              <a16:creationId xmlns:a16="http://schemas.microsoft.com/office/drawing/2014/main" id="{00000000-0008-0000-0E00-000019000000}"/>
            </a:ext>
          </a:extLst>
        </xdr:cNvPr>
        <xdr:cNvSpPr txBox="1"/>
      </xdr:nvSpPr>
      <xdr:spPr>
        <a:xfrm>
          <a:off x="11460480" y="629920"/>
          <a:ext cx="4676140" cy="951230"/>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400" b="1">
              <a:ln>
                <a:noFill/>
              </a:ln>
              <a:solidFill>
                <a:schemeClr val="accent6">
                  <a:lumMod val="50000"/>
                </a:schemeClr>
              </a:solidFill>
            </a:rPr>
            <a:t>Investment</a:t>
          </a:r>
          <a:endParaRPr lang="en-US" sz="1600" b="1">
            <a:ln>
              <a:noFill/>
            </a:ln>
            <a:solidFill>
              <a:schemeClr val="accent6">
                <a:lumMod val="50000"/>
              </a:schemeClr>
            </a:solidFill>
          </a:endParaRPr>
        </a:p>
        <a:p>
          <a:pPr algn="ctr"/>
          <a:r>
            <a:rPr lang="en-US" sz="1600" b="1">
              <a:ln>
                <a:noFill/>
              </a:ln>
              <a:solidFill>
                <a:schemeClr val="accent6">
                  <a:lumMod val="50000"/>
                </a:schemeClr>
              </a:solidFill>
            </a:rPr>
            <a:t> </a:t>
          </a:r>
          <a:r>
            <a:rPr lang="en-US" sz="2200" b="1">
              <a:solidFill>
                <a:schemeClr val="accent6">
                  <a:lumMod val="50000"/>
                </a:schemeClr>
              </a:solidFill>
            </a:rPr>
            <a:t>Low Opportunity</a:t>
          </a:r>
        </a:p>
        <a:p>
          <a:pPr algn="l"/>
          <a:endParaRPr lang="en-US" sz="2200" b="1">
            <a:solidFill>
              <a:schemeClr val="accent6">
                <a:lumMod val="50000"/>
              </a:schemeClr>
            </a:solidFill>
          </a:endParaRPr>
        </a:p>
        <a:p>
          <a:pPr algn="l"/>
          <a:endParaRPr lang="en-US" sz="2200" b="1">
            <a:solidFill>
              <a:schemeClr val="accent6">
                <a:lumMod val="50000"/>
              </a:schemeClr>
            </a:solidFill>
          </a:endParaRPr>
        </a:p>
        <a:p>
          <a:pPr algn="l"/>
          <a:endParaRPr lang="en-US" sz="2200" b="1">
            <a:solidFill>
              <a:schemeClr val="accent6">
                <a:lumMod val="50000"/>
              </a:schemeClr>
            </a:solidFill>
          </a:endParaRPr>
        </a:p>
        <a:p>
          <a:pPr algn="l"/>
          <a:endParaRPr lang="en-US" sz="2200"/>
        </a:p>
      </xdr:txBody>
    </xdr:sp>
    <xdr:clientData/>
  </xdr:twoCellAnchor>
  <xdr:twoCellAnchor>
    <xdr:from>
      <xdr:col>0</xdr:col>
      <xdr:colOff>50800</xdr:colOff>
      <xdr:row>0</xdr:row>
      <xdr:rowOff>28575</xdr:rowOff>
    </xdr:from>
    <xdr:to>
      <xdr:col>14</xdr:col>
      <xdr:colOff>492125</xdr:colOff>
      <xdr:row>1</xdr:row>
      <xdr:rowOff>144780</xdr:rowOff>
    </xdr:to>
    <xdr:sp macro="" textlink="">
      <xdr:nvSpPr>
        <xdr:cNvPr id="34" name="Text Box 33">
          <a:extLst>
            <a:ext uri="{FF2B5EF4-FFF2-40B4-BE49-F238E27FC236}">
              <a16:creationId xmlns:a16="http://schemas.microsoft.com/office/drawing/2014/main" id="{00000000-0008-0000-0E00-000022000000}"/>
            </a:ext>
          </a:extLst>
        </xdr:cNvPr>
        <xdr:cNvSpPr txBox="1"/>
      </xdr:nvSpPr>
      <xdr:spPr>
        <a:xfrm>
          <a:off x="50800" y="28575"/>
          <a:ext cx="10633075" cy="382905"/>
        </a:xfrm>
        <a:prstGeom prst="rect">
          <a:avLst/>
        </a:prstGeom>
        <a:solidFill>
          <a:schemeClr val="accent6">
            <a:lumMod val="20000"/>
            <a:lumOff val="80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2000" b="1">
              <a:solidFill>
                <a:schemeClr val="accent6">
                  <a:lumMod val="50000"/>
                </a:schemeClr>
              </a:solidFill>
              <a:effectLst/>
            </a:rPr>
            <a:t>Yield Gap and Climate Stress Analysis for Strategic Agricultural Investment in Nigeria (2000 -2010)</a:t>
          </a:r>
        </a:p>
        <a:p>
          <a:pPr algn="l"/>
          <a:endParaRPr lang="en-US" sz="2000" b="1">
            <a:solidFill>
              <a:schemeClr val="accent6">
                <a:lumMod val="50000"/>
              </a:schemeClr>
            </a:solidFill>
            <a:effectLst/>
          </a:endParaRPr>
        </a:p>
        <a:p>
          <a:pPr algn="l"/>
          <a:endParaRPr lang="en-US" sz="2000" b="1">
            <a:solidFill>
              <a:schemeClr val="accent6">
                <a:lumMod val="50000"/>
              </a:schemeClr>
            </a:solidFill>
            <a:effectLst/>
          </a:endParaRPr>
        </a:p>
        <a:p>
          <a:pPr algn="l"/>
          <a:endParaRPr lang="en-US" sz="2000" b="1">
            <a:solidFill>
              <a:schemeClr val="accent6">
                <a:lumMod val="50000"/>
              </a:schemeClr>
            </a:solidFill>
            <a:effectLst/>
          </a:endParaRPr>
        </a:p>
      </xdr:txBody>
    </xdr:sp>
    <xdr:clientData/>
  </xdr:twoCellAnchor>
  <xdr:twoCellAnchor>
    <xdr:from>
      <xdr:col>2</xdr:col>
      <xdr:colOff>74295</xdr:colOff>
      <xdr:row>2</xdr:row>
      <xdr:rowOff>198755</xdr:rowOff>
    </xdr:from>
    <xdr:to>
      <xdr:col>3</xdr:col>
      <xdr:colOff>669290</xdr:colOff>
      <xdr:row>4</xdr:row>
      <xdr:rowOff>134620</xdr:rowOff>
    </xdr:to>
    <xdr:sp macro="" textlink="">
      <xdr:nvSpPr>
        <xdr:cNvPr id="4" name="Text Box 3">
          <a:extLst>
            <a:ext uri="{FF2B5EF4-FFF2-40B4-BE49-F238E27FC236}">
              <a16:creationId xmlns:a16="http://schemas.microsoft.com/office/drawing/2014/main" id="{00000000-0008-0000-0E00-000004000000}"/>
            </a:ext>
          </a:extLst>
        </xdr:cNvPr>
        <xdr:cNvSpPr txBox="1"/>
      </xdr:nvSpPr>
      <xdr:spPr>
        <a:xfrm>
          <a:off x="1293495" y="655955"/>
          <a:ext cx="1452245" cy="367665"/>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600" b="1">
              <a:solidFill>
                <a:schemeClr val="accent6">
                  <a:lumMod val="50000"/>
                </a:schemeClr>
              </a:solidFill>
            </a:rPr>
            <a:t>Climate Zone</a:t>
          </a:r>
          <a:endParaRPr lang="en-US" sz="2200" b="1">
            <a:solidFill>
              <a:schemeClr val="accent6">
                <a:lumMod val="5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513080</xdr:colOff>
      <xdr:row>11</xdr:row>
      <xdr:rowOff>142875</xdr:rowOff>
    </xdr:from>
    <xdr:to>
      <xdr:col>6</xdr:col>
      <xdr:colOff>94615</xdr:colOff>
      <xdr:row>14</xdr:row>
      <xdr:rowOff>9525</xdr:rowOff>
    </xdr:to>
    <xdr:cxnSp macro="">
      <xdr:nvCxnSpPr>
        <xdr:cNvPr id="42" name="Elbow Connector 41">
          <a:extLst>
            <a:ext uri="{FF2B5EF4-FFF2-40B4-BE49-F238E27FC236}">
              <a16:creationId xmlns:a16="http://schemas.microsoft.com/office/drawing/2014/main" id="{00000000-0008-0000-0F00-00002A000000}"/>
            </a:ext>
          </a:extLst>
        </xdr:cNvPr>
        <xdr:cNvCxnSpPr/>
      </xdr:nvCxnSpPr>
      <xdr:spPr>
        <a:xfrm rot="10800000">
          <a:off x="4056380" y="2365375"/>
          <a:ext cx="438785" cy="438150"/>
        </a:xfrm>
        <a:prstGeom prst="bentConnector3">
          <a:avLst>
            <a:gd name="adj1" fmla="val 49928"/>
          </a:avLst>
        </a:prstGeom>
        <a:ln>
          <a:solidFill>
            <a:schemeClr val="tx1">
              <a:lumMod val="95000"/>
              <a:lumOff val="5000"/>
            </a:schemeClr>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11</xdr:col>
      <xdr:colOff>581025</xdr:colOff>
      <xdr:row>5</xdr:row>
      <xdr:rowOff>9525</xdr:rowOff>
    </xdr:from>
    <xdr:to>
      <xdr:col>12</xdr:col>
      <xdr:colOff>581025</xdr:colOff>
      <xdr:row>5</xdr:row>
      <xdr:rowOff>189865</xdr:rowOff>
    </xdr:to>
    <xdr:cxnSp macro="">
      <xdr:nvCxnSpPr>
        <xdr:cNvPr id="40" name="Elbow Connector 39">
          <a:extLst>
            <a:ext uri="{FF2B5EF4-FFF2-40B4-BE49-F238E27FC236}">
              <a16:creationId xmlns:a16="http://schemas.microsoft.com/office/drawing/2014/main" id="{00000000-0008-0000-0F00-000028000000}"/>
            </a:ext>
          </a:extLst>
        </xdr:cNvPr>
        <xdr:cNvCxnSpPr/>
      </xdr:nvCxnSpPr>
      <xdr:spPr>
        <a:xfrm rot="10800000" flipV="1">
          <a:off x="8943975" y="1089025"/>
          <a:ext cx="609600" cy="180340"/>
        </a:xfrm>
        <a:prstGeom prst="bentConnector3">
          <a:avLst>
            <a:gd name="adj1" fmla="val -46979"/>
          </a:avLst>
        </a:prstGeom>
        <a:ln>
          <a:solidFill>
            <a:schemeClr val="tx1">
              <a:lumMod val="95000"/>
              <a:lumOff val="5000"/>
            </a:schemeClr>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9</xdr:col>
      <xdr:colOff>652780</xdr:colOff>
      <xdr:row>16</xdr:row>
      <xdr:rowOff>154305</xdr:rowOff>
    </xdr:from>
    <xdr:to>
      <xdr:col>11</xdr:col>
      <xdr:colOff>552450</xdr:colOff>
      <xdr:row>17</xdr:row>
      <xdr:rowOff>57150</xdr:rowOff>
    </xdr:to>
    <xdr:cxnSp macro="">
      <xdr:nvCxnSpPr>
        <xdr:cNvPr id="38" name="Elbow Connector 37">
          <a:extLst>
            <a:ext uri="{FF2B5EF4-FFF2-40B4-BE49-F238E27FC236}">
              <a16:creationId xmlns:a16="http://schemas.microsoft.com/office/drawing/2014/main" id="{00000000-0008-0000-0F00-000026000000}"/>
            </a:ext>
          </a:extLst>
        </xdr:cNvPr>
        <xdr:cNvCxnSpPr/>
      </xdr:nvCxnSpPr>
      <xdr:spPr>
        <a:xfrm>
          <a:off x="7301230" y="3329305"/>
          <a:ext cx="1614170" cy="93345"/>
        </a:xfrm>
        <a:prstGeom prst="bentConnector3">
          <a:avLst>
            <a:gd name="adj1" fmla="val 50039"/>
          </a:avLst>
        </a:prstGeom>
        <a:ln>
          <a:solidFill>
            <a:schemeClr val="tx1">
              <a:lumMod val="95000"/>
              <a:lumOff val="5000"/>
            </a:schemeClr>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504825</xdr:colOff>
      <xdr:row>13</xdr:row>
      <xdr:rowOff>161925</xdr:rowOff>
    </xdr:from>
    <xdr:to>
      <xdr:col>8</xdr:col>
      <xdr:colOff>340995</xdr:colOff>
      <xdr:row>16</xdr:row>
      <xdr:rowOff>34925</xdr:rowOff>
    </xdr:to>
    <xdr:sp macro="" textlink="">
      <xdr:nvSpPr>
        <xdr:cNvPr id="26" name="Rounded Rectangle 25">
          <a:extLst>
            <a:ext uri="{FF2B5EF4-FFF2-40B4-BE49-F238E27FC236}">
              <a16:creationId xmlns:a16="http://schemas.microsoft.com/office/drawing/2014/main" id="{00000000-0008-0000-0F00-00001A000000}"/>
            </a:ext>
          </a:extLst>
        </xdr:cNvPr>
        <xdr:cNvSpPr/>
      </xdr:nvSpPr>
      <xdr:spPr>
        <a:xfrm>
          <a:off x="4048125" y="2765425"/>
          <a:ext cx="2160270" cy="444500"/>
        </a:xfrm>
        <a:prstGeom prst="roundRect">
          <a:avLst/>
        </a:prstGeom>
        <a:solidFill>
          <a:schemeClr val="tx1">
            <a:lumMod val="65000"/>
            <a:lumOff val="35000"/>
          </a:schemeClr>
        </a:solidFill>
        <a:ln>
          <a:solidFill>
            <a:schemeClr val="accent6">
              <a:lumMod val="40000"/>
              <a:lumOff val="60000"/>
            </a:schemeClr>
          </a:solidFill>
        </a:ln>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5</xdr:col>
      <xdr:colOff>609600</xdr:colOff>
      <xdr:row>14</xdr:row>
      <xdr:rowOff>76200</xdr:rowOff>
    </xdr:from>
    <xdr:to>
      <xdr:col>8</xdr:col>
      <xdr:colOff>215900</xdr:colOff>
      <xdr:row>16</xdr:row>
      <xdr:rowOff>100330</xdr:rowOff>
    </xdr:to>
    <xdr:sp macro="" textlink="">
      <xdr:nvSpPr>
        <xdr:cNvPr id="27" name="Rounded Rectangle 26">
          <a:extLst>
            <a:ext uri="{FF2B5EF4-FFF2-40B4-BE49-F238E27FC236}">
              <a16:creationId xmlns:a16="http://schemas.microsoft.com/office/drawing/2014/main" id="{00000000-0008-0000-0F00-00001B000000}"/>
            </a:ext>
          </a:extLst>
        </xdr:cNvPr>
        <xdr:cNvSpPr/>
      </xdr:nvSpPr>
      <xdr:spPr>
        <a:xfrm>
          <a:off x="4152900" y="2870200"/>
          <a:ext cx="1930400" cy="405130"/>
        </a:xfrm>
        <a:prstGeom prst="roundRect">
          <a:avLst/>
        </a:prstGeom>
        <a:solidFill>
          <a:schemeClr val="tx1">
            <a:lumMod val="50000"/>
            <a:lumOff val="50000"/>
          </a:schemeClr>
        </a:solidFill>
        <a:ln w="28575" cap="flat" cmpd="sng" algn="ctr">
          <a:solidFill>
            <a:schemeClr val="accent6">
              <a:lumMod val="20000"/>
              <a:lumOff val="8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11</xdr:col>
      <xdr:colOff>552450</xdr:colOff>
      <xdr:row>2</xdr:row>
      <xdr:rowOff>95250</xdr:rowOff>
    </xdr:from>
    <xdr:to>
      <xdr:col>15</xdr:col>
      <xdr:colOff>274320</xdr:colOff>
      <xdr:row>4</xdr:row>
      <xdr:rowOff>107950</xdr:rowOff>
    </xdr:to>
    <xdr:sp macro="" textlink="">
      <xdr:nvSpPr>
        <xdr:cNvPr id="10" name="Rounded Rectangle 9">
          <a:extLst>
            <a:ext uri="{FF2B5EF4-FFF2-40B4-BE49-F238E27FC236}">
              <a16:creationId xmlns:a16="http://schemas.microsoft.com/office/drawing/2014/main" id="{00000000-0008-0000-0F00-00000A000000}"/>
            </a:ext>
          </a:extLst>
        </xdr:cNvPr>
        <xdr:cNvSpPr/>
      </xdr:nvSpPr>
      <xdr:spPr>
        <a:xfrm>
          <a:off x="8915400" y="552450"/>
          <a:ext cx="2160270" cy="444500"/>
        </a:xfrm>
        <a:prstGeom prst="roundRect">
          <a:avLst/>
        </a:prstGeom>
        <a:solidFill>
          <a:schemeClr val="tx1">
            <a:lumMod val="65000"/>
            <a:lumOff val="35000"/>
          </a:schemeClr>
        </a:solidFill>
        <a:ln>
          <a:solidFill>
            <a:schemeClr val="accent6">
              <a:lumMod val="40000"/>
              <a:lumOff val="60000"/>
            </a:schemeClr>
          </a:solidFill>
        </a:ln>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12</xdr:col>
      <xdr:colOff>57150</xdr:colOff>
      <xdr:row>3</xdr:row>
      <xdr:rowOff>6350</xdr:rowOff>
    </xdr:from>
    <xdr:to>
      <xdr:col>15</xdr:col>
      <xdr:colOff>158750</xdr:colOff>
      <xdr:row>5</xdr:row>
      <xdr:rowOff>30480</xdr:rowOff>
    </xdr:to>
    <xdr:sp macro="" textlink="">
      <xdr:nvSpPr>
        <xdr:cNvPr id="23" name="Rounded Rectangle 22">
          <a:extLst>
            <a:ext uri="{FF2B5EF4-FFF2-40B4-BE49-F238E27FC236}">
              <a16:creationId xmlns:a16="http://schemas.microsoft.com/office/drawing/2014/main" id="{00000000-0008-0000-0F00-000017000000}"/>
            </a:ext>
          </a:extLst>
        </xdr:cNvPr>
        <xdr:cNvSpPr/>
      </xdr:nvSpPr>
      <xdr:spPr>
        <a:xfrm>
          <a:off x="9029700" y="704850"/>
          <a:ext cx="1930400" cy="405130"/>
        </a:xfrm>
        <a:prstGeom prst="roundRect">
          <a:avLst/>
        </a:prstGeom>
        <a:solidFill>
          <a:schemeClr val="tx1">
            <a:lumMod val="50000"/>
            <a:lumOff val="50000"/>
          </a:schemeClr>
        </a:solidFill>
        <a:ln w="28575" cap="flat" cmpd="sng" algn="ctr">
          <a:solidFill>
            <a:schemeClr val="accent6">
              <a:lumMod val="20000"/>
              <a:lumOff val="8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9</xdr:col>
      <xdr:colOff>114300</xdr:colOff>
      <xdr:row>14</xdr:row>
      <xdr:rowOff>28575</xdr:rowOff>
    </xdr:from>
    <xdr:to>
      <xdr:col>11</xdr:col>
      <xdr:colOff>560070</xdr:colOff>
      <xdr:row>16</xdr:row>
      <xdr:rowOff>92075</xdr:rowOff>
    </xdr:to>
    <xdr:sp macro="" textlink="">
      <xdr:nvSpPr>
        <xdr:cNvPr id="25" name="Rounded Rectangle 24">
          <a:extLst>
            <a:ext uri="{FF2B5EF4-FFF2-40B4-BE49-F238E27FC236}">
              <a16:creationId xmlns:a16="http://schemas.microsoft.com/office/drawing/2014/main" id="{00000000-0008-0000-0F00-000019000000}"/>
            </a:ext>
          </a:extLst>
        </xdr:cNvPr>
        <xdr:cNvSpPr/>
      </xdr:nvSpPr>
      <xdr:spPr>
        <a:xfrm>
          <a:off x="6762750" y="2822575"/>
          <a:ext cx="2160270" cy="444500"/>
        </a:xfrm>
        <a:prstGeom prst="roundRect">
          <a:avLst/>
        </a:prstGeom>
        <a:solidFill>
          <a:schemeClr val="tx1">
            <a:lumMod val="65000"/>
            <a:lumOff val="35000"/>
          </a:schemeClr>
        </a:solidFill>
        <a:ln>
          <a:solidFill>
            <a:schemeClr val="accent6">
              <a:lumMod val="40000"/>
              <a:lumOff val="60000"/>
            </a:schemeClr>
          </a:solidFill>
        </a:ln>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9</xdr:col>
      <xdr:colOff>228600</xdr:colOff>
      <xdr:row>14</xdr:row>
      <xdr:rowOff>133350</xdr:rowOff>
    </xdr:from>
    <xdr:to>
      <xdr:col>11</xdr:col>
      <xdr:colOff>444500</xdr:colOff>
      <xdr:row>16</xdr:row>
      <xdr:rowOff>157480</xdr:rowOff>
    </xdr:to>
    <xdr:sp macro="" textlink="">
      <xdr:nvSpPr>
        <xdr:cNvPr id="24" name="Rounded Rectangle 23">
          <a:extLst>
            <a:ext uri="{FF2B5EF4-FFF2-40B4-BE49-F238E27FC236}">
              <a16:creationId xmlns:a16="http://schemas.microsoft.com/office/drawing/2014/main" id="{00000000-0008-0000-0F00-000018000000}"/>
            </a:ext>
          </a:extLst>
        </xdr:cNvPr>
        <xdr:cNvSpPr/>
      </xdr:nvSpPr>
      <xdr:spPr>
        <a:xfrm>
          <a:off x="6877050" y="2927350"/>
          <a:ext cx="1930400" cy="405130"/>
        </a:xfrm>
        <a:prstGeom prst="roundRect">
          <a:avLst/>
        </a:prstGeom>
        <a:solidFill>
          <a:schemeClr val="tx1">
            <a:lumMod val="50000"/>
            <a:lumOff val="50000"/>
          </a:schemeClr>
        </a:solidFill>
        <a:ln w="28575" cap="flat" cmpd="sng" algn="ctr">
          <a:solidFill>
            <a:schemeClr val="accent6">
              <a:lumMod val="20000"/>
              <a:lumOff val="8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16</xdr:col>
      <xdr:colOff>445770</xdr:colOff>
      <xdr:row>23</xdr:row>
      <xdr:rowOff>80010</xdr:rowOff>
    </xdr:from>
    <xdr:to>
      <xdr:col>19</xdr:col>
      <xdr:colOff>281940</xdr:colOff>
      <xdr:row>25</xdr:row>
      <xdr:rowOff>143510</xdr:rowOff>
    </xdr:to>
    <xdr:sp macro="" textlink="">
      <xdr:nvSpPr>
        <xdr:cNvPr id="3" name="Rounded Rectangle 2">
          <a:extLst>
            <a:ext uri="{FF2B5EF4-FFF2-40B4-BE49-F238E27FC236}">
              <a16:creationId xmlns:a16="http://schemas.microsoft.com/office/drawing/2014/main" id="{00000000-0008-0000-0F00-000003000000}"/>
            </a:ext>
          </a:extLst>
        </xdr:cNvPr>
        <xdr:cNvSpPr/>
      </xdr:nvSpPr>
      <xdr:spPr>
        <a:xfrm>
          <a:off x="12028170" y="4588510"/>
          <a:ext cx="2160270" cy="444500"/>
        </a:xfrm>
        <a:prstGeom prst="roundRect">
          <a:avLst/>
        </a:prstGeom>
        <a:solidFill>
          <a:schemeClr val="accent5">
            <a:lumMod val="75000"/>
          </a:schemeClr>
        </a:solidFill>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16</xdr:col>
      <xdr:colOff>554990</xdr:colOff>
      <xdr:row>23</xdr:row>
      <xdr:rowOff>22860</xdr:rowOff>
    </xdr:from>
    <xdr:to>
      <xdr:col>19</xdr:col>
      <xdr:colOff>161290</xdr:colOff>
      <xdr:row>25</xdr:row>
      <xdr:rowOff>46990</xdr:rowOff>
    </xdr:to>
    <xdr:sp macro="" textlink="">
      <xdr:nvSpPr>
        <xdr:cNvPr id="4" name="Rounded Rectangle 3">
          <a:extLst>
            <a:ext uri="{FF2B5EF4-FFF2-40B4-BE49-F238E27FC236}">
              <a16:creationId xmlns:a16="http://schemas.microsoft.com/office/drawing/2014/main" id="{00000000-0008-0000-0F00-000004000000}"/>
            </a:ext>
          </a:extLst>
        </xdr:cNvPr>
        <xdr:cNvSpPr/>
      </xdr:nvSpPr>
      <xdr:spPr>
        <a:xfrm>
          <a:off x="12137390" y="4531360"/>
          <a:ext cx="1930400" cy="405130"/>
        </a:xfrm>
        <a:prstGeom prst="roundRect">
          <a:avLst/>
        </a:prstGeom>
        <a:solidFill>
          <a:schemeClr val="accent5">
            <a:lumMod val="20000"/>
            <a:lumOff val="80000"/>
          </a:schemeClr>
        </a:solidFill>
        <a:ln w="28575" cap="flat" cmpd="sng" algn="ctr">
          <a:solidFill>
            <a:schemeClr val="accent1"/>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0</xdr:col>
      <xdr:colOff>345440</xdr:colOff>
      <xdr:row>27</xdr:row>
      <xdr:rowOff>66040</xdr:rowOff>
    </xdr:from>
    <xdr:to>
      <xdr:col>6</xdr:col>
      <xdr:colOff>410210</xdr:colOff>
      <xdr:row>30</xdr:row>
      <xdr:rowOff>161290</xdr:rowOff>
    </xdr:to>
    <xdr:sp macro="" textlink="">
      <xdr:nvSpPr>
        <xdr:cNvPr id="8" name="Rounded Rectangle 7">
          <a:extLst>
            <a:ext uri="{FF2B5EF4-FFF2-40B4-BE49-F238E27FC236}">
              <a16:creationId xmlns:a16="http://schemas.microsoft.com/office/drawing/2014/main" id="{00000000-0008-0000-0F00-000008000000}"/>
            </a:ext>
          </a:extLst>
        </xdr:cNvPr>
        <xdr:cNvSpPr/>
      </xdr:nvSpPr>
      <xdr:spPr>
        <a:xfrm>
          <a:off x="345440" y="5336540"/>
          <a:ext cx="4465320" cy="666750"/>
        </a:xfrm>
        <a:prstGeom prst="roundRect">
          <a:avLst/>
        </a:prstGeom>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17</xdr:col>
      <xdr:colOff>442595</xdr:colOff>
      <xdr:row>8</xdr:row>
      <xdr:rowOff>175260</xdr:rowOff>
    </xdr:from>
    <xdr:to>
      <xdr:col>26</xdr:col>
      <xdr:colOff>71755</xdr:colOff>
      <xdr:row>11</xdr:row>
      <xdr:rowOff>57785</xdr:rowOff>
    </xdr:to>
    <xdr:sp macro="" textlink="">
      <xdr:nvSpPr>
        <xdr:cNvPr id="9" name="Rounded Rectangle 8">
          <a:extLst>
            <a:ext uri="{FF2B5EF4-FFF2-40B4-BE49-F238E27FC236}">
              <a16:creationId xmlns:a16="http://schemas.microsoft.com/office/drawing/2014/main" id="{00000000-0008-0000-0F00-000009000000}"/>
            </a:ext>
          </a:extLst>
        </xdr:cNvPr>
        <xdr:cNvSpPr/>
      </xdr:nvSpPr>
      <xdr:spPr>
        <a:xfrm>
          <a:off x="12634595" y="1826260"/>
          <a:ext cx="5858510" cy="454025"/>
        </a:xfrm>
        <a:prstGeom prst="roundRect">
          <a:avLst/>
        </a:prstGeom>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0</xdr:col>
      <xdr:colOff>416560</xdr:colOff>
      <xdr:row>26</xdr:row>
      <xdr:rowOff>114300</xdr:rowOff>
    </xdr:from>
    <xdr:to>
      <xdr:col>6</xdr:col>
      <xdr:colOff>312420</xdr:colOff>
      <xdr:row>30</xdr:row>
      <xdr:rowOff>46990</xdr:rowOff>
    </xdr:to>
    <xdr:sp macro="" textlink="">
      <xdr:nvSpPr>
        <xdr:cNvPr id="11" name="Rounded Rectangle 10">
          <a:extLst>
            <a:ext uri="{FF2B5EF4-FFF2-40B4-BE49-F238E27FC236}">
              <a16:creationId xmlns:a16="http://schemas.microsoft.com/office/drawing/2014/main" id="{00000000-0008-0000-0F00-00000B000000}"/>
            </a:ext>
          </a:extLst>
        </xdr:cNvPr>
        <xdr:cNvSpPr/>
      </xdr:nvSpPr>
      <xdr:spPr>
        <a:xfrm>
          <a:off x="416560" y="5194300"/>
          <a:ext cx="4296410" cy="694690"/>
        </a:xfrm>
        <a:prstGeom prst="roundRect">
          <a:avLst/>
        </a:prstGeom>
        <a:solidFill>
          <a:schemeClr val="accent6">
            <a:lumMod val="20000"/>
            <a:lumOff val="80000"/>
          </a:schemeClr>
        </a:solidFill>
        <a:ln w="28575" cap="flat" cmpd="sng" algn="ctr">
          <a:solidFill>
            <a:schemeClr val="accent6">
              <a:lumMod val="60000"/>
              <a:lumOff val="4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18</xdr:col>
      <xdr:colOff>46355</xdr:colOff>
      <xdr:row>14</xdr:row>
      <xdr:rowOff>131445</xdr:rowOff>
    </xdr:from>
    <xdr:to>
      <xdr:col>23</xdr:col>
      <xdr:colOff>307340</xdr:colOff>
      <xdr:row>18</xdr:row>
      <xdr:rowOff>114300</xdr:rowOff>
    </xdr:to>
    <xdr:sp macro="" textlink="">
      <xdr:nvSpPr>
        <xdr:cNvPr id="14" name="Rounded Rectangle 13">
          <a:extLst>
            <a:ext uri="{FF2B5EF4-FFF2-40B4-BE49-F238E27FC236}">
              <a16:creationId xmlns:a16="http://schemas.microsoft.com/office/drawing/2014/main" id="{00000000-0008-0000-0F00-00000E000000}"/>
            </a:ext>
          </a:extLst>
        </xdr:cNvPr>
        <xdr:cNvSpPr/>
      </xdr:nvSpPr>
      <xdr:spPr>
        <a:xfrm>
          <a:off x="13095605" y="2925445"/>
          <a:ext cx="3804285" cy="744855"/>
        </a:xfrm>
        <a:prstGeom prst="roundRect">
          <a:avLst/>
        </a:prstGeom>
        <a:solidFill>
          <a:schemeClr val="accent6">
            <a:lumMod val="20000"/>
            <a:lumOff val="80000"/>
          </a:schemeClr>
        </a:solidFill>
        <a:ln w="28575" cap="flat" cmpd="sng" algn="ctr">
          <a:solidFill>
            <a:schemeClr val="accent6">
              <a:lumMod val="60000"/>
              <a:lumOff val="4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18</xdr:col>
      <xdr:colOff>605155</xdr:colOff>
      <xdr:row>4</xdr:row>
      <xdr:rowOff>24765</xdr:rowOff>
    </xdr:from>
    <xdr:to>
      <xdr:col>24</xdr:col>
      <xdr:colOff>92075</xdr:colOff>
      <xdr:row>6</xdr:row>
      <xdr:rowOff>153035</xdr:rowOff>
    </xdr:to>
    <xdr:sp macro="" textlink="">
      <xdr:nvSpPr>
        <xdr:cNvPr id="15" name="Rounded Rectangle 14">
          <a:extLst>
            <a:ext uri="{FF2B5EF4-FFF2-40B4-BE49-F238E27FC236}">
              <a16:creationId xmlns:a16="http://schemas.microsoft.com/office/drawing/2014/main" id="{00000000-0008-0000-0F00-00000F000000}"/>
            </a:ext>
          </a:extLst>
        </xdr:cNvPr>
        <xdr:cNvSpPr/>
      </xdr:nvSpPr>
      <xdr:spPr>
        <a:xfrm>
          <a:off x="13654405" y="913765"/>
          <a:ext cx="3639820" cy="509270"/>
        </a:xfrm>
        <a:prstGeom prst="roundRect">
          <a:avLst/>
        </a:prstGeom>
        <a:solidFill>
          <a:schemeClr val="accent6">
            <a:lumMod val="20000"/>
            <a:lumOff val="80000"/>
          </a:schemeClr>
        </a:solidFill>
        <a:ln w="28575" cap="flat" cmpd="sng" algn="ctr">
          <a:solidFill>
            <a:schemeClr val="accent6">
              <a:lumMod val="60000"/>
              <a:lumOff val="4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xdr:col>
      <xdr:colOff>295910</xdr:colOff>
      <xdr:row>26</xdr:row>
      <xdr:rowOff>191135</xdr:rowOff>
    </xdr:from>
    <xdr:to>
      <xdr:col>6</xdr:col>
      <xdr:colOff>31750</xdr:colOff>
      <xdr:row>29</xdr:row>
      <xdr:rowOff>191135</xdr:rowOff>
    </xdr:to>
    <xdr:sp macro="[0]!TextBox12_Click" textlink="">
      <xdr:nvSpPr>
        <xdr:cNvPr id="16" name="Text Box 15">
          <a:extLst>
            <a:ext uri="{FF2B5EF4-FFF2-40B4-BE49-F238E27FC236}">
              <a16:creationId xmlns:a16="http://schemas.microsoft.com/office/drawing/2014/main" id="{00000000-0008-0000-0F00-000010000000}"/>
            </a:ext>
          </a:extLst>
        </xdr:cNvPr>
        <xdr:cNvSpPr txBox="1"/>
      </xdr:nvSpPr>
      <xdr:spPr>
        <a:xfrm>
          <a:off x="905510" y="5270500"/>
          <a:ext cx="3526790" cy="57150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600" b="1">
              <a:solidFill>
                <a:schemeClr val="accent6">
                  <a:lumMod val="50000"/>
                </a:schemeClr>
              </a:solidFill>
            </a:rPr>
            <a:t>Unique Label =</a:t>
          </a:r>
          <a:r>
            <a:rPr lang="en-US" sz="1800" b="1">
              <a:solidFill>
                <a:schemeClr val="accent6">
                  <a:lumMod val="50000"/>
                </a:schemeClr>
              </a:solidFill>
            </a:rPr>
            <a:t> </a:t>
          </a:r>
          <a:r>
            <a:rPr lang="en-US" sz="2200" b="1">
              <a:solidFill>
                <a:schemeClr val="accent6">
                  <a:lumMod val="50000"/>
                </a:schemeClr>
              </a:solidFill>
            </a:rPr>
            <a:t>Low YG + SI &gt; 1</a:t>
          </a:r>
        </a:p>
      </xdr:txBody>
    </xdr:sp>
    <xdr:clientData/>
  </xdr:twoCellAnchor>
  <xdr:twoCellAnchor>
    <xdr:from>
      <xdr:col>9</xdr:col>
      <xdr:colOff>90805</xdr:colOff>
      <xdr:row>14</xdr:row>
      <xdr:rowOff>133350</xdr:rowOff>
    </xdr:from>
    <xdr:to>
      <xdr:col>12</xdr:col>
      <xdr:colOff>71755</xdr:colOff>
      <xdr:row>17</xdr:row>
      <xdr:rowOff>20955</xdr:rowOff>
    </xdr:to>
    <xdr:sp macro="" textlink="">
      <xdr:nvSpPr>
        <xdr:cNvPr id="17" name="Text Box 16">
          <a:extLst>
            <a:ext uri="{FF2B5EF4-FFF2-40B4-BE49-F238E27FC236}">
              <a16:creationId xmlns:a16="http://schemas.microsoft.com/office/drawing/2014/main" id="{00000000-0008-0000-0F00-000011000000}"/>
            </a:ext>
          </a:extLst>
        </xdr:cNvPr>
        <xdr:cNvSpPr txBox="1"/>
      </xdr:nvSpPr>
      <xdr:spPr>
        <a:xfrm>
          <a:off x="6739255" y="2927350"/>
          <a:ext cx="2305050" cy="459105"/>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900" b="1">
              <a:ln>
                <a:noFill/>
              </a:ln>
              <a:solidFill>
                <a:schemeClr val="tx1">
                  <a:lumMod val="95000"/>
                  <a:lumOff val="5000"/>
                </a:schemeClr>
              </a:solidFill>
            </a:rPr>
            <a:t>Average Stress Index </a:t>
          </a:r>
          <a:endParaRPr lang="en-US" sz="1000" b="1">
            <a:ln>
              <a:noFill/>
            </a:ln>
            <a:solidFill>
              <a:schemeClr val="tx1">
                <a:lumMod val="95000"/>
                <a:lumOff val="5000"/>
              </a:schemeClr>
            </a:solidFill>
          </a:endParaRPr>
        </a:p>
        <a:p>
          <a:pPr algn="ctr"/>
          <a:r>
            <a:rPr lang="en-US" sz="1300" b="1">
              <a:ln>
                <a:solidFill>
                  <a:sysClr val="windowText" lastClr="000000"/>
                </a:solidFill>
              </a:ln>
              <a:solidFill>
                <a:schemeClr val="tx1">
                  <a:lumMod val="95000"/>
                  <a:lumOff val="5000"/>
                </a:schemeClr>
              </a:solidFill>
            </a:rPr>
            <a:t> 1.032447552</a:t>
          </a:r>
          <a:endParaRPr lang="en-US" sz="1000" b="1">
            <a:solidFill>
              <a:schemeClr val="tx1">
                <a:lumMod val="95000"/>
                <a:lumOff val="5000"/>
              </a:schemeClr>
            </a:solidFill>
          </a:endParaRPr>
        </a:p>
        <a:p>
          <a:pPr algn="l"/>
          <a:endParaRPr lang="en-US" sz="1000" b="1">
            <a:solidFill>
              <a:schemeClr val="tx1">
                <a:lumMod val="95000"/>
                <a:lumOff val="5000"/>
              </a:schemeClr>
            </a:solidFill>
          </a:endParaRPr>
        </a:p>
      </xdr:txBody>
    </xdr:sp>
    <xdr:clientData/>
  </xdr:twoCellAnchor>
  <xdr:twoCellAnchor>
    <xdr:from>
      <xdr:col>11</xdr:col>
      <xdr:colOff>554990</xdr:colOff>
      <xdr:row>2</xdr:row>
      <xdr:rowOff>222885</xdr:rowOff>
    </xdr:from>
    <xdr:to>
      <xdr:col>15</xdr:col>
      <xdr:colOff>195580</xdr:colOff>
      <xdr:row>5</xdr:row>
      <xdr:rowOff>57785</xdr:rowOff>
    </xdr:to>
    <xdr:sp macro="" textlink="">
      <xdr:nvSpPr>
        <xdr:cNvPr id="18" name="Text Box 17">
          <a:extLst>
            <a:ext uri="{FF2B5EF4-FFF2-40B4-BE49-F238E27FC236}">
              <a16:creationId xmlns:a16="http://schemas.microsoft.com/office/drawing/2014/main" id="{00000000-0008-0000-0F00-000012000000}"/>
            </a:ext>
          </a:extLst>
        </xdr:cNvPr>
        <xdr:cNvSpPr txBox="1"/>
      </xdr:nvSpPr>
      <xdr:spPr>
        <a:xfrm>
          <a:off x="8917940" y="680085"/>
          <a:ext cx="2078990" cy="457200"/>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900" b="1">
              <a:ln>
                <a:noFill/>
              </a:ln>
              <a:solidFill>
                <a:schemeClr val="tx1">
                  <a:lumMod val="95000"/>
                  <a:lumOff val="5000"/>
                </a:schemeClr>
              </a:solidFill>
            </a:rPr>
            <a:t>Average Yield Gap </a:t>
          </a:r>
          <a:endParaRPr lang="en-US" sz="900" b="1">
            <a:ln>
              <a:solidFill>
                <a:sysClr val="windowText" lastClr="000000"/>
              </a:solidFill>
            </a:ln>
            <a:solidFill>
              <a:schemeClr val="tx1">
                <a:lumMod val="95000"/>
                <a:lumOff val="5000"/>
              </a:schemeClr>
            </a:solidFill>
          </a:endParaRPr>
        </a:p>
        <a:p>
          <a:pPr algn="ctr"/>
          <a:r>
            <a:rPr lang="en-US" sz="1300" b="1">
              <a:ln>
                <a:solidFill>
                  <a:sysClr val="windowText" lastClr="000000"/>
                </a:solidFill>
              </a:ln>
              <a:solidFill>
                <a:schemeClr val="tx1">
                  <a:lumMod val="95000"/>
                  <a:lumOff val="5000"/>
                </a:schemeClr>
              </a:solidFill>
            </a:rPr>
            <a:t> 0.991397101</a:t>
          </a:r>
          <a:endParaRPr lang="en-US" sz="900" b="1">
            <a:ln>
              <a:solidFill>
                <a:sysClr val="windowText" lastClr="000000"/>
              </a:solidFill>
            </a:ln>
            <a:solidFill>
              <a:schemeClr val="tx1">
                <a:lumMod val="95000"/>
                <a:lumOff val="5000"/>
              </a:schemeClr>
            </a:solidFill>
          </a:endParaRPr>
        </a:p>
        <a:p>
          <a:pPr algn="ctr"/>
          <a:endParaRPr lang="en-US" sz="900" b="1">
            <a:ln>
              <a:solidFill>
                <a:sysClr val="windowText" lastClr="000000"/>
              </a:solidFill>
            </a:ln>
            <a:solidFill>
              <a:schemeClr val="tx1">
                <a:lumMod val="95000"/>
                <a:lumOff val="5000"/>
              </a:schemeClr>
            </a:solidFill>
          </a:endParaRPr>
        </a:p>
        <a:p>
          <a:pPr algn="ctr"/>
          <a:endParaRPr lang="en-US" sz="900" b="1">
            <a:ln>
              <a:solidFill>
                <a:sysClr val="windowText" lastClr="000000"/>
              </a:solidFill>
            </a:ln>
            <a:solidFill>
              <a:schemeClr val="tx1">
                <a:lumMod val="95000"/>
                <a:lumOff val="5000"/>
              </a:schemeClr>
            </a:solidFill>
          </a:endParaRPr>
        </a:p>
        <a:p>
          <a:pPr algn="ctr"/>
          <a:endParaRPr lang="en-US" sz="900" b="1">
            <a:ln>
              <a:solidFill>
                <a:sysClr val="windowText" lastClr="000000"/>
              </a:solidFill>
            </a:ln>
            <a:solidFill>
              <a:schemeClr val="tx1">
                <a:lumMod val="95000"/>
                <a:lumOff val="5000"/>
              </a:schemeClr>
            </a:solidFill>
          </a:endParaRPr>
        </a:p>
      </xdr:txBody>
    </xdr:sp>
    <xdr:clientData/>
  </xdr:twoCellAnchor>
  <xdr:twoCellAnchor>
    <xdr:from>
      <xdr:col>17</xdr:col>
      <xdr:colOff>756920</xdr:colOff>
      <xdr:row>13</xdr:row>
      <xdr:rowOff>148590</xdr:rowOff>
    </xdr:from>
    <xdr:to>
      <xdr:col>23</xdr:col>
      <xdr:colOff>238125</xdr:colOff>
      <xdr:row>17</xdr:row>
      <xdr:rowOff>165100</xdr:rowOff>
    </xdr:to>
    <xdr:sp macro="" textlink="">
      <xdr:nvSpPr>
        <xdr:cNvPr id="19" name="Text Box 18">
          <a:extLst>
            <a:ext uri="{FF2B5EF4-FFF2-40B4-BE49-F238E27FC236}">
              <a16:creationId xmlns:a16="http://schemas.microsoft.com/office/drawing/2014/main" id="{00000000-0008-0000-0F00-000013000000}"/>
            </a:ext>
          </a:extLst>
        </xdr:cNvPr>
        <xdr:cNvSpPr txBox="1"/>
      </xdr:nvSpPr>
      <xdr:spPr>
        <a:xfrm>
          <a:off x="12948920" y="2752090"/>
          <a:ext cx="3881755" cy="778510"/>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400" b="1">
              <a:ln>
                <a:noFill/>
              </a:ln>
              <a:solidFill>
                <a:schemeClr val="accent6">
                  <a:lumMod val="50000"/>
                </a:schemeClr>
              </a:solidFill>
            </a:rPr>
            <a:t>Label Interpretation</a:t>
          </a:r>
          <a:r>
            <a:rPr lang="en-US" sz="1600" b="1">
              <a:ln>
                <a:noFill/>
              </a:ln>
              <a:solidFill>
                <a:schemeClr val="accent6">
                  <a:lumMod val="50000"/>
                </a:schemeClr>
              </a:solidFill>
            </a:rPr>
            <a:t> </a:t>
          </a:r>
        </a:p>
        <a:p>
          <a:pPr algn="ctr"/>
          <a:r>
            <a:rPr lang="en-US" sz="2200" b="1">
              <a:solidFill>
                <a:schemeClr val="accent6">
                  <a:lumMod val="50000"/>
                </a:schemeClr>
              </a:solidFill>
            </a:rPr>
            <a:t>Mainly Climate Constraint</a:t>
          </a:r>
        </a:p>
        <a:p>
          <a:pPr algn="l"/>
          <a:endParaRPr lang="en-US" sz="2200" b="1">
            <a:solidFill>
              <a:schemeClr val="accent6">
                <a:lumMod val="50000"/>
              </a:schemeClr>
            </a:solidFill>
          </a:endParaRPr>
        </a:p>
        <a:p>
          <a:pPr algn="l"/>
          <a:endParaRPr lang="en-US" sz="2200" b="1">
            <a:solidFill>
              <a:schemeClr val="accent6">
                <a:lumMod val="50000"/>
              </a:schemeClr>
            </a:solidFill>
          </a:endParaRPr>
        </a:p>
        <a:p>
          <a:pPr algn="l"/>
          <a:endParaRPr lang="en-US" sz="2200"/>
        </a:p>
      </xdr:txBody>
    </xdr:sp>
    <xdr:clientData/>
  </xdr:twoCellAnchor>
  <xdr:twoCellAnchor>
    <xdr:from>
      <xdr:col>17</xdr:col>
      <xdr:colOff>840105</xdr:colOff>
      <xdr:row>5</xdr:row>
      <xdr:rowOff>77470</xdr:rowOff>
    </xdr:from>
    <xdr:to>
      <xdr:col>24</xdr:col>
      <xdr:colOff>124460</xdr:colOff>
      <xdr:row>10</xdr:row>
      <xdr:rowOff>10160</xdr:rowOff>
    </xdr:to>
    <xdr:sp macro="" textlink="">
      <xdr:nvSpPr>
        <xdr:cNvPr id="20" name="Text Box 19">
          <a:extLst>
            <a:ext uri="{FF2B5EF4-FFF2-40B4-BE49-F238E27FC236}">
              <a16:creationId xmlns:a16="http://schemas.microsoft.com/office/drawing/2014/main" id="{00000000-0008-0000-0F00-000014000000}"/>
            </a:ext>
          </a:extLst>
        </xdr:cNvPr>
        <xdr:cNvSpPr txBox="1"/>
      </xdr:nvSpPr>
      <xdr:spPr>
        <a:xfrm>
          <a:off x="13032105" y="1156970"/>
          <a:ext cx="4294505" cy="885190"/>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400" b="1">
              <a:ln>
                <a:noFill/>
              </a:ln>
              <a:solidFill>
                <a:schemeClr val="accent6">
                  <a:lumMod val="50000"/>
                </a:schemeClr>
              </a:solidFill>
            </a:rPr>
            <a:t>Investment</a:t>
          </a:r>
          <a:endParaRPr lang="en-US" sz="1600" b="1">
            <a:ln>
              <a:noFill/>
            </a:ln>
            <a:solidFill>
              <a:schemeClr val="accent6">
                <a:lumMod val="50000"/>
              </a:schemeClr>
            </a:solidFill>
          </a:endParaRPr>
        </a:p>
        <a:p>
          <a:pPr algn="ctr"/>
          <a:r>
            <a:rPr lang="en-US" sz="1600" b="1">
              <a:ln>
                <a:noFill/>
              </a:ln>
              <a:solidFill>
                <a:schemeClr val="accent6">
                  <a:lumMod val="50000"/>
                </a:schemeClr>
              </a:solidFill>
            </a:rPr>
            <a:t> </a:t>
          </a:r>
          <a:r>
            <a:rPr lang="en-US" sz="2200" b="1">
              <a:solidFill>
                <a:schemeClr val="accent6">
                  <a:lumMod val="50000"/>
                </a:schemeClr>
              </a:solidFill>
            </a:rPr>
            <a:t>Low Opportunity</a:t>
          </a:r>
        </a:p>
        <a:p>
          <a:pPr algn="l"/>
          <a:endParaRPr lang="en-US" sz="2200" b="1">
            <a:solidFill>
              <a:schemeClr val="accent6">
                <a:lumMod val="50000"/>
              </a:schemeClr>
            </a:solidFill>
          </a:endParaRPr>
        </a:p>
        <a:p>
          <a:pPr algn="l"/>
          <a:endParaRPr lang="en-US" sz="2200" b="1">
            <a:solidFill>
              <a:schemeClr val="accent6">
                <a:lumMod val="50000"/>
              </a:schemeClr>
            </a:solidFill>
          </a:endParaRPr>
        </a:p>
        <a:p>
          <a:pPr algn="l"/>
          <a:endParaRPr lang="en-US" sz="2200" b="1">
            <a:solidFill>
              <a:schemeClr val="accent6">
                <a:lumMod val="50000"/>
              </a:schemeClr>
            </a:solidFill>
          </a:endParaRPr>
        </a:p>
        <a:p>
          <a:pPr algn="l"/>
          <a:endParaRPr lang="en-US" sz="2200"/>
        </a:p>
      </xdr:txBody>
    </xdr:sp>
    <xdr:clientData/>
  </xdr:twoCellAnchor>
  <xdr:twoCellAnchor>
    <xdr:from>
      <xdr:col>1</xdr:col>
      <xdr:colOff>212725</xdr:colOff>
      <xdr:row>0</xdr:row>
      <xdr:rowOff>19050</xdr:rowOff>
    </xdr:from>
    <xdr:to>
      <xdr:col>13</xdr:col>
      <xdr:colOff>215900</xdr:colOff>
      <xdr:row>1</xdr:row>
      <xdr:rowOff>144145</xdr:rowOff>
    </xdr:to>
    <xdr:sp macro="" textlink="">
      <xdr:nvSpPr>
        <xdr:cNvPr id="21" name="Text Box 20">
          <a:extLst>
            <a:ext uri="{FF2B5EF4-FFF2-40B4-BE49-F238E27FC236}">
              <a16:creationId xmlns:a16="http://schemas.microsoft.com/office/drawing/2014/main" id="{00000000-0008-0000-0F00-000015000000}"/>
            </a:ext>
          </a:extLst>
        </xdr:cNvPr>
        <xdr:cNvSpPr txBox="1"/>
      </xdr:nvSpPr>
      <xdr:spPr>
        <a:xfrm>
          <a:off x="822325" y="19050"/>
          <a:ext cx="8975725" cy="391795"/>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700" b="1">
              <a:solidFill>
                <a:schemeClr val="tx1">
                  <a:lumMod val="95000"/>
                  <a:lumOff val="5000"/>
                </a:schemeClr>
              </a:solidFill>
              <a:effectLst/>
            </a:rPr>
            <a:t>Yield Gap and Climate Stress Analysis for Strategic Agricultural Investment in Nigeria (2000 -2010)</a:t>
          </a:r>
        </a:p>
        <a:p>
          <a:pPr algn="l"/>
          <a:endParaRPr lang="en-US" sz="2000" b="1">
            <a:solidFill>
              <a:schemeClr val="tx1">
                <a:lumMod val="95000"/>
                <a:lumOff val="5000"/>
              </a:schemeClr>
            </a:solidFill>
            <a:effectLst/>
          </a:endParaRPr>
        </a:p>
        <a:p>
          <a:pPr algn="l"/>
          <a:endParaRPr lang="en-US" sz="2000" b="1">
            <a:solidFill>
              <a:schemeClr val="tx1">
                <a:lumMod val="95000"/>
                <a:lumOff val="5000"/>
              </a:schemeClr>
            </a:solidFill>
            <a:effectLst/>
          </a:endParaRPr>
        </a:p>
        <a:p>
          <a:pPr algn="l"/>
          <a:endParaRPr lang="en-US" sz="2000" b="1">
            <a:solidFill>
              <a:schemeClr val="tx1">
                <a:lumMod val="95000"/>
                <a:lumOff val="5000"/>
              </a:schemeClr>
            </a:solidFill>
            <a:effectLst/>
          </a:endParaRPr>
        </a:p>
      </xdr:txBody>
    </xdr:sp>
    <xdr:clientData/>
  </xdr:twoCellAnchor>
  <xdr:twoCellAnchor>
    <xdr:from>
      <xdr:col>0</xdr:col>
      <xdr:colOff>76200</xdr:colOff>
      <xdr:row>17</xdr:row>
      <xdr:rowOff>95250</xdr:rowOff>
    </xdr:from>
    <xdr:to>
      <xdr:col>9</xdr:col>
      <xdr:colOff>281940</xdr:colOff>
      <xdr:row>19</xdr:row>
      <xdr:rowOff>130810</xdr:rowOff>
    </xdr:to>
    <xdr:sp macro="" textlink="">
      <xdr:nvSpPr>
        <xdr:cNvPr id="28" name="Rounded Rectangle 27">
          <a:extLst>
            <a:ext uri="{FF2B5EF4-FFF2-40B4-BE49-F238E27FC236}">
              <a16:creationId xmlns:a16="http://schemas.microsoft.com/office/drawing/2014/main" id="{00000000-0008-0000-0F00-00001C000000}"/>
            </a:ext>
          </a:extLst>
        </xdr:cNvPr>
        <xdr:cNvSpPr/>
      </xdr:nvSpPr>
      <xdr:spPr>
        <a:xfrm>
          <a:off x="76200" y="3460750"/>
          <a:ext cx="6854190" cy="416560"/>
        </a:xfrm>
        <a:prstGeom prst="roundRect">
          <a:avLst/>
        </a:prstGeom>
        <a:solidFill>
          <a:schemeClr val="tx1">
            <a:lumMod val="65000"/>
            <a:lumOff val="35000"/>
          </a:schemeClr>
        </a:solidFill>
        <a:ln>
          <a:solidFill>
            <a:schemeClr val="accent6">
              <a:lumMod val="40000"/>
              <a:lumOff val="60000"/>
            </a:schemeClr>
          </a:solidFill>
        </a:ln>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4</xdr:col>
      <xdr:colOff>342900</xdr:colOff>
      <xdr:row>16</xdr:row>
      <xdr:rowOff>161925</xdr:rowOff>
    </xdr:from>
    <xdr:to>
      <xdr:col>9</xdr:col>
      <xdr:colOff>177800</xdr:colOff>
      <xdr:row>19</xdr:row>
      <xdr:rowOff>24130</xdr:rowOff>
    </xdr:to>
    <xdr:sp macro="" textlink="">
      <xdr:nvSpPr>
        <xdr:cNvPr id="29" name="Rounded Rectangle 28">
          <a:extLst>
            <a:ext uri="{FF2B5EF4-FFF2-40B4-BE49-F238E27FC236}">
              <a16:creationId xmlns:a16="http://schemas.microsoft.com/office/drawing/2014/main" id="{00000000-0008-0000-0F00-00001D000000}"/>
            </a:ext>
          </a:extLst>
        </xdr:cNvPr>
        <xdr:cNvSpPr/>
      </xdr:nvSpPr>
      <xdr:spPr>
        <a:xfrm>
          <a:off x="3276600" y="3336925"/>
          <a:ext cx="3549650" cy="433705"/>
        </a:xfrm>
        <a:prstGeom prst="roundRect">
          <a:avLst/>
        </a:prstGeom>
        <a:solidFill>
          <a:schemeClr val="tx1">
            <a:lumMod val="50000"/>
            <a:lumOff val="50000"/>
          </a:schemeClr>
        </a:solidFill>
        <a:ln w="28575" cap="flat" cmpd="sng" algn="ctr">
          <a:solidFill>
            <a:schemeClr val="accent6">
              <a:lumMod val="20000"/>
              <a:lumOff val="8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0</xdr:col>
      <xdr:colOff>174625</xdr:colOff>
      <xdr:row>16</xdr:row>
      <xdr:rowOff>41910</xdr:rowOff>
    </xdr:from>
    <xdr:to>
      <xdr:col>4</xdr:col>
      <xdr:colOff>276225</xdr:colOff>
      <xdr:row>19</xdr:row>
      <xdr:rowOff>8255</xdr:rowOff>
    </xdr:to>
    <xdr:sp macro="" textlink="">
      <xdr:nvSpPr>
        <xdr:cNvPr id="30" name="Rounded Rectangle 29">
          <a:extLst>
            <a:ext uri="{FF2B5EF4-FFF2-40B4-BE49-F238E27FC236}">
              <a16:creationId xmlns:a16="http://schemas.microsoft.com/office/drawing/2014/main" id="{00000000-0008-0000-0F00-00001E000000}"/>
            </a:ext>
          </a:extLst>
        </xdr:cNvPr>
        <xdr:cNvSpPr/>
      </xdr:nvSpPr>
      <xdr:spPr>
        <a:xfrm>
          <a:off x="174625" y="3216910"/>
          <a:ext cx="3035300" cy="537845"/>
        </a:xfrm>
        <a:prstGeom prst="roundRect">
          <a:avLst/>
        </a:prstGeom>
        <a:solidFill>
          <a:schemeClr val="tx1">
            <a:lumMod val="50000"/>
            <a:lumOff val="50000"/>
          </a:schemeClr>
        </a:solidFill>
        <a:ln w="28575" cap="flat" cmpd="sng" algn="ctr">
          <a:solidFill>
            <a:schemeClr val="accent6">
              <a:lumMod val="20000"/>
              <a:lumOff val="8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0</xdr:col>
      <xdr:colOff>104775</xdr:colOff>
      <xdr:row>2</xdr:row>
      <xdr:rowOff>28575</xdr:rowOff>
    </xdr:from>
    <xdr:to>
      <xdr:col>5</xdr:col>
      <xdr:colOff>426085</xdr:colOff>
      <xdr:row>15</xdr:row>
      <xdr:rowOff>120650</xdr:rowOff>
    </xdr:to>
    <xdr:graphicFrame macro="">
      <xdr:nvGraphicFramePr>
        <xdr:cNvPr id="31" name="Chart 30">
          <a:extLst>
            <a:ext uri="{FF2B5EF4-FFF2-40B4-BE49-F238E27FC236}">
              <a16:creationId xmlns:a16="http://schemas.microsoft.com/office/drawing/2014/main" id="{00000000-0008-0000-0F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83185</xdr:colOff>
      <xdr:row>2</xdr:row>
      <xdr:rowOff>0</xdr:rowOff>
    </xdr:from>
    <xdr:to>
      <xdr:col>11</xdr:col>
      <xdr:colOff>542925</xdr:colOff>
      <xdr:row>13</xdr:row>
      <xdr:rowOff>135255</xdr:rowOff>
    </xdr:to>
    <xdr:pic>
      <xdr:nvPicPr>
        <xdr:cNvPr id="34" name="Picture 6">
          <a:extLst>
            <a:ext uri="{FF2B5EF4-FFF2-40B4-BE49-F238E27FC236}">
              <a16:creationId xmlns:a16="http://schemas.microsoft.com/office/drawing/2014/main" id="{00000000-0008-0000-0F00-000022000000}"/>
            </a:ext>
          </a:extLst>
        </xdr:cNvPr>
        <xdr:cNvPicPr>
          <a:picLocks noChangeAspect="1"/>
        </xdr:cNvPicPr>
      </xdr:nvPicPr>
      <xdr:blipFill>
        <a:blip xmlns:r="http://schemas.openxmlformats.org/officeDocument/2006/relationships" r:embed="rId2"/>
        <a:stretch>
          <a:fillRect/>
        </a:stretch>
      </xdr:blipFill>
      <xdr:spPr>
        <a:xfrm>
          <a:off x="5093335" y="457200"/>
          <a:ext cx="3812540" cy="2281555"/>
        </a:xfrm>
        <a:prstGeom prst="rect">
          <a:avLst/>
        </a:prstGeom>
        <a:noFill/>
        <a:ln>
          <a:noFill/>
        </a:ln>
      </xdr:spPr>
    </xdr:pic>
    <xdr:clientData/>
  </xdr:twoCellAnchor>
  <xdr:twoCellAnchor>
    <xdr:from>
      <xdr:col>5</xdr:col>
      <xdr:colOff>390525</xdr:colOff>
      <xdr:row>14</xdr:row>
      <xdr:rowOff>57150</xdr:rowOff>
    </xdr:from>
    <xdr:to>
      <xdr:col>8</xdr:col>
      <xdr:colOff>371475</xdr:colOff>
      <xdr:row>16</xdr:row>
      <xdr:rowOff>135255</xdr:rowOff>
    </xdr:to>
    <xdr:sp macro="" textlink="">
      <xdr:nvSpPr>
        <xdr:cNvPr id="35" name="Text Box 34">
          <a:extLst>
            <a:ext uri="{FF2B5EF4-FFF2-40B4-BE49-F238E27FC236}">
              <a16:creationId xmlns:a16="http://schemas.microsoft.com/office/drawing/2014/main" id="{00000000-0008-0000-0F00-000023000000}"/>
            </a:ext>
          </a:extLst>
        </xdr:cNvPr>
        <xdr:cNvSpPr txBox="1"/>
      </xdr:nvSpPr>
      <xdr:spPr>
        <a:xfrm>
          <a:off x="3933825" y="2851150"/>
          <a:ext cx="2305050" cy="459105"/>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900" b="1">
              <a:ln>
                <a:noFill/>
              </a:ln>
              <a:solidFill>
                <a:schemeClr val="tx1">
                  <a:lumMod val="95000"/>
                  <a:lumOff val="5000"/>
                </a:schemeClr>
              </a:solidFill>
            </a:rPr>
            <a:t>Unique Label </a:t>
          </a:r>
          <a:endParaRPr lang="en-US" sz="1000" b="1">
            <a:ln>
              <a:solidFill>
                <a:sysClr val="windowText" lastClr="000000"/>
              </a:solidFill>
            </a:ln>
            <a:solidFill>
              <a:schemeClr val="tx1">
                <a:lumMod val="95000"/>
                <a:lumOff val="5000"/>
              </a:schemeClr>
            </a:solidFill>
          </a:endParaRPr>
        </a:p>
        <a:p>
          <a:pPr algn="ctr"/>
          <a:r>
            <a:rPr lang="en-US" sz="1300" b="1">
              <a:ln>
                <a:solidFill>
                  <a:sysClr val="windowText" lastClr="000000"/>
                </a:solidFill>
              </a:ln>
              <a:solidFill>
                <a:schemeClr val="tx1">
                  <a:lumMod val="95000"/>
                  <a:lumOff val="5000"/>
                </a:schemeClr>
              </a:solidFill>
            </a:rPr>
            <a:t> Medium YG + SI &gt; 1 </a:t>
          </a:r>
          <a:endParaRPr lang="en-US" sz="1000" b="1">
            <a:ln>
              <a:solidFill>
                <a:sysClr val="windowText" lastClr="000000"/>
              </a:solidFill>
            </a:ln>
            <a:solidFill>
              <a:schemeClr val="tx1">
                <a:lumMod val="95000"/>
                <a:lumOff val="5000"/>
              </a:schemeClr>
            </a:solidFill>
          </a:endParaRPr>
        </a:p>
        <a:p>
          <a:pPr algn="ctr"/>
          <a:endParaRPr lang="en-US" sz="1000" b="1">
            <a:solidFill>
              <a:schemeClr val="tx1">
                <a:lumMod val="95000"/>
                <a:lumOff val="5000"/>
              </a:schemeClr>
            </a:solidFill>
          </a:endParaRPr>
        </a:p>
        <a:p>
          <a:pPr algn="l"/>
          <a:endParaRPr lang="en-US" sz="1000" b="1">
            <a:solidFill>
              <a:schemeClr val="tx1">
                <a:lumMod val="95000"/>
                <a:lumOff val="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11</xdr:col>
          <xdr:colOff>590550</xdr:colOff>
          <xdr:row>7</xdr:row>
          <xdr:rowOff>161925</xdr:rowOff>
        </xdr:from>
        <xdr:to>
          <xdr:col>16</xdr:col>
          <xdr:colOff>390525</xdr:colOff>
          <xdr:row>19</xdr:row>
          <xdr:rowOff>76200</xdr:rowOff>
        </xdr:to>
        <xdr:sp macro="" textlink="">
          <xdr:nvSpPr>
            <xdr:cNvPr id="12291" name="Object 3" hidden="1">
              <a:extLst>
                <a:ext uri="{63B3BB69-23CF-44E3-9099-C40C66FF867C}">
                  <a14:compatExt spid="_x0000_s12291"/>
                </a:ext>
                <a:ext uri="{FF2B5EF4-FFF2-40B4-BE49-F238E27FC236}">
                  <a16:creationId xmlns:a16="http://schemas.microsoft.com/office/drawing/2014/main" id="{00000000-0008-0000-0F00-000003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4</xdr:col>
      <xdr:colOff>362585</xdr:colOff>
      <xdr:row>16</xdr:row>
      <xdr:rowOff>133350</xdr:rowOff>
    </xdr:from>
    <xdr:to>
      <xdr:col>8</xdr:col>
      <xdr:colOff>755015</xdr:colOff>
      <xdr:row>19</xdr:row>
      <xdr:rowOff>85090</xdr:rowOff>
    </xdr:to>
    <xdr:sp macro="" textlink="">
      <xdr:nvSpPr>
        <xdr:cNvPr id="36" name="Text Box 35">
          <a:extLst>
            <a:ext uri="{FF2B5EF4-FFF2-40B4-BE49-F238E27FC236}">
              <a16:creationId xmlns:a16="http://schemas.microsoft.com/office/drawing/2014/main" id="{00000000-0008-0000-0F00-000024000000}"/>
            </a:ext>
          </a:extLst>
        </xdr:cNvPr>
        <xdr:cNvSpPr txBox="1"/>
      </xdr:nvSpPr>
      <xdr:spPr>
        <a:xfrm>
          <a:off x="3296285" y="3308350"/>
          <a:ext cx="3326130" cy="523240"/>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000" b="1">
              <a:ln>
                <a:noFill/>
              </a:ln>
              <a:solidFill>
                <a:schemeClr val="tx1">
                  <a:lumMod val="95000"/>
                  <a:lumOff val="5000"/>
                </a:schemeClr>
              </a:solidFill>
            </a:rPr>
            <a:t>Interpretation</a:t>
          </a:r>
          <a:r>
            <a:rPr lang="en-US" sz="900" b="1">
              <a:ln>
                <a:noFill/>
              </a:ln>
              <a:solidFill>
                <a:schemeClr val="tx1">
                  <a:lumMod val="95000"/>
                  <a:lumOff val="5000"/>
                </a:schemeClr>
              </a:solidFill>
            </a:rPr>
            <a:t> </a:t>
          </a:r>
        </a:p>
        <a:p>
          <a:pPr algn="ctr"/>
          <a:r>
            <a:rPr lang="en-US" sz="1500" b="1">
              <a:ln>
                <a:noFill/>
              </a:ln>
              <a:solidFill>
                <a:schemeClr val="tx1">
                  <a:lumMod val="95000"/>
                  <a:lumOff val="5000"/>
                </a:schemeClr>
              </a:solidFill>
            </a:rPr>
            <a:t> </a:t>
          </a:r>
          <a:r>
            <a:rPr lang="en-US" sz="1500" b="1">
              <a:ln>
                <a:solidFill>
                  <a:sysClr val="windowText" lastClr="000000"/>
                </a:solidFill>
              </a:ln>
              <a:solidFill>
                <a:schemeClr val="tx1">
                  <a:lumMod val="95000"/>
                  <a:lumOff val="5000"/>
                </a:schemeClr>
              </a:solidFill>
            </a:rPr>
            <a:t>Management Focus</a:t>
          </a:r>
          <a:endParaRPr lang="en-US" sz="1500" b="1">
            <a:solidFill>
              <a:schemeClr val="tx1">
                <a:lumMod val="95000"/>
                <a:lumOff val="5000"/>
              </a:schemeClr>
            </a:solidFill>
          </a:endParaRPr>
        </a:p>
        <a:p>
          <a:pPr algn="ctr"/>
          <a:endParaRPr lang="en-US" sz="900" b="1">
            <a:solidFill>
              <a:schemeClr val="tx1">
                <a:lumMod val="95000"/>
                <a:lumOff val="5000"/>
              </a:schemeClr>
            </a:solidFill>
          </a:endParaRPr>
        </a:p>
        <a:p>
          <a:pPr algn="ctr"/>
          <a:endParaRPr lang="en-US" sz="900" b="1">
            <a:solidFill>
              <a:schemeClr val="tx1">
                <a:lumMod val="95000"/>
                <a:lumOff val="5000"/>
              </a:schemeClr>
            </a:solidFill>
          </a:endParaRPr>
        </a:p>
        <a:p>
          <a:pPr algn="ctr"/>
          <a:endParaRPr lang="en-US" sz="900" b="1">
            <a:solidFill>
              <a:schemeClr val="tx1">
                <a:lumMod val="95000"/>
                <a:lumOff val="5000"/>
              </a:schemeClr>
            </a:solidFill>
          </a:endParaRPr>
        </a:p>
        <a:p>
          <a:pPr algn="ctr"/>
          <a:endParaRPr lang="en-US" sz="900" b="1">
            <a:solidFill>
              <a:schemeClr val="tx1">
                <a:lumMod val="95000"/>
                <a:lumOff val="5000"/>
              </a:schemeClr>
            </a:solidFill>
          </a:endParaRPr>
        </a:p>
      </xdr:txBody>
    </xdr:sp>
    <xdr:clientData/>
  </xdr:twoCellAnchor>
  <xdr:twoCellAnchor>
    <xdr:from>
      <xdr:col>0</xdr:col>
      <xdr:colOff>9525</xdr:colOff>
      <xdr:row>16</xdr:row>
      <xdr:rowOff>66675</xdr:rowOff>
    </xdr:from>
    <xdr:to>
      <xdr:col>4</xdr:col>
      <xdr:colOff>393065</xdr:colOff>
      <xdr:row>19</xdr:row>
      <xdr:rowOff>74930</xdr:rowOff>
    </xdr:to>
    <xdr:sp macro="" textlink="">
      <xdr:nvSpPr>
        <xdr:cNvPr id="37" name="Text Box 36">
          <a:extLst>
            <a:ext uri="{FF2B5EF4-FFF2-40B4-BE49-F238E27FC236}">
              <a16:creationId xmlns:a16="http://schemas.microsoft.com/office/drawing/2014/main" id="{00000000-0008-0000-0F00-000025000000}"/>
            </a:ext>
          </a:extLst>
        </xdr:cNvPr>
        <xdr:cNvSpPr txBox="1"/>
      </xdr:nvSpPr>
      <xdr:spPr>
        <a:xfrm>
          <a:off x="9525" y="3241675"/>
          <a:ext cx="3317240" cy="579755"/>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b="1">
              <a:ln>
                <a:noFill/>
              </a:ln>
              <a:solidFill>
                <a:schemeClr val="tx1">
                  <a:lumMod val="95000"/>
                  <a:lumOff val="5000"/>
                </a:schemeClr>
              </a:solidFill>
            </a:rPr>
            <a:t>Investment </a:t>
          </a:r>
          <a:endParaRPr lang="en-US" sz="900" b="1">
            <a:ln>
              <a:noFill/>
            </a:ln>
            <a:solidFill>
              <a:schemeClr val="tx1">
                <a:lumMod val="95000"/>
                <a:lumOff val="5000"/>
              </a:schemeClr>
            </a:solidFill>
          </a:endParaRPr>
        </a:p>
        <a:p>
          <a:pPr algn="ctr"/>
          <a:r>
            <a:rPr lang="en-US" sz="1800" b="1">
              <a:ln>
                <a:noFill/>
              </a:ln>
              <a:solidFill>
                <a:srgbClr val="92D050"/>
              </a:solidFill>
            </a:rPr>
            <a:t> </a:t>
          </a:r>
          <a:r>
            <a:rPr lang="en-US" sz="1800" b="1">
              <a:ln>
                <a:solidFill>
                  <a:sysClr val="windowText" lastClr="000000"/>
                </a:solidFill>
              </a:ln>
              <a:solidFill>
                <a:srgbClr val="92D050"/>
              </a:solidFill>
            </a:rPr>
            <a:t>Good Opportunity</a:t>
          </a:r>
          <a:endParaRPr lang="en-US" sz="1500" b="1">
            <a:solidFill>
              <a:srgbClr val="92D050"/>
            </a:solidFill>
          </a:endParaRPr>
        </a:p>
        <a:p>
          <a:pPr algn="ctr"/>
          <a:endParaRPr lang="en-US" sz="1500" b="1">
            <a:solidFill>
              <a:schemeClr val="tx1">
                <a:lumMod val="95000"/>
                <a:lumOff val="5000"/>
              </a:schemeClr>
            </a:solidFill>
          </a:endParaRPr>
        </a:p>
        <a:p>
          <a:pPr algn="ctr"/>
          <a:endParaRPr lang="en-US" sz="900" b="1">
            <a:solidFill>
              <a:schemeClr val="tx1">
                <a:lumMod val="95000"/>
                <a:lumOff val="5000"/>
              </a:schemeClr>
            </a:solidFill>
          </a:endParaRPr>
        </a:p>
        <a:p>
          <a:pPr algn="ctr"/>
          <a:endParaRPr lang="en-US" sz="900" b="1">
            <a:solidFill>
              <a:schemeClr val="tx1">
                <a:lumMod val="95000"/>
                <a:lumOff val="5000"/>
              </a:schemeClr>
            </a:solidFill>
          </a:endParaRPr>
        </a:p>
        <a:p>
          <a:pPr algn="ctr"/>
          <a:endParaRPr lang="en-US" sz="900" b="1">
            <a:solidFill>
              <a:schemeClr val="tx1">
                <a:lumMod val="95000"/>
                <a:lumOff val="5000"/>
              </a:schemeClr>
            </a:solidFill>
          </a:endParaRPr>
        </a:p>
        <a:p>
          <a:pPr algn="ctr"/>
          <a:endParaRPr lang="en-US" sz="900" b="1">
            <a:solidFill>
              <a:schemeClr val="tx1">
                <a:lumMod val="95000"/>
                <a:lumOff val="5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688975</xdr:colOff>
      <xdr:row>2</xdr:row>
      <xdr:rowOff>163195</xdr:rowOff>
    </xdr:from>
    <xdr:to>
      <xdr:col>3</xdr:col>
      <xdr:colOff>3276600</xdr:colOff>
      <xdr:row>18</xdr:row>
      <xdr:rowOff>10795</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76200</xdr:colOff>
      <xdr:row>16</xdr:row>
      <xdr:rowOff>104775</xdr:rowOff>
    </xdr:from>
    <xdr:to>
      <xdr:col>7</xdr:col>
      <xdr:colOff>273050</xdr:colOff>
      <xdr:row>17</xdr:row>
      <xdr:rowOff>142875</xdr:rowOff>
    </xdr:to>
    <xdr:cxnSp macro="">
      <xdr:nvCxnSpPr>
        <xdr:cNvPr id="13" name="Elbow Connector 12">
          <a:extLst>
            <a:ext uri="{FF2B5EF4-FFF2-40B4-BE49-F238E27FC236}">
              <a16:creationId xmlns:a16="http://schemas.microsoft.com/office/drawing/2014/main" id="{00000000-0008-0000-1200-00000D000000}"/>
            </a:ext>
          </a:extLst>
        </xdr:cNvPr>
        <xdr:cNvCxnSpPr/>
      </xdr:nvCxnSpPr>
      <xdr:spPr>
        <a:xfrm rot="5400000" flipV="1">
          <a:off x="4975225" y="3292475"/>
          <a:ext cx="228600" cy="196850"/>
        </a:xfrm>
        <a:prstGeom prst="bentConnector3">
          <a:avLst>
            <a:gd name="adj1" fmla="val 58612"/>
          </a:avLst>
        </a:prstGeom>
        <a:ln>
          <a:solidFill>
            <a:schemeClr val="tx1"/>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474985</xdr:colOff>
      <xdr:row>11</xdr:row>
      <xdr:rowOff>38102</xdr:rowOff>
    </xdr:from>
    <xdr:to>
      <xdr:col>6</xdr:col>
      <xdr:colOff>419101</xdr:colOff>
      <xdr:row>14</xdr:row>
      <xdr:rowOff>19050</xdr:rowOff>
    </xdr:to>
    <xdr:cxnSp macro="">
      <xdr:nvCxnSpPr>
        <xdr:cNvPr id="2" name="Elbow Connector 1">
          <a:extLst>
            <a:ext uri="{FF2B5EF4-FFF2-40B4-BE49-F238E27FC236}">
              <a16:creationId xmlns:a16="http://schemas.microsoft.com/office/drawing/2014/main" id="{00000000-0008-0000-1200-000002000000}"/>
            </a:ext>
          </a:extLst>
        </xdr:cNvPr>
        <xdr:cNvCxnSpPr/>
      </xdr:nvCxnSpPr>
      <xdr:spPr>
        <a:xfrm rot="10800000">
          <a:off x="4018285" y="2257427"/>
          <a:ext cx="582291" cy="552448"/>
        </a:xfrm>
        <a:prstGeom prst="bentConnector3">
          <a:avLst>
            <a:gd name="adj1" fmla="val 50000"/>
          </a:avLst>
        </a:prstGeom>
        <a:ln>
          <a:solidFill>
            <a:schemeClr val="tx1">
              <a:lumMod val="95000"/>
              <a:lumOff val="5000"/>
            </a:schemeClr>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12</xdr:col>
      <xdr:colOff>333375</xdr:colOff>
      <xdr:row>4</xdr:row>
      <xdr:rowOff>142875</xdr:rowOff>
    </xdr:from>
    <xdr:to>
      <xdr:col>14</xdr:col>
      <xdr:colOff>123825</xdr:colOff>
      <xdr:row>5</xdr:row>
      <xdr:rowOff>132715</xdr:rowOff>
    </xdr:to>
    <xdr:cxnSp macro="">
      <xdr:nvCxnSpPr>
        <xdr:cNvPr id="3" name="Elbow Connector 2">
          <a:extLst>
            <a:ext uri="{FF2B5EF4-FFF2-40B4-BE49-F238E27FC236}">
              <a16:creationId xmlns:a16="http://schemas.microsoft.com/office/drawing/2014/main" id="{00000000-0008-0000-1200-000003000000}"/>
            </a:ext>
          </a:extLst>
        </xdr:cNvPr>
        <xdr:cNvCxnSpPr/>
      </xdr:nvCxnSpPr>
      <xdr:spPr>
        <a:xfrm rot="10800000" flipV="1">
          <a:off x="9210675" y="1028700"/>
          <a:ext cx="1009650" cy="180340"/>
        </a:xfrm>
        <a:prstGeom prst="bentConnector3">
          <a:avLst>
            <a:gd name="adj1" fmla="val -6413"/>
          </a:avLst>
        </a:prstGeom>
        <a:ln>
          <a:solidFill>
            <a:schemeClr val="tx1">
              <a:lumMod val="95000"/>
              <a:lumOff val="5000"/>
            </a:schemeClr>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10</xdr:col>
      <xdr:colOff>386080</xdr:colOff>
      <xdr:row>17</xdr:row>
      <xdr:rowOff>40005</xdr:rowOff>
    </xdr:from>
    <xdr:to>
      <xdr:col>12</xdr:col>
      <xdr:colOff>381000</xdr:colOff>
      <xdr:row>17</xdr:row>
      <xdr:rowOff>133350</xdr:rowOff>
    </xdr:to>
    <xdr:cxnSp macro="">
      <xdr:nvCxnSpPr>
        <xdr:cNvPr id="4" name="Elbow Connector 3">
          <a:extLst>
            <a:ext uri="{FF2B5EF4-FFF2-40B4-BE49-F238E27FC236}">
              <a16:creationId xmlns:a16="http://schemas.microsoft.com/office/drawing/2014/main" id="{00000000-0008-0000-1200-000004000000}"/>
            </a:ext>
          </a:extLst>
        </xdr:cNvPr>
        <xdr:cNvCxnSpPr/>
      </xdr:nvCxnSpPr>
      <xdr:spPr>
        <a:xfrm>
          <a:off x="7644130" y="3402330"/>
          <a:ext cx="1614170" cy="93345"/>
        </a:xfrm>
        <a:prstGeom prst="bentConnector3">
          <a:avLst>
            <a:gd name="adj1" fmla="val 50039"/>
          </a:avLst>
        </a:prstGeom>
        <a:ln>
          <a:solidFill>
            <a:schemeClr val="tx1">
              <a:lumMod val="95000"/>
              <a:lumOff val="5000"/>
            </a:schemeClr>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504824</xdr:colOff>
      <xdr:row>13</xdr:row>
      <xdr:rowOff>161925</xdr:rowOff>
    </xdr:from>
    <xdr:to>
      <xdr:col>8</xdr:col>
      <xdr:colOff>380999</xdr:colOff>
      <xdr:row>16</xdr:row>
      <xdr:rowOff>104775</xdr:rowOff>
    </xdr:to>
    <xdr:sp macro="" textlink="">
      <xdr:nvSpPr>
        <xdr:cNvPr id="5" name="Rounded Rectangle 4">
          <a:extLst>
            <a:ext uri="{FF2B5EF4-FFF2-40B4-BE49-F238E27FC236}">
              <a16:creationId xmlns:a16="http://schemas.microsoft.com/office/drawing/2014/main" id="{00000000-0008-0000-1200-000005000000}"/>
            </a:ext>
          </a:extLst>
        </xdr:cNvPr>
        <xdr:cNvSpPr/>
      </xdr:nvSpPr>
      <xdr:spPr>
        <a:xfrm>
          <a:off x="4048124" y="2762250"/>
          <a:ext cx="2105025" cy="514350"/>
        </a:xfrm>
        <a:prstGeom prst="roundRect">
          <a:avLst/>
        </a:prstGeom>
        <a:solidFill>
          <a:schemeClr val="tx1">
            <a:lumMod val="65000"/>
            <a:lumOff val="35000"/>
          </a:schemeClr>
        </a:solidFill>
        <a:ln>
          <a:solidFill>
            <a:schemeClr val="accent6">
              <a:lumMod val="40000"/>
              <a:lumOff val="60000"/>
            </a:schemeClr>
          </a:solidFill>
        </a:ln>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5</xdr:col>
      <xdr:colOff>609600</xdr:colOff>
      <xdr:row>14</xdr:row>
      <xdr:rowOff>76200</xdr:rowOff>
    </xdr:from>
    <xdr:to>
      <xdr:col>8</xdr:col>
      <xdr:colOff>200025</xdr:colOff>
      <xdr:row>16</xdr:row>
      <xdr:rowOff>152400</xdr:rowOff>
    </xdr:to>
    <xdr:sp macro="" textlink="">
      <xdr:nvSpPr>
        <xdr:cNvPr id="6" name="Rounded Rectangle 5">
          <a:extLst>
            <a:ext uri="{FF2B5EF4-FFF2-40B4-BE49-F238E27FC236}">
              <a16:creationId xmlns:a16="http://schemas.microsoft.com/office/drawing/2014/main" id="{00000000-0008-0000-1200-000006000000}"/>
            </a:ext>
          </a:extLst>
        </xdr:cNvPr>
        <xdr:cNvSpPr/>
      </xdr:nvSpPr>
      <xdr:spPr>
        <a:xfrm>
          <a:off x="4152900" y="2867025"/>
          <a:ext cx="1819275" cy="457200"/>
        </a:xfrm>
        <a:prstGeom prst="roundRect">
          <a:avLst/>
        </a:prstGeom>
        <a:solidFill>
          <a:schemeClr val="tx1">
            <a:lumMod val="50000"/>
            <a:lumOff val="50000"/>
          </a:schemeClr>
        </a:solidFill>
        <a:ln w="28575" cap="flat" cmpd="sng" algn="ctr">
          <a:solidFill>
            <a:schemeClr val="accent6">
              <a:lumMod val="20000"/>
              <a:lumOff val="8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12</xdr:col>
      <xdr:colOff>438150</xdr:colOff>
      <xdr:row>2</xdr:row>
      <xdr:rowOff>76200</xdr:rowOff>
    </xdr:from>
    <xdr:to>
      <xdr:col>15</xdr:col>
      <xdr:colOff>769620</xdr:colOff>
      <xdr:row>4</xdr:row>
      <xdr:rowOff>88900</xdr:rowOff>
    </xdr:to>
    <xdr:sp macro="" textlink="">
      <xdr:nvSpPr>
        <xdr:cNvPr id="7" name="Rounded Rectangle 6">
          <a:extLst>
            <a:ext uri="{FF2B5EF4-FFF2-40B4-BE49-F238E27FC236}">
              <a16:creationId xmlns:a16="http://schemas.microsoft.com/office/drawing/2014/main" id="{00000000-0008-0000-1200-000007000000}"/>
            </a:ext>
          </a:extLst>
        </xdr:cNvPr>
        <xdr:cNvSpPr/>
      </xdr:nvSpPr>
      <xdr:spPr>
        <a:xfrm>
          <a:off x="9315450" y="533400"/>
          <a:ext cx="2160270" cy="441325"/>
        </a:xfrm>
        <a:prstGeom prst="roundRect">
          <a:avLst/>
        </a:prstGeom>
        <a:solidFill>
          <a:schemeClr val="tx1">
            <a:lumMod val="65000"/>
            <a:lumOff val="35000"/>
          </a:schemeClr>
        </a:solidFill>
        <a:ln>
          <a:solidFill>
            <a:schemeClr val="accent6">
              <a:lumMod val="40000"/>
              <a:lumOff val="60000"/>
            </a:schemeClr>
          </a:solidFill>
        </a:ln>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12</xdr:col>
      <xdr:colOff>571500</xdr:colOff>
      <xdr:row>3</xdr:row>
      <xdr:rowOff>6350</xdr:rowOff>
    </xdr:from>
    <xdr:to>
      <xdr:col>15</xdr:col>
      <xdr:colOff>673100</xdr:colOff>
      <xdr:row>5</xdr:row>
      <xdr:rowOff>30480</xdr:rowOff>
    </xdr:to>
    <xdr:sp macro="" textlink="">
      <xdr:nvSpPr>
        <xdr:cNvPr id="8" name="Rounded Rectangle 7">
          <a:extLst>
            <a:ext uri="{FF2B5EF4-FFF2-40B4-BE49-F238E27FC236}">
              <a16:creationId xmlns:a16="http://schemas.microsoft.com/office/drawing/2014/main" id="{00000000-0008-0000-1200-000008000000}"/>
            </a:ext>
          </a:extLst>
        </xdr:cNvPr>
        <xdr:cNvSpPr/>
      </xdr:nvSpPr>
      <xdr:spPr>
        <a:xfrm>
          <a:off x="9448800" y="701675"/>
          <a:ext cx="1930400" cy="405130"/>
        </a:xfrm>
        <a:prstGeom prst="roundRect">
          <a:avLst/>
        </a:prstGeom>
        <a:solidFill>
          <a:schemeClr val="tx1">
            <a:lumMod val="50000"/>
            <a:lumOff val="50000"/>
          </a:schemeClr>
        </a:solidFill>
        <a:ln w="28575" cap="flat" cmpd="sng" algn="ctr">
          <a:solidFill>
            <a:schemeClr val="accent6">
              <a:lumMod val="20000"/>
              <a:lumOff val="8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9</xdr:col>
      <xdr:colOff>504825</xdr:colOff>
      <xdr:row>14</xdr:row>
      <xdr:rowOff>57150</xdr:rowOff>
    </xdr:from>
    <xdr:to>
      <xdr:col>12</xdr:col>
      <xdr:colOff>340995</xdr:colOff>
      <xdr:row>16</xdr:row>
      <xdr:rowOff>120650</xdr:rowOff>
    </xdr:to>
    <xdr:sp macro="" textlink="">
      <xdr:nvSpPr>
        <xdr:cNvPr id="9" name="Rounded Rectangle 8">
          <a:extLst>
            <a:ext uri="{FF2B5EF4-FFF2-40B4-BE49-F238E27FC236}">
              <a16:creationId xmlns:a16="http://schemas.microsoft.com/office/drawing/2014/main" id="{00000000-0008-0000-1200-000009000000}"/>
            </a:ext>
          </a:extLst>
        </xdr:cNvPr>
        <xdr:cNvSpPr/>
      </xdr:nvSpPr>
      <xdr:spPr>
        <a:xfrm>
          <a:off x="7058025" y="2847975"/>
          <a:ext cx="2160270" cy="444500"/>
        </a:xfrm>
        <a:prstGeom prst="roundRect">
          <a:avLst/>
        </a:prstGeom>
        <a:solidFill>
          <a:schemeClr val="tx1">
            <a:lumMod val="65000"/>
            <a:lumOff val="35000"/>
          </a:schemeClr>
        </a:solidFill>
        <a:ln>
          <a:solidFill>
            <a:schemeClr val="accent6">
              <a:lumMod val="40000"/>
              <a:lumOff val="60000"/>
            </a:schemeClr>
          </a:solidFill>
        </a:ln>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9</xdr:col>
      <xdr:colOff>619125</xdr:colOff>
      <xdr:row>15</xdr:row>
      <xdr:rowOff>38100</xdr:rowOff>
    </xdr:from>
    <xdr:to>
      <xdr:col>12</xdr:col>
      <xdr:colOff>225425</xdr:colOff>
      <xdr:row>17</xdr:row>
      <xdr:rowOff>62230</xdr:rowOff>
    </xdr:to>
    <xdr:sp macro="" textlink="">
      <xdr:nvSpPr>
        <xdr:cNvPr id="10" name="Rounded Rectangle 9">
          <a:extLst>
            <a:ext uri="{FF2B5EF4-FFF2-40B4-BE49-F238E27FC236}">
              <a16:creationId xmlns:a16="http://schemas.microsoft.com/office/drawing/2014/main" id="{00000000-0008-0000-1200-00000A000000}"/>
            </a:ext>
          </a:extLst>
        </xdr:cNvPr>
        <xdr:cNvSpPr/>
      </xdr:nvSpPr>
      <xdr:spPr>
        <a:xfrm>
          <a:off x="7172325" y="3019425"/>
          <a:ext cx="1930400" cy="405130"/>
        </a:xfrm>
        <a:prstGeom prst="roundRect">
          <a:avLst/>
        </a:prstGeom>
        <a:solidFill>
          <a:schemeClr val="tx1">
            <a:lumMod val="50000"/>
            <a:lumOff val="50000"/>
          </a:schemeClr>
        </a:solidFill>
        <a:ln w="28575" cap="flat" cmpd="sng" algn="ctr">
          <a:solidFill>
            <a:schemeClr val="accent6">
              <a:lumMod val="20000"/>
              <a:lumOff val="8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9</xdr:col>
      <xdr:colOff>462280</xdr:colOff>
      <xdr:row>15</xdr:row>
      <xdr:rowOff>9525</xdr:rowOff>
    </xdr:from>
    <xdr:to>
      <xdr:col>12</xdr:col>
      <xdr:colOff>443230</xdr:colOff>
      <xdr:row>16</xdr:row>
      <xdr:rowOff>76200</xdr:rowOff>
    </xdr:to>
    <xdr:sp macro="" textlink="">
      <xdr:nvSpPr>
        <xdr:cNvPr id="19" name="Text Box 18">
          <a:extLst>
            <a:ext uri="{FF2B5EF4-FFF2-40B4-BE49-F238E27FC236}">
              <a16:creationId xmlns:a16="http://schemas.microsoft.com/office/drawing/2014/main" id="{00000000-0008-0000-1200-000013000000}"/>
            </a:ext>
          </a:extLst>
        </xdr:cNvPr>
        <xdr:cNvSpPr txBox="1"/>
      </xdr:nvSpPr>
      <xdr:spPr>
        <a:xfrm>
          <a:off x="7015480" y="2990850"/>
          <a:ext cx="2305050" cy="257175"/>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100" b="1">
              <a:ln>
                <a:noFill/>
              </a:ln>
              <a:solidFill>
                <a:schemeClr val="tx1">
                  <a:lumMod val="95000"/>
                  <a:lumOff val="5000"/>
                </a:schemeClr>
              </a:solidFill>
              <a:latin typeface="+mn-lt"/>
            </a:rPr>
            <a:t>Average Stress Index </a:t>
          </a:r>
        </a:p>
        <a:p>
          <a:pPr algn="ctr"/>
          <a:r>
            <a:rPr lang="en-US" sz="1100" b="1">
              <a:ln>
                <a:solidFill>
                  <a:sysClr val="windowText" lastClr="000000"/>
                </a:solidFill>
              </a:ln>
              <a:solidFill>
                <a:schemeClr val="tx1">
                  <a:lumMod val="95000"/>
                  <a:lumOff val="5000"/>
                </a:schemeClr>
              </a:solidFill>
              <a:latin typeface="+mn-lt"/>
            </a:rPr>
            <a:t> </a:t>
          </a:r>
          <a:endParaRPr lang="en-US" sz="1100" b="1">
            <a:solidFill>
              <a:schemeClr val="tx1">
                <a:lumMod val="95000"/>
                <a:lumOff val="5000"/>
              </a:schemeClr>
            </a:solidFill>
            <a:latin typeface="+mn-lt"/>
          </a:endParaRPr>
        </a:p>
      </xdr:txBody>
    </xdr:sp>
    <xdr:clientData/>
  </xdr:twoCellAnchor>
  <xdr:twoCellAnchor>
    <xdr:from>
      <xdr:col>5</xdr:col>
      <xdr:colOff>440690</xdr:colOff>
      <xdr:row>14</xdr:row>
      <xdr:rowOff>51435</xdr:rowOff>
    </xdr:from>
    <xdr:to>
      <xdr:col>8</xdr:col>
      <xdr:colOff>361950</xdr:colOff>
      <xdr:row>15</xdr:row>
      <xdr:rowOff>114300</xdr:rowOff>
    </xdr:to>
    <xdr:sp macro="" textlink="">
      <xdr:nvSpPr>
        <xdr:cNvPr id="20" name="Text Box 19">
          <a:extLst>
            <a:ext uri="{FF2B5EF4-FFF2-40B4-BE49-F238E27FC236}">
              <a16:creationId xmlns:a16="http://schemas.microsoft.com/office/drawing/2014/main" id="{00000000-0008-0000-1200-000014000000}"/>
            </a:ext>
          </a:extLst>
        </xdr:cNvPr>
        <xdr:cNvSpPr txBox="1"/>
      </xdr:nvSpPr>
      <xdr:spPr>
        <a:xfrm>
          <a:off x="3983990" y="2842260"/>
          <a:ext cx="2150110" cy="253365"/>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100" b="1">
              <a:ln>
                <a:noFill/>
              </a:ln>
              <a:solidFill>
                <a:schemeClr val="tx1">
                  <a:lumMod val="95000"/>
                  <a:lumOff val="5000"/>
                </a:schemeClr>
              </a:solidFill>
            </a:rPr>
            <a:t>Unique</a:t>
          </a:r>
          <a:r>
            <a:rPr lang="en-US" sz="1100" b="1" baseline="0">
              <a:ln>
                <a:noFill/>
              </a:ln>
              <a:solidFill>
                <a:schemeClr val="tx1">
                  <a:lumMod val="95000"/>
                  <a:lumOff val="5000"/>
                </a:schemeClr>
              </a:solidFill>
            </a:rPr>
            <a:t> Label</a:t>
          </a:r>
          <a:r>
            <a:rPr lang="en-US" sz="900" b="1">
              <a:ln>
                <a:noFill/>
              </a:ln>
              <a:solidFill>
                <a:schemeClr val="tx1">
                  <a:lumMod val="95000"/>
                  <a:lumOff val="5000"/>
                </a:schemeClr>
              </a:solidFill>
            </a:rPr>
            <a:t> </a:t>
          </a:r>
          <a:endParaRPr lang="en-US" sz="900" b="1">
            <a:ln>
              <a:solidFill>
                <a:sysClr val="windowText" lastClr="000000"/>
              </a:solidFill>
            </a:ln>
            <a:solidFill>
              <a:schemeClr val="tx1">
                <a:lumMod val="95000"/>
                <a:lumOff val="5000"/>
              </a:schemeClr>
            </a:solidFill>
          </a:endParaRPr>
        </a:p>
        <a:p>
          <a:pPr algn="ctr"/>
          <a:r>
            <a:rPr lang="en-US" sz="1300" b="1">
              <a:ln>
                <a:solidFill>
                  <a:sysClr val="windowText" lastClr="000000"/>
                </a:solidFill>
              </a:ln>
              <a:solidFill>
                <a:schemeClr val="tx1">
                  <a:lumMod val="95000"/>
                  <a:lumOff val="5000"/>
                </a:schemeClr>
              </a:solidFill>
            </a:rPr>
            <a:t> </a:t>
          </a:r>
          <a:endParaRPr lang="en-US" sz="900" b="1">
            <a:ln>
              <a:solidFill>
                <a:sysClr val="windowText" lastClr="000000"/>
              </a:solidFill>
            </a:ln>
            <a:solidFill>
              <a:schemeClr val="tx1">
                <a:lumMod val="95000"/>
                <a:lumOff val="5000"/>
              </a:schemeClr>
            </a:solidFill>
          </a:endParaRPr>
        </a:p>
        <a:p>
          <a:pPr algn="ctr"/>
          <a:endParaRPr lang="en-US" sz="900" b="1">
            <a:ln>
              <a:solidFill>
                <a:sysClr val="windowText" lastClr="000000"/>
              </a:solidFill>
            </a:ln>
            <a:solidFill>
              <a:schemeClr val="tx1">
                <a:lumMod val="95000"/>
                <a:lumOff val="5000"/>
              </a:schemeClr>
            </a:solidFill>
          </a:endParaRPr>
        </a:p>
        <a:p>
          <a:pPr algn="ctr"/>
          <a:endParaRPr lang="en-US" sz="900" b="1">
            <a:ln>
              <a:solidFill>
                <a:sysClr val="windowText" lastClr="000000"/>
              </a:solidFill>
            </a:ln>
            <a:solidFill>
              <a:schemeClr val="tx1">
                <a:lumMod val="95000"/>
                <a:lumOff val="5000"/>
              </a:schemeClr>
            </a:solidFill>
          </a:endParaRPr>
        </a:p>
      </xdr:txBody>
    </xdr:sp>
    <xdr:clientData/>
  </xdr:twoCellAnchor>
  <xdr:twoCellAnchor>
    <xdr:from>
      <xdr:col>1</xdr:col>
      <xdr:colOff>28576</xdr:colOff>
      <xdr:row>0</xdr:row>
      <xdr:rowOff>28575</xdr:rowOff>
    </xdr:from>
    <xdr:to>
      <xdr:col>16</xdr:col>
      <xdr:colOff>152400</xdr:colOff>
      <xdr:row>1</xdr:row>
      <xdr:rowOff>153670</xdr:rowOff>
    </xdr:to>
    <xdr:sp macro="" textlink="">
      <xdr:nvSpPr>
        <xdr:cNvPr id="23" name="Text Box 22">
          <a:extLst>
            <a:ext uri="{FF2B5EF4-FFF2-40B4-BE49-F238E27FC236}">
              <a16:creationId xmlns:a16="http://schemas.microsoft.com/office/drawing/2014/main" id="{00000000-0008-0000-1200-000017000000}"/>
            </a:ext>
          </a:extLst>
        </xdr:cNvPr>
        <xdr:cNvSpPr txBox="1"/>
      </xdr:nvSpPr>
      <xdr:spPr>
        <a:xfrm>
          <a:off x="638176" y="28575"/>
          <a:ext cx="11001374" cy="391795"/>
        </a:xfrm>
        <a:prstGeom prst="rect">
          <a:avLst/>
        </a:prstGeom>
        <a:solidFill>
          <a:schemeClr val="accent6">
            <a:lumMod val="20000"/>
            <a:lumOff val="8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700" b="1">
              <a:solidFill>
                <a:schemeClr val="tx1">
                  <a:lumMod val="95000"/>
                  <a:lumOff val="5000"/>
                </a:schemeClr>
              </a:solidFill>
              <a:effectLst/>
            </a:rPr>
            <a:t>   Yield Gap and Climate Stress Analysis for Strategic Agricultural Investment in Nigeria Across 12</a:t>
          </a:r>
          <a:r>
            <a:rPr lang="en-US" sz="1700" b="1" baseline="0">
              <a:solidFill>
                <a:schemeClr val="tx1">
                  <a:lumMod val="95000"/>
                  <a:lumOff val="5000"/>
                </a:schemeClr>
              </a:solidFill>
              <a:effectLst/>
            </a:rPr>
            <a:t> Zones</a:t>
          </a:r>
          <a:r>
            <a:rPr lang="en-US" sz="1700" b="1">
              <a:solidFill>
                <a:schemeClr val="tx1">
                  <a:lumMod val="95000"/>
                  <a:lumOff val="5000"/>
                </a:schemeClr>
              </a:solidFill>
              <a:effectLst/>
            </a:rPr>
            <a:t> (2000 -2010)</a:t>
          </a:r>
        </a:p>
        <a:p>
          <a:pPr algn="l"/>
          <a:endParaRPr lang="en-US" sz="2000" b="1">
            <a:solidFill>
              <a:schemeClr val="tx1">
                <a:lumMod val="95000"/>
                <a:lumOff val="5000"/>
              </a:schemeClr>
            </a:solidFill>
            <a:effectLst/>
          </a:endParaRPr>
        </a:p>
        <a:p>
          <a:pPr algn="l"/>
          <a:endParaRPr lang="en-US" sz="2000" b="1">
            <a:solidFill>
              <a:schemeClr val="tx1">
                <a:lumMod val="95000"/>
                <a:lumOff val="5000"/>
              </a:schemeClr>
            </a:solidFill>
            <a:effectLst/>
          </a:endParaRPr>
        </a:p>
        <a:p>
          <a:pPr algn="l"/>
          <a:endParaRPr lang="en-US" sz="2000" b="1">
            <a:solidFill>
              <a:schemeClr val="tx1">
                <a:lumMod val="95000"/>
                <a:lumOff val="5000"/>
              </a:schemeClr>
            </a:solidFill>
            <a:effectLst/>
          </a:endParaRPr>
        </a:p>
      </xdr:txBody>
    </xdr:sp>
    <xdr:clientData/>
  </xdr:twoCellAnchor>
  <xdr:twoCellAnchor>
    <xdr:from>
      <xdr:col>0</xdr:col>
      <xdr:colOff>76200</xdr:colOff>
      <xdr:row>18</xdr:row>
      <xdr:rowOff>95250</xdr:rowOff>
    </xdr:from>
    <xdr:to>
      <xdr:col>9</xdr:col>
      <xdr:colOff>281940</xdr:colOff>
      <xdr:row>20</xdr:row>
      <xdr:rowOff>130810</xdr:rowOff>
    </xdr:to>
    <xdr:sp macro="" textlink="">
      <xdr:nvSpPr>
        <xdr:cNvPr id="24" name="Rounded Rectangle 23">
          <a:extLst>
            <a:ext uri="{FF2B5EF4-FFF2-40B4-BE49-F238E27FC236}">
              <a16:creationId xmlns:a16="http://schemas.microsoft.com/office/drawing/2014/main" id="{00000000-0008-0000-1200-000018000000}"/>
            </a:ext>
          </a:extLst>
        </xdr:cNvPr>
        <xdr:cNvSpPr/>
      </xdr:nvSpPr>
      <xdr:spPr>
        <a:xfrm>
          <a:off x="76200" y="3651250"/>
          <a:ext cx="6758940" cy="416560"/>
        </a:xfrm>
        <a:prstGeom prst="roundRect">
          <a:avLst/>
        </a:prstGeom>
        <a:solidFill>
          <a:schemeClr val="tx1">
            <a:lumMod val="65000"/>
            <a:lumOff val="35000"/>
          </a:schemeClr>
        </a:solidFill>
        <a:ln>
          <a:solidFill>
            <a:schemeClr val="accent6">
              <a:lumMod val="40000"/>
              <a:lumOff val="60000"/>
            </a:schemeClr>
          </a:solidFill>
        </a:ln>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4</xdr:col>
      <xdr:colOff>342900</xdr:colOff>
      <xdr:row>17</xdr:row>
      <xdr:rowOff>161925</xdr:rowOff>
    </xdr:from>
    <xdr:to>
      <xdr:col>9</xdr:col>
      <xdr:colOff>177800</xdr:colOff>
      <xdr:row>20</xdr:row>
      <xdr:rowOff>24130</xdr:rowOff>
    </xdr:to>
    <xdr:sp macro="" textlink="">
      <xdr:nvSpPr>
        <xdr:cNvPr id="25" name="Rounded Rectangle 24">
          <a:extLst>
            <a:ext uri="{FF2B5EF4-FFF2-40B4-BE49-F238E27FC236}">
              <a16:creationId xmlns:a16="http://schemas.microsoft.com/office/drawing/2014/main" id="{00000000-0008-0000-1200-000019000000}"/>
            </a:ext>
          </a:extLst>
        </xdr:cNvPr>
        <xdr:cNvSpPr/>
      </xdr:nvSpPr>
      <xdr:spPr>
        <a:xfrm>
          <a:off x="3276600" y="3527425"/>
          <a:ext cx="3454400" cy="433705"/>
        </a:xfrm>
        <a:prstGeom prst="roundRect">
          <a:avLst/>
        </a:prstGeom>
        <a:solidFill>
          <a:schemeClr val="tx1">
            <a:lumMod val="50000"/>
            <a:lumOff val="50000"/>
          </a:schemeClr>
        </a:solidFill>
        <a:ln w="28575" cap="flat" cmpd="sng" algn="ctr">
          <a:solidFill>
            <a:schemeClr val="accent6">
              <a:lumMod val="20000"/>
              <a:lumOff val="8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0</xdr:col>
      <xdr:colOff>174625</xdr:colOff>
      <xdr:row>16</xdr:row>
      <xdr:rowOff>80645</xdr:rowOff>
    </xdr:from>
    <xdr:to>
      <xdr:col>4</xdr:col>
      <xdr:colOff>276225</xdr:colOff>
      <xdr:row>20</xdr:row>
      <xdr:rowOff>8255</xdr:rowOff>
    </xdr:to>
    <xdr:sp macro="" textlink="">
      <xdr:nvSpPr>
        <xdr:cNvPr id="26" name="Rounded Rectangle 25">
          <a:extLst>
            <a:ext uri="{FF2B5EF4-FFF2-40B4-BE49-F238E27FC236}">
              <a16:creationId xmlns:a16="http://schemas.microsoft.com/office/drawing/2014/main" id="{00000000-0008-0000-1200-00001A000000}"/>
            </a:ext>
          </a:extLst>
        </xdr:cNvPr>
        <xdr:cNvSpPr/>
      </xdr:nvSpPr>
      <xdr:spPr>
        <a:xfrm>
          <a:off x="174625" y="3255645"/>
          <a:ext cx="3035300" cy="689610"/>
        </a:xfrm>
        <a:prstGeom prst="roundRect">
          <a:avLst/>
        </a:prstGeom>
        <a:solidFill>
          <a:schemeClr val="tx1">
            <a:lumMod val="50000"/>
            <a:lumOff val="50000"/>
          </a:schemeClr>
        </a:solidFill>
        <a:ln w="28575" cap="flat" cmpd="sng" algn="ctr">
          <a:solidFill>
            <a:schemeClr val="accent6">
              <a:lumMod val="20000"/>
              <a:lumOff val="8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0</xdr:col>
      <xdr:colOff>104775</xdr:colOff>
      <xdr:row>2</xdr:row>
      <xdr:rowOff>28575</xdr:rowOff>
    </xdr:from>
    <xdr:to>
      <xdr:col>5</xdr:col>
      <xdr:colOff>419100</xdr:colOff>
      <xdr:row>15</xdr:row>
      <xdr:rowOff>120650</xdr:rowOff>
    </xdr:to>
    <xdr:graphicFrame macro="">
      <xdr:nvGraphicFramePr>
        <xdr:cNvPr id="27" name="Chart 26">
          <a:extLst>
            <a:ext uri="{FF2B5EF4-FFF2-40B4-BE49-F238E27FC236}">
              <a16:creationId xmlns:a16="http://schemas.microsoft.com/office/drawing/2014/main" id="{00000000-0008-0000-12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445135</xdr:colOff>
      <xdr:row>2</xdr:row>
      <xdr:rowOff>9525</xdr:rowOff>
    </xdr:from>
    <xdr:to>
      <xdr:col>12</xdr:col>
      <xdr:colOff>295275</xdr:colOff>
      <xdr:row>13</xdr:row>
      <xdr:rowOff>144780</xdr:rowOff>
    </xdr:to>
    <xdr:pic>
      <xdr:nvPicPr>
        <xdr:cNvPr id="28" name="Picture 6">
          <a:extLst>
            <a:ext uri="{FF2B5EF4-FFF2-40B4-BE49-F238E27FC236}">
              <a16:creationId xmlns:a16="http://schemas.microsoft.com/office/drawing/2014/main" id="{00000000-0008-0000-1200-00001C000000}"/>
            </a:ext>
          </a:extLst>
        </xdr:cNvPr>
        <xdr:cNvPicPr>
          <a:picLocks noChangeAspect="1"/>
        </xdr:cNvPicPr>
      </xdr:nvPicPr>
      <xdr:blipFill>
        <a:blip xmlns:r="http://schemas.openxmlformats.org/officeDocument/2006/relationships" r:embed="rId2"/>
        <a:stretch>
          <a:fillRect/>
        </a:stretch>
      </xdr:blipFill>
      <xdr:spPr>
        <a:xfrm>
          <a:off x="5360035" y="466725"/>
          <a:ext cx="3812540" cy="2278380"/>
        </a:xfrm>
        <a:prstGeom prst="rect">
          <a:avLst/>
        </a:prstGeom>
        <a:noFill/>
        <a:ln>
          <a:noFill/>
        </a:ln>
      </xdr:spPr>
    </xdr:pic>
    <xdr:clientData/>
  </xdr:twoCellAnchor>
  <xdr:twoCellAnchor>
    <xdr:from>
      <xdr:col>12</xdr:col>
      <xdr:colOff>457200</xdr:colOff>
      <xdr:row>3</xdr:row>
      <xdr:rowOff>123825</xdr:rowOff>
    </xdr:from>
    <xdr:to>
      <xdr:col>16</xdr:col>
      <xdr:colOff>57150</xdr:colOff>
      <xdr:row>5</xdr:row>
      <xdr:rowOff>76200</xdr:rowOff>
    </xdr:to>
    <xdr:sp macro="" textlink="AverageYG">
      <xdr:nvSpPr>
        <xdr:cNvPr id="29" name="Text Box 28">
          <a:extLst>
            <a:ext uri="{FF2B5EF4-FFF2-40B4-BE49-F238E27FC236}">
              <a16:creationId xmlns:a16="http://schemas.microsoft.com/office/drawing/2014/main" id="{00000000-0008-0000-1200-00001D000000}"/>
            </a:ext>
          </a:extLst>
        </xdr:cNvPr>
        <xdr:cNvSpPr txBox="1"/>
      </xdr:nvSpPr>
      <xdr:spPr>
        <a:xfrm>
          <a:off x="9334500" y="819150"/>
          <a:ext cx="2209800" cy="333375"/>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85E80CD0-1E7C-45C0-99E3-257648E8C8A2}" type="TxLink">
            <a:rPr lang="en-US" sz="1400" b="1" i="0" u="none" strike="noStrike" cap="none" spc="50">
              <a:ln w="0"/>
              <a:solidFill>
                <a:schemeClr val="bg2"/>
              </a:solidFill>
              <a:effectLst>
                <a:innerShdw blurRad="63500" dist="50800" dir="13500000">
                  <a:srgbClr val="000000">
                    <a:alpha val="50000"/>
                  </a:srgbClr>
                </a:innerShdw>
              </a:effectLst>
              <a:latin typeface="Calibri"/>
              <a:cs typeface="Calibri"/>
            </a:rPr>
            <a:t>12.84255556</a:t>
          </a:fld>
          <a:endParaRPr lang="en-US" sz="1400" b="1" cap="none" spc="50">
            <a:ln w="0"/>
            <a:solidFill>
              <a:schemeClr val="bg2"/>
            </a:solidFill>
            <a:effectLst>
              <a:innerShdw blurRad="63500" dist="50800" dir="13500000">
                <a:srgbClr val="000000">
                  <a:alpha val="50000"/>
                </a:srgbClr>
              </a:innerShdw>
            </a:effectLst>
          </a:endParaRPr>
        </a:p>
      </xdr:txBody>
    </xdr:sp>
    <xdr:clientData/>
  </xdr:twoCellAnchor>
  <mc:AlternateContent xmlns:mc="http://schemas.openxmlformats.org/markup-compatibility/2006">
    <mc:Choice xmlns:a14="http://schemas.microsoft.com/office/drawing/2010/main" Requires="a14">
      <xdr:twoCellAnchor editAs="oneCell">
        <xdr:from>
          <xdr:col>12</xdr:col>
          <xdr:colOff>400050</xdr:colOff>
          <xdr:row>7</xdr:row>
          <xdr:rowOff>180975</xdr:rowOff>
        </xdr:from>
        <xdr:to>
          <xdr:col>17</xdr:col>
          <xdr:colOff>200025</xdr:colOff>
          <xdr:row>19</xdr:row>
          <xdr:rowOff>95250</xdr:rowOff>
        </xdr:to>
        <xdr:sp macro="" textlink="">
          <xdr:nvSpPr>
            <xdr:cNvPr id="13313" name="Object 1" hidden="1">
              <a:extLst>
                <a:ext uri="{63B3BB69-23CF-44E3-9099-C40C66FF867C}">
                  <a14:compatExt spid="_x0000_s13313"/>
                </a:ext>
                <a:ext uri="{FF2B5EF4-FFF2-40B4-BE49-F238E27FC236}">
                  <a16:creationId xmlns:a16="http://schemas.microsoft.com/office/drawing/2014/main" id="{00000000-0008-0000-1200-000001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4</xdr:col>
      <xdr:colOff>448310</xdr:colOff>
      <xdr:row>17</xdr:row>
      <xdr:rowOff>133350</xdr:rowOff>
    </xdr:from>
    <xdr:to>
      <xdr:col>9</xdr:col>
      <xdr:colOff>59690</xdr:colOff>
      <xdr:row>19</xdr:row>
      <xdr:rowOff>0</xdr:rowOff>
    </xdr:to>
    <xdr:sp macro="" textlink="">
      <xdr:nvSpPr>
        <xdr:cNvPr id="31" name="Text Box 30">
          <a:extLst>
            <a:ext uri="{FF2B5EF4-FFF2-40B4-BE49-F238E27FC236}">
              <a16:creationId xmlns:a16="http://schemas.microsoft.com/office/drawing/2014/main" id="{00000000-0008-0000-1200-00001F000000}"/>
            </a:ext>
          </a:extLst>
        </xdr:cNvPr>
        <xdr:cNvSpPr txBox="1"/>
      </xdr:nvSpPr>
      <xdr:spPr>
        <a:xfrm>
          <a:off x="3382010" y="3495675"/>
          <a:ext cx="3230880" cy="247650"/>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100" b="1">
              <a:ln>
                <a:noFill/>
              </a:ln>
              <a:solidFill>
                <a:schemeClr val="tx1">
                  <a:lumMod val="95000"/>
                  <a:lumOff val="5000"/>
                </a:schemeClr>
              </a:solidFill>
            </a:rPr>
            <a:t>Interpretation </a:t>
          </a:r>
        </a:p>
        <a:p>
          <a:pPr algn="ctr"/>
          <a:r>
            <a:rPr lang="en-US" sz="1100" b="1">
              <a:ln>
                <a:noFill/>
              </a:ln>
              <a:solidFill>
                <a:schemeClr val="tx1">
                  <a:lumMod val="95000"/>
                  <a:lumOff val="5000"/>
                </a:schemeClr>
              </a:solidFill>
            </a:rPr>
            <a:t> </a:t>
          </a:r>
          <a:endParaRPr lang="en-US" sz="1100" b="1">
            <a:solidFill>
              <a:schemeClr val="tx1">
                <a:lumMod val="95000"/>
                <a:lumOff val="5000"/>
              </a:schemeClr>
            </a:solidFill>
          </a:endParaRPr>
        </a:p>
        <a:p>
          <a:pPr algn="ctr"/>
          <a:endParaRPr lang="en-US" sz="1100" b="1">
            <a:solidFill>
              <a:schemeClr val="tx1">
                <a:lumMod val="95000"/>
                <a:lumOff val="5000"/>
              </a:schemeClr>
            </a:solidFill>
          </a:endParaRPr>
        </a:p>
        <a:p>
          <a:pPr algn="ctr"/>
          <a:endParaRPr lang="en-US" sz="1100" b="1">
            <a:solidFill>
              <a:schemeClr val="tx1">
                <a:lumMod val="95000"/>
                <a:lumOff val="5000"/>
              </a:schemeClr>
            </a:solidFill>
          </a:endParaRPr>
        </a:p>
        <a:p>
          <a:pPr algn="ctr"/>
          <a:endParaRPr lang="en-US" sz="1100" b="1">
            <a:solidFill>
              <a:schemeClr val="tx1">
                <a:lumMod val="95000"/>
                <a:lumOff val="5000"/>
              </a:schemeClr>
            </a:solidFill>
          </a:endParaRPr>
        </a:p>
      </xdr:txBody>
    </xdr:sp>
    <xdr:clientData/>
  </xdr:twoCellAnchor>
  <xdr:twoCellAnchor>
    <xdr:from>
      <xdr:col>0</xdr:col>
      <xdr:colOff>19050</xdr:colOff>
      <xdr:row>16</xdr:row>
      <xdr:rowOff>114301</xdr:rowOff>
    </xdr:from>
    <xdr:to>
      <xdr:col>4</xdr:col>
      <xdr:colOff>402590</xdr:colOff>
      <xdr:row>18</xdr:row>
      <xdr:rowOff>38101</xdr:rowOff>
    </xdr:to>
    <xdr:sp macro="" textlink="">
      <xdr:nvSpPr>
        <xdr:cNvPr id="32" name="Text Box 31">
          <a:extLst>
            <a:ext uri="{FF2B5EF4-FFF2-40B4-BE49-F238E27FC236}">
              <a16:creationId xmlns:a16="http://schemas.microsoft.com/office/drawing/2014/main" id="{00000000-0008-0000-1200-000020000000}"/>
            </a:ext>
          </a:extLst>
        </xdr:cNvPr>
        <xdr:cNvSpPr txBox="1"/>
      </xdr:nvSpPr>
      <xdr:spPr>
        <a:xfrm>
          <a:off x="19050" y="3286126"/>
          <a:ext cx="3317240" cy="304800"/>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100" b="1">
              <a:ln>
                <a:noFill/>
              </a:ln>
              <a:solidFill>
                <a:schemeClr val="tx1"/>
              </a:solidFill>
            </a:rPr>
            <a:t>Investment  Opportunity</a:t>
          </a:r>
        </a:p>
        <a:p>
          <a:pPr algn="ctr"/>
          <a:endParaRPr lang="en-US" sz="1500" b="1">
            <a:solidFill>
              <a:schemeClr val="tx1">
                <a:lumMod val="95000"/>
                <a:lumOff val="5000"/>
              </a:schemeClr>
            </a:solidFill>
          </a:endParaRPr>
        </a:p>
        <a:p>
          <a:pPr algn="ctr"/>
          <a:endParaRPr lang="en-US" sz="900" b="1">
            <a:solidFill>
              <a:schemeClr val="tx1">
                <a:lumMod val="95000"/>
                <a:lumOff val="5000"/>
              </a:schemeClr>
            </a:solidFill>
          </a:endParaRPr>
        </a:p>
        <a:p>
          <a:pPr algn="ctr"/>
          <a:endParaRPr lang="en-US" sz="900" b="1">
            <a:solidFill>
              <a:schemeClr val="tx1">
                <a:lumMod val="95000"/>
                <a:lumOff val="5000"/>
              </a:schemeClr>
            </a:solidFill>
          </a:endParaRPr>
        </a:p>
        <a:p>
          <a:pPr algn="ctr"/>
          <a:endParaRPr lang="en-US" sz="900" b="1">
            <a:solidFill>
              <a:schemeClr val="tx1">
                <a:lumMod val="95000"/>
                <a:lumOff val="5000"/>
              </a:schemeClr>
            </a:solidFill>
          </a:endParaRPr>
        </a:p>
        <a:p>
          <a:pPr algn="ctr"/>
          <a:endParaRPr lang="en-US" sz="900" b="1">
            <a:solidFill>
              <a:schemeClr val="tx1">
                <a:lumMod val="95000"/>
                <a:lumOff val="5000"/>
              </a:schemeClr>
            </a:solidFill>
          </a:endParaRPr>
        </a:p>
      </xdr:txBody>
    </xdr:sp>
    <xdr:clientData/>
  </xdr:twoCellAnchor>
  <xdr:twoCellAnchor>
    <xdr:from>
      <xdr:col>12</xdr:col>
      <xdr:colOff>419100</xdr:colOff>
      <xdr:row>2</xdr:row>
      <xdr:rowOff>219075</xdr:rowOff>
    </xdr:from>
    <xdr:to>
      <xdr:col>16</xdr:col>
      <xdr:colOff>19050</xdr:colOff>
      <xdr:row>4</xdr:row>
      <xdr:rowOff>123825</xdr:rowOff>
    </xdr:to>
    <xdr:sp macro="" textlink="AverageYG">
      <xdr:nvSpPr>
        <xdr:cNvPr id="11" name="Text Box 28">
          <a:extLst>
            <a:ext uri="{FF2B5EF4-FFF2-40B4-BE49-F238E27FC236}">
              <a16:creationId xmlns:a16="http://schemas.microsoft.com/office/drawing/2014/main" id="{D1BDCFC4-8DFB-42B8-BCDD-497FEBFB539E}"/>
            </a:ext>
          </a:extLst>
        </xdr:cNvPr>
        <xdr:cNvSpPr txBox="1"/>
      </xdr:nvSpPr>
      <xdr:spPr>
        <a:xfrm>
          <a:off x="9296400" y="676275"/>
          <a:ext cx="2209800" cy="333375"/>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100" b="1">
              <a:solidFill>
                <a:schemeClr val="tx1"/>
              </a:solidFill>
            </a:rPr>
            <a:t>Average</a:t>
          </a:r>
          <a:r>
            <a:rPr lang="en-US" sz="1100" b="1" baseline="0">
              <a:solidFill>
                <a:schemeClr val="tx1"/>
              </a:solidFill>
            </a:rPr>
            <a:t> YG</a:t>
          </a:r>
          <a:endParaRPr lang="en-US" sz="1100" b="1">
            <a:solidFill>
              <a:schemeClr val="tx1"/>
            </a:solidFill>
          </a:endParaRPr>
        </a:p>
      </xdr:txBody>
    </xdr:sp>
    <xdr:clientData/>
  </xdr:twoCellAnchor>
  <xdr:twoCellAnchor>
    <xdr:from>
      <xdr:col>9</xdr:col>
      <xdr:colOff>504825</xdr:colOff>
      <xdr:row>15</xdr:row>
      <xdr:rowOff>161925</xdr:rowOff>
    </xdr:from>
    <xdr:to>
      <xdr:col>12</xdr:col>
      <xdr:colOff>390525</xdr:colOff>
      <xdr:row>17</xdr:row>
      <xdr:rowOff>114300</xdr:rowOff>
    </xdr:to>
    <xdr:sp macro="" textlink="AverageSI">
      <xdr:nvSpPr>
        <xdr:cNvPr id="12" name="Text Box 28">
          <a:extLst>
            <a:ext uri="{FF2B5EF4-FFF2-40B4-BE49-F238E27FC236}">
              <a16:creationId xmlns:a16="http://schemas.microsoft.com/office/drawing/2014/main" id="{5B0EF00C-1D6F-4D1C-90DA-D8A07262449E}"/>
            </a:ext>
          </a:extLst>
        </xdr:cNvPr>
        <xdr:cNvSpPr txBox="1"/>
      </xdr:nvSpPr>
      <xdr:spPr>
        <a:xfrm>
          <a:off x="7058025" y="3143250"/>
          <a:ext cx="2209800" cy="333375"/>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2D2BE509-7A09-40A7-86D9-1BFCE91E5526}" type="TxLink">
            <a:rPr lang="en-US" sz="1400" b="1" i="0" u="none" strike="noStrike" cap="none" spc="50">
              <a:ln w="0"/>
              <a:solidFill>
                <a:schemeClr val="bg2"/>
              </a:solidFill>
              <a:effectLst>
                <a:innerShdw blurRad="63500" dist="50800" dir="13500000">
                  <a:srgbClr val="000000">
                    <a:alpha val="50000"/>
                  </a:srgbClr>
                </a:innerShdw>
              </a:effectLst>
              <a:latin typeface="Calibri"/>
              <a:cs typeface="Calibri"/>
            </a:rPr>
            <a:t>0.991397101</a:t>
          </a:fld>
          <a:endParaRPr lang="en-US" sz="14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5</xdr:col>
      <xdr:colOff>419100</xdr:colOff>
      <xdr:row>15</xdr:row>
      <xdr:rowOff>9525</xdr:rowOff>
    </xdr:from>
    <xdr:to>
      <xdr:col>8</xdr:col>
      <xdr:colOff>400050</xdr:colOff>
      <xdr:row>16</xdr:row>
      <xdr:rowOff>152400</xdr:rowOff>
    </xdr:to>
    <xdr:sp macro="" textlink="Label">
      <xdr:nvSpPr>
        <xdr:cNvPr id="14" name="Text Box 28">
          <a:extLst>
            <a:ext uri="{FF2B5EF4-FFF2-40B4-BE49-F238E27FC236}">
              <a16:creationId xmlns:a16="http://schemas.microsoft.com/office/drawing/2014/main" id="{157E8B61-EE9B-42A7-AA1C-4103047E537F}"/>
            </a:ext>
          </a:extLst>
        </xdr:cNvPr>
        <xdr:cNvSpPr txBox="1"/>
      </xdr:nvSpPr>
      <xdr:spPr>
        <a:xfrm>
          <a:off x="3962400" y="2990850"/>
          <a:ext cx="2209800" cy="333375"/>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A0FDB7F3-DF4B-4F64-858E-CDAF2E90C713}" type="TxLink">
            <a:rPr lang="en-US" sz="1600" b="1" i="0" u="none" strike="noStrike" cap="none" spc="50">
              <a:ln w="0"/>
              <a:solidFill>
                <a:schemeClr val="bg2"/>
              </a:solidFill>
              <a:effectLst>
                <a:innerShdw blurRad="63500" dist="50800" dir="13500000">
                  <a:srgbClr val="000000">
                    <a:alpha val="50000"/>
                  </a:srgbClr>
                </a:innerShdw>
              </a:effectLst>
              <a:latin typeface="Calibri"/>
              <a:cs typeface="Calibri"/>
            </a:rPr>
            <a:t>Medium YG + SI &lt; 1</a:t>
          </a:fld>
          <a:endParaRPr lang="en-US" sz="16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5</xdr:col>
      <xdr:colOff>66674</xdr:colOff>
      <xdr:row>18</xdr:row>
      <xdr:rowOff>76200</xdr:rowOff>
    </xdr:from>
    <xdr:to>
      <xdr:col>8</xdr:col>
      <xdr:colOff>609599</xdr:colOff>
      <xdr:row>20</xdr:row>
      <xdr:rowOff>28575</xdr:rowOff>
    </xdr:to>
    <xdr:sp macro="" textlink="Interpretation">
      <xdr:nvSpPr>
        <xdr:cNvPr id="15" name="Text Box 28">
          <a:extLst>
            <a:ext uri="{FF2B5EF4-FFF2-40B4-BE49-F238E27FC236}">
              <a16:creationId xmlns:a16="http://schemas.microsoft.com/office/drawing/2014/main" id="{24050788-8C16-4CA8-B2FA-2CEBF8CF2C2E}"/>
            </a:ext>
          </a:extLst>
        </xdr:cNvPr>
        <xdr:cNvSpPr txBox="1"/>
      </xdr:nvSpPr>
      <xdr:spPr>
        <a:xfrm>
          <a:off x="3609974" y="3629025"/>
          <a:ext cx="2771775" cy="333375"/>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48CEFD8E-2DA9-487A-BDE2-EC925B4C969C}" type="TxLink">
            <a:rPr lang="en-US" sz="1900" b="1" i="0" u="none" strike="noStrike" cap="none" spc="50">
              <a:ln w="0"/>
              <a:solidFill>
                <a:schemeClr val="bg2"/>
              </a:solidFill>
              <a:effectLst>
                <a:innerShdw blurRad="63500" dist="50800" dir="13500000">
                  <a:srgbClr val="000000">
                    <a:alpha val="50000"/>
                  </a:srgbClr>
                </a:innerShdw>
              </a:effectLst>
              <a:latin typeface="Calibri"/>
              <a:cs typeface="Calibri"/>
            </a:rPr>
            <a:t>Some Climate Stress, Moderate YP</a:t>
          </a:fld>
          <a:endParaRPr lang="en-US" sz="19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0</xdr:col>
      <xdr:colOff>371474</xdr:colOff>
      <xdr:row>17</xdr:row>
      <xdr:rowOff>152400</xdr:rowOff>
    </xdr:from>
    <xdr:to>
      <xdr:col>4</xdr:col>
      <xdr:colOff>95249</xdr:colOff>
      <xdr:row>19</xdr:row>
      <xdr:rowOff>104775</xdr:rowOff>
    </xdr:to>
    <xdr:sp macro="" textlink="Investment">
      <xdr:nvSpPr>
        <xdr:cNvPr id="17" name="Text Box 28">
          <a:extLst>
            <a:ext uri="{FF2B5EF4-FFF2-40B4-BE49-F238E27FC236}">
              <a16:creationId xmlns:a16="http://schemas.microsoft.com/office/drawing/2014/main" id="{7BAE24AE-E7E3-431E-B5F3-3B6C642B19CD}"/>
            </a:ext>
          </a:extLst>
        </xdr:cNvPr>
        <xdr:cNvSpPr txBox="1"/>
      </xdr:nvSpPr>
      <xdr:spPr>
        <a:xfrm>
          <a:off x="371474" y="3514725"/>
          <a:ext cx="2657475" cy="333375"/>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165488DC-3449-4330-B1FB-C11455742958}" type="TxLink">
            <a:rPr lang="en-US" sz="20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cs typeface="Calibri"/>
            </a:rPr>
            <a:t>Low Opportunity</a:t>
          </a:fld>
          <a:endParaRPr lang="en-US" sz="2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twoCellAnchor>
  <xdr:twoCellAnchor>
    <xdr:from>
      <xdr:col>6</xdr:col>
      <xdr:colOff>1</xdr:colOff>
      <xdr:row>3</xdr:row>
      <xdr:rowOff>0</xdr:rowOff>
    </xdr:from>
    <xdr:to>
      <xdr:col>7</xdr:col>
      <xdr:colOff>219076</xdr:colOff>
      <xdr:row>5</xdr:row>
      <xdr:rowOff>85725</xdr:rowOff>
    </xdr:to>
    <xdr:sp macro="" textlink="">
      <xdr:nvSpPr>
        <xdr:cNvPr id="35" name="Rounded Rectangle 4">
          <a:extLst>
            <a:ext uri="{FF2B5EF4-FFF2-40B4-BE49-F238E27FC236}">
              <a16:creationId xmlns:a16="http://schemas.microsoft.com/office/drawing/2014/main" id="{19528E24-D63E-4F7E-9129-23539D9681B2}"/>
            </a:ext>
          </a:extLst>
        </xdr:cNvPr>
        <xdr:cNvSpPr/>
      </xdr:nvSpPr>
      <xdr:spPr>
        <a:xfrm>
          <a:off x="4181476" y="695325"/>
          <a:ext cx="952500" cy="466725"/>
        </a:xfrm>
        <a:prstGeom prst="roundRect">
          <a:avLst/>
        </a:prstGeom>
        <a:solidFill>
          <a:schemeClr val="tx1">
            <a:lumMod val="65000"/>
            <a:lumOff val="35000"/>
          </a:schemeClr>
        </a:solidFill>
        <a:ln>
          <a:solidFill>
            <a:schemeClr val="accent6">
              <a:lumMod val="40000"/>
              <a:lumOff val="60000"/>
            </a:schemeClr>
          </a:solidFill>
        </a:ln>
      </xdr:spPr>
      <xdr:style>
        <a:lnRef idx="0">
          <a:srgbClr val="FFFFFF"/>
        </a:lnRef>
        <a:fillRef idx="2">
          <a:schemeClr val="accent6"/>
        </a:fillRef>
        <a:effectRef idx="1">
          <a:schemeClr val="accent6"/>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5</xdr:col>
      <xdr:colOff>523875</xdr:colOff>
      <xdr:row>3</xdr:row>
      <xdr:rowOff>133351</xdr:rowOff>
    </xdr:from>
    <xdr:to>
      <xdr:col>7</xdr:col>
      <xdr:colOff>323850</xdr:colOff>
      <xdr:row>6</xdr:row>
      <xdr:rowOff>9525</xdr:rowOff>
    </xdr:to>
    <xdr:sp macro="" textlink="">
      <xdr:nvSpPr>
        <xdr:cNvPr id="36" name="Rounded Rectangle 25">
          <a:extLst>
            <a:ext uri="{FF2B5EF4-FFF2-40B4-BE49-F238E27FC236}">
              <a16:creationId xmlns:a16="http://schemas.microsoft.com/office/drawing/2014/main" id="{EF2EA1A4-D668-4808-A9EB-2F6F8C5E73E1}"/>
            </a:ext>
          </a:extLst>
        </xdr:cNvPr>
        <xdr:cNvSpPr/>
      </xdr:nvSpPr>
      <xdr:spPr>
        <a:xfrm>
          <a:off x="4067175" y="828676"/>
          <a:ext cx="1171575" cy="447674"/>
        </a:xfrm>
        <a:prstGeom prst="roundRect">
          <a:avLst/>
        </a:prstGeom>
        <a:solidFill>
          <a:schemeClr val="tx1">
            <a:lumMod val="50000"/>
            <a:lumOff val="50000"/>
          </a:schemeClr>
        </a:solidFill>
        <a:ln w="28575" cap="flat" cmpd="sng" algn="ctr">
          <a:solidFill>
            <a:schemeClr val="accent6">
              <a:lumMod val="20000"/>
              <a:lumOff val="80000"/>
            </a:schemeClr>
          </a:solidFill>
          <a:prstDash val="solid"/>
          <a:miter lim="800000"/>
        </a:ln>
      </xdr:spPr>
      <xdr:style>
        <a:lnRef idx="0">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5</xdr:col>
      <xdr:colOff>28575</xdr:colOff>
      <xdr:row>3</xdr:row>
      <xdr:rowOff>104775</xdr:rowOff>
    </xdr:from>
    <xdr:to>
      <xdr:col>8</xdr:col>
      <xdr:colOff>9525</xdr:colOff>
      <xdr:row>4</xdr:row>
      <xdr:rowOff>133350</xdr:rowOff>
    </xdr:to>
    <xdr:sp macro="" textlink="AverageYG">
      <xdr:nvSpPr>
        <xdr:cNvPr id="38" name="Text Box 28">
          <a:extLst>
            <a:ext uri="{FF2B5EF4-FFF2-40B4-BE49-F238E27FC236}">
              <a16:creationId xmlns:a16="http://schemas.microsoft.com/office/drawing/2014/main" id="{2255EA69-3BCB-4508-99BB-0A8FA184812B}"/>
            </a:ext>
          </a:extLst>
        </xdr:cNvPr>
        <xdr:cNvSpPr txBox="1"/>
      </xdr:nvSpPr>
      <xdr:spPr>
        <a:xfrm>
          <a:off x="3571875" y="800100"/>
          <a:ext cx="2209800" cy="219075"/>
        </a:xfrm>
        <a:prstGeom prst="rect">
          <a:avLst/>
        </a:prstGeom>
        <a:noFill/>
        <a:ln w="9525" cmpd="sng">
          <a:noFill/>
        </a:ln>
        <a:extLst>
          <a:ext uri="{909E8E84-426E-40DD-AFC4-6F175D3DCCD1}">
            <a14:hiddenFill xmlns:a14="http://schemas.microsoft.com/office/drawing/2010/main">
              <a:solidFill>
                <a:schemeClr val="accent6">
                  <a:lumMod val="20000"/>
                  <a:lumOff val="80000"/>
                </a:schemeClr>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100" b="1" cap="none" spc="50">
              <a:ln w="0"/>
              <a:solidFill>
                <a:schemeClr val="bg2"/>
              </a:solidFill>
              <a:effectLst>
                <a:innerShdw blurRad="63500" dist="50800" dir="13500000">
                  <a:srgbClr val="000000">
                    <a:alpha val="50000"/>
                  </a:srgbClr>
                </a:innerShdw>
              </a:effectLst>
            </a:rPr>
            <a:t>Climate</a:t>
          </a:r>
          <a:r>
            <a:rPr lang="en-US" sz="1100" b="1" cap="none" spc="50" baseline="0">
              <a:ln w="0"/>
              <a:solidFill>
                <a:schemeClr val="bg2"/>
              </a:solidFill>
              <a:effectLst>
                <a:innerShdw blurRad="63500" dist="50800" dir="13500000">
                  <a:srgbClr val="000000">
                    <a:alpha val="50000"/>
                  </a:srgbClr>
                </a:innerShdw>
              </a:effectLst>
            </a:rPr>
            <a:t> Zones</a:t>
          </a:r>
          <a:endParaRPr lang="en-US"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6</xdr:col>
      <xdr:colOff>390525</xdr:colOff>
      <xdr:row>4</xdr:row>
      <xdr:rowOff>142876</xdr:rowOff>
    </xdr:from>
    <xdr:to>
      <xdr:col>6</xdr:col>
      <xdr:colOff>590550</xdr:colOff>
      <xdr:row>5</xdr:row>
      <xdr:rowOff>180976</xdr:rowOff>
    </xdr:to>
    <xdr:sp macro="" textlink="">
      <xdr:nvSpPr>
        <xdr:cNvPr id="40" name="Arrow: Down 39">
          <a:extLst>
            <a:ext uri="{FF2B5EF4-FFF2-40B4-BE49-F238E27FC236}">
              <a16:creationId xmlns:a16="http://schemas.microsoft.com/office/drawing/2014/main" id="{B075DDDD-A5E7-7B36-7FA6-FEDB77AFCF8E}"/>
            </a:ext>
          </a:extLst>
        </xdr:cNvPr>
        <xdr:cNvSpPr/>
      </xdr:nvSpPr>
      <xdr:spPr>
        <a:xfrm>
          <a:off x="4572000" y="1028701"/>
          <a:ext cx="200025" cy="228600"/>
        </a:xfrm>
        <a:prstGeom prst="downArrow">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000"/>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294147</xdr:colOff>
      <xdr:row>8</xdr:row>
      <xdr:rowOff>126965</xdr:rowOff>
    </xdr:to>
    <xdr:sp macro="" textlink="">
      <xdr:nvSpPr>
        <xdr:cNvPr id="2" name="EsriDoNotEdit">
          <a:extLst>
            <a:ext uri="{FF2B5EF4-FFF2-40B4-BE49-F238E27FC236}">
              <a16:creationId xmlns:a16="http://schemas.microsoft.com/office/drawing/2014/main" id="{00000000-0008-0000-1300-000002000000}"/>
            </a:ext>
          </a:extLst>
        </xdr:cNvPr>
        <xdr:cNvSpPr/>
      </xdr:nvSpPr>
      <xdr:spPr>
        <a:xfrm>
          <a:off x="0" y="0"/>
          <a:ext cx="6294755" cy="1650365"/>
        </a:xfrm>
        <a:prstGeom prst="rect">
          <a:avLst/>
        </a:prstGeom>
        <a:noFill/>
      </xdr:spPr>
      <xdr:txBody>
        <a:bodyPr wrap="none" lIns="91440" tIns="45720" rIns="91440" bIns="45720">
          <a:spAutoFit/>
        </a:bodyPr>
        <a:lstStyle/>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DO NOT EDIT </a:t>
          </a:r>
        </a:p>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For Esri use only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PC" refreshedDate="46061.059516203699" createdVersion="8" refreshedVersion="8" minRefreshableVersion="3" recordCount="107" xr:uid="{00000000-000A-0000-FFFF-FFFF00000000}">
  <cacheSource type="worksheet">
    <worksheetSource name="Table1"/>
  </cacheSource>
  <cacheFields count="11">
    <cacheField name="Climate_Zone" numFmtId="0">
      <sharedItems containsSemiMixedTypes="0" containsString="0" containsNumber="1" containsInteger="1" minValue="0" maxValue="10901" count="12">
        <n v="9101"/>
        <n v="9301"/>
        <n v="9401"/>
        <n v="9501"/>
        <n v="9701"/>
        <n v="9801"/>
        <n v="9901"/>
        <n v="10101"/>
        <n v="10301"/>
        <n v="10401"/>
        <n v="10501"/>
        <n v="10901"/>
      </sharedItems>
    </cacheField>
    <cacheField name="Crop" numFmtId="0">
      <sharedItems containsSemiMixedTypes="0" containsNonDate="0" containsString="0"/>
    </cacheField>
    <cacheField name="Harvest_Year" numFmtId="0">
      <sharedItems containsSemiMixedTypes="0" containsString="0" containsNumber="1" containsInteger="1" minValue="0" maxValue="2010" count="9">
        <n v="2002"/>
        <n v="2003"/>
        <n v="2004"/>
        <n v="2005"/>
        <n v="2006"/>
        <n v="2007"/>
        <n v="2008"/>
        <n v="2009"/>
        <n v="2010"/>
      </sharedItems>
    </cacheField>
    <cacheField name="Actual_Yield (YA)" numFmtId="2">
      <sharedItems containsSemiMixedTypes="0" containsString="0" containsNumber="1" minValue="0" maxValue="2.76" count="65">
        <n v="1.5"/>
        <n v="1.4"/>
        <n v="1.7"/>
        <n v="1.8"/>
        <n v="2.4809999999999999"/>
        <n v="2.492"/>
        <n v="2.6"/>
        <n v="1.6"/>
        <n v="1.671"/>
        <n v="2.3490000000000002"/>
        <n v="1.9"/>
        <n v="2.1"/>
        <n v="2.2000000000000002"/>
        <n v="2.2509999999999999"/>
        <n v="2.254"/>
        <n v="2.25"/>
        <n v="1.75183435913647"/>
        <n v="1.6777515387047"/>
        <n v="1.5777515387047001"/>
        <n v="1.5518343591364701"/>
        <n v="1.61872550623849"/>
        <n v="2.0384840458171398"/>
        <n v="2.5155146060729998"/>
        <n v="1.929"/>
        <n v="2.355"/>
        <n v="2.76"/>
        <n v="1.9755"/>
        <n v="1.9715"/>
        <n v="1.97"/>
        <n v="1.52719012003939"/>
        <n v="1.6987485028346301"/>
        <n v="1.5518772457480501"/>
        <n v="1.5765643714567099"/>
        <n v="1.60125149716537"/>
        <n v="1.5259386228740299"/>
        <n v="1.2504672256084"/>
        <n v="1.2512996158384599"/>
        <n v="1.30326132744226"/>
        <n v="0.916892261196669"/>
        <n v="0.92533839179500399"/>
        <n v="1.01689226119667"/>
        <n v="1.10844613059833"/>
        <n v="1.1168922611966701"/>
        <n v="1.1455814873163399"/>
        <n v="1.1419193325402699"/>
        <n v="1.1619599395556699"/>
        <n v="1.1000000000000001"/>
        <n v="1.2"/>
        <n v="1.246"/>
        <n v="1.81"/>
        <n v="1.67"/>
        <n v="1.35830937432768"/>
        <n v="1.4166187486553601"/>
        <n v="1.5166187486553599"/>
        <n v="1.61661874865536"/>
        <n v="1.56179068630327"/>
        <n v="1.65172534667214"/>
        <n v="1.68902027225254"/>
        <n v="1.637"/>
        <n v="1.629"/>
        <n v="1.55"/>
        <n v="2"/>
        <n v="1.873"/>
        <n v="1.613"/>
        <n v="1.68"/>
      </sharedItems>
    </cacheField>
    <cacheField name="YW" numFmtId="0">
      <sharedItems containsSemiMixedTypes="0" containsNonDate="0" containsString="0"/>
    </cacheField>
    <cacheField name="Potential_Yield (YP)" numFmtId="2">
      <sharedItems containsSemiMixedTypes="0" containsNonDate="0" containsString="0"/>
    </cacheField>
    <cacheField name="WPP" numFmtId="0">
      <sharedItems containsSemiMixedTypes="0" containsNonDate="0" containsString="0"/>
    </cacheField>
    <cacheField name="WPA" numFmtId="0">
      <sharedItems containsSemiMixedTypes="0" containsNonDate="0" containsString="0"/>
    </cacheField>
    <cacheField name="TimesrYldExpYld(T)" numFmtId="0">
      <sharedItems containsSemiMixedTypes="0" containsNonDate="0" containsString="0"/>
    </cacheField>
    <cacheField name="Stress_Index" numFmtId="168">
      <sharedItems containsSemiMixedTypes="0" containsString="0" containsNumber="1" minValue="0" maxValue="1.27158555729985" count="107">
        <n v="1.1829652996845199"/>
        <n v="0.97425191370910802"/>
        <n v="0.87173100871728204"/>
        <n v="0.84507042253519504"/>
        <n v="0.87448559670781101"/>
        <n v="0.85186938002837298"/>
        <n v="1.0872042068360901"/>
        <n v="1.01672786617706"/>
        <n v="0.992366412213739"/>
        <n v="1.2408872343726001"/>
        <n v="1.0956102549120099"/>
        <n v="0.96631695196025802"/>
        <n v="0.98135426889108301"/>
        <n v="0.93271981096879497"/>
        <n v="0.94792345518100296"/>
        <n v="0.94534962661236299"/>
        <n v="1.27158555729985"/>
        <n v="1.01468306076159"/>
        <n v="0.96971079801493498"/>
        <n v="1.03779768407253"/>
        <n v="1.1003405816085901"/>
        <n v="1.0572953378310199"/>
        <n v="1.0659431173990901"/>
        <n v="1.0510833022039501"/>
        <n v="1.0156355607623999"/>
        <n v="0.97953852851544398"/>
        <n v="1.14889451674743"/>
        <n v="1.0570511206557001"/>
        <n v="1.0619752419595501"/>
        <n v="0.97999505765462103"/>
        <n v="0.88917467239895898"/>
        <n v="0.84485755615008995"/>
        <n v="0.85231966419465899"/>
        <n v="1.0391945584304401"/>
        <n v="1.2428431848186801"/>
        <n v="1.1671087533156499"/>
        <n v="1.09034267912772"/>
        <n v="1.0676156583629901"/>
        <n v="1.0458167330677299"/>
        <n v="0.92728160078086597"/>
        <n v="0.90909090909090795"/>
        <n v="0.90520882214922604"/>
        <n v="1.0842541436464099"/>
        <n v="1.2471757794848699"/>
        <n v="1.0143070681187301"/>
        <n v="1.00672918984793"/>
        <n v="0.94667087409277395"/>
        <n v="0.991908117984861"/>
        <n v="0.98466003316749595"/>
        <n v="0.97751710654936497"/>
        <n v="1.0090407600367799"/>
        <n v="0.99979714995689495"/>
        <n v="0.99194360523665603"/>
        <n v="0.92411359072938604"/>
        <n v="1.0588060975035101"/>
        <n v="0.99722223733970305"/>
        <n v="1.0454670898254099"/>
        <n v="1.09689786077913"/>
        <n v="1.08099930778834"/>
        <n v="0.91716827461376105"/>
        <n v="0.95141394148301095"/>
        <n v="1.0286198322354101"/>
        <n v="1.0084604720596899"/>
        <n v="0.96943567476916603"/>
        <n v="0.94191611542651199"/>
        <n v="0.99793156152765305"/>
        <n v="1.0500626474027399"/>
        <n v="1.0226078201764099"/>
        <n v="1.01486666133623"/>
        <n v="0.97985183845913704"/>
        <n v="0.96668880162701498"/>
        <n v="1.0508215513947401"/>
        <n v="0.97760398151439198"/>
        <n v="0.91392489199069904"/>
        <n v="0.936037441497652"/>
        <n v="0.88209350191120395"/>
        <n v="0.83402835696414501"/>
        <n v="0.82124967044555597"/>
        <n v="1.13436951616947"/>
        <n v="0.99761051373954202"/>
        <n v="1.035770454726"/>
        <n v="1.0027383539994601"/>
        <n v="1.0134631196561401"/>
        <n v="1.0524765778316201"/>
        <n v="1.0892189385900499"/>
        <n v="1.0584121701292"/>
        <n v="0.99439111569034599"/>
        <n v="1.02350064857611"/>
        <n v="1.01932424396652"/>
        <n v="0.92908021059150903"/>
        <n v="1.0025856155348001"/>
        <n v="1.02547495682211"/>
        <n v="0.99420049710024605"/>
        <n v="1.017984390906"/>
        <n v="0.92705255229155303"/>
        <n v="0.97232121644096103"/>
        <n v="0.99250594041308704"/>
        <n v="0.96935584740462599"/>
        <n v="0.85243417313885095"/>
        <n v="0.86190384983719603"/>
        <n v="0.96842920782490605"/>
        <n v="1.07737512242899"/>
        <n v="1.08975629086586"/>
        <n v="1.05231509320505"/>
        <n v="0.94960454268910999"/>
        <n v="0.82751898214651998"/>
        <n v="0.87227414330218001"/>
      </sharedItems>
    </cacheField>
    <cacheField name="RY_Variability" numFmtId="168">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7">
  <r>
    <x v="0"/>
    <s v="Rainfed maize"/>
    <x v="0"/>
    <x v="0"/>
    <n v="0.891"/>
    <n v="11.1"/>
    <n v="3.14840989399293"/>
    <n v="5.30035335689046"/>
    <n v="1.26800000000003"/>
    <x v="0"/>
    <n v="0.932937933505117"/>
  </r>
  <r>
    <x v="0"/>
    <s v="Rainfed maize"/>
    <x v="1"/>
    <x v="1"/>
    <n v="9.011"/>
    <n v="10.6"/>
    <n v="20.0009647608409"/>
    <n v="3.10746317447311"/>
    <n v="1.43700000000001"/>
    <x v="1"/>
    <n v="0.677976279547043"/>
  </r>
  <r>
    <x v="0"/>
    <s v="Rainfed maize"/>
    <x v="2"/>
    <x v="1"/>
    <n v="9.69"/>
    <n v="11.6"/>
    <n v="23.0986549239679"/>
    <n v="3.33726696527916"/>
    <n v="1.60600000000005"/>
    <x v="2"/>
    <n v="0.542796393970893"/>
  </r>
  <r>
    <x v="0"/>
    <s v="Rainfed maize"/>
    <x v="3"/>
    <x v="0"/>
    <n v="10.254"/>
    <n v="10.8"/>
    <n v="24.4984448245984"/>
    <n v="3.58373973443511"/>
    <n v="1.77500000000003"/>
    <x v="3"/>
    <n v="0.476096012695875"/>
  </r>
  <r>
    <x v="0"/>
    <s v="Rainfed maize"/>
    <x v="4"/>
    <x v="2"/>
    <m/>
    <m/>
    <m/>
    <m/>
    <n v="1.94400000000002"/>
    <x v="4"/>
    <n v="0.449838269911422"/>
  </r>
  <r>
    <x v="0"/>
    <s v="Rainfed maize"/>
    <x v="5"/>
    <x v="3"/>
    <m/>
    <m/>
    <m/>
    <m/>
    <n v="2.11300000000006"/>
    <x v="5"/>
    <n v="0.403156355905514"/>
  </r>
  <r>
    <x v="0"/>
    <s v="Rainfed maize"/>
    <x v="6"/>
    <x v="4"/>
    <m/>
    <m/>
    <m/>
    <m/>
    <n v="2.28200000000004"/>
    <x v="6"/>
    <n v="0.476426032794072"/>
  </r>
  <r>
    <x v="0"/>
    <s v="Rainfed maize"/>
    <x v="7"/>
    <x v="5"/>
    <m/>
    <m/>
    <m/>
    <m/>
    <n v="2.45100000000002"/>
    <x v="7"/>
    <n v="0.414821650827031"/>
  </r>
  <r>
    <x v="0"/>
    <s v="Rainfed maize"/>
    <x v="8"/>
    <x v="6"/>
    <m/>
    <m/>
    <m/>
    <m/>
    <n v="2.62"/>
    <x v="8"/>
    <n v="0.378765806188449"/>
  </r>
  <r>
    <x v="1"/>
    <s v="Rainfed maize"/>
    <x v="0"/>
    <x v="7"/>
    <n v="14.3191919191919"/>
    <n v="15.1"/>
    <n v="24.8535415883384"/>
    <n v="2.77708873278274"/>
    <n v="1.28939999999997"/>
    <x v="9"/>
    <n v="0.962375705268055"/>
  </r>
  <r>
    <x v="1"/>
    <s v="Rainfed maize"/>
    <x v="1"/>
    <x v="0"/>
    <n v="7.72727272727273"/>
    <n v="13.9"/>
    <n v="13.8838151026246"/>
    <n v="2.69509351992125"/>
    <n v="1.36909999999997"/>
    <x v="10"/>
    <n v="0.800241220445568"/>
  </r>
  <r>
    <x v="1"/>
    <s v="Rainfed maize"/>
    <x v="2"/>
    <x v="1"/>
    <n v="11.7909090909091"/>
    <n v="14.3"/>
    <n v="21.312105734268"/>
    <n v="2.53050445881054"/>
    <n v="1.44879999999998"/>
    <x v="11"/>
    <n v="0.66697746546126"/>
  </r>
  <r>
    <x v="1"/>
    <s v="Rainfed maize"/>
    <x v="3"/>
    <x v="0"/>
    <n v="12.2515151515152"/>
    <n v="13.9"/>
    <n v="21.8791316303072"/>
    <n v="2.67874601954046"/>
    <n v="1.52849999999998"/>
    <x v="12"/>
    <n v="0.642037467380501"/>
  </r>
  <r>
    <x v="1"/>
    <s v="Rainfed maize"/>
    <x v="4"/>
    <x v="0"/>
    <n v="13.9676767676768"/>
    <n v="14"/>
    <n v="24.5090033009496"/>
    <n v="2.63204150288619"/>
    <n v="1.60819999999998"/>
    <x v="13"/>
    <n v="0.579977497182443"/>
  </r>
  <r>
    <x v="1"/>
    <s v="Rainfed maize"/>
    <x v="5"/>
    <x v="7"/>
    <n v="13.7121212121212"/>
    <n v="14.3"/>
    <n v="23.0216241805168"/>
    <n v="2.68628012537301"/>
    <n v="1.68789999999999"/>
    <x v="14"/>
    <n v="0.561599298051432"/>
  </r>
  <r>
    <x v="1"/>
    <s v="Rainfed maize"/>
    <x v="6"/>
    <x v="8"/>
    <n v="11.3585858585859"/>
    <n v="15"/>
    <n v="18.3500398204176"/>
    <n v="2.69953644949031"/>
    <n v="1.76759999999999"/>
    <x v="15"/>
    <n v="0.534821015281947"/>
  </r>
  <r>
    <x v="1"/>
    <s v="Rainfed maize"/>
    <x v="7"/>
    <x v="9"/>
    <n v="11.3272727272727"/>
    <n v="12.9"/>
    <n v="21.0704538449781"/>
    <n v="4.36949804895978"/>
    <n v="1.84729999999999"/>
    <x v="16"/>
    <n v="0.688348160720975"/>
  </r>
  <r>
    <x v="2"/>
    <s v="Rainfed maize"/>
    <x v="0"/>
    <x v="2"/>
    <n v="12.4"/>
    <n v="12.4"/>
    <n v="19.84"/>
    <n v="2.72"/>
    <n v="1.67540000000002"/>
    <x v="17"/>
    <n v="0.605636302233245"/>
  </r>
  <r>
    <x v="2"/>
    <s v="Rainfed maize"/>
    <x v="1"/>
    <x v="2"/>
    <n v="12.9"/>
    <n v="12.9"/>
    <n v="22.5040680810697"/>
    <n v="2.96565238277663"/>
    <n v="1.75310000000002"/>
    <x v="18"/>
    <n v="0.55314060693339"/>
  </r>
  <r>
    <x v="2"/>
    <s v="Rainfed maize"/>
    <x v="2"/>
    <x v="10"/>
    <n v="14.034"/>
    <n v="14.1"/>
    <n v="23.0977301387137"/>
    <n v="3.12709756758986"/>
    <n v="1.83080000000001"/>
    <x v="19"/>
    <n v="0.566854754245425"/>
  </r>
  <r>
    <x v="2"/>
    <s v="Rainfed maize"/>
    <x v="3"/>
    <x v="11"/>
    <n v="13.3"/>
    <n v="13.3"/>
    <n v="22.5423728813559"/>
    <n v="3.5593220338983"/>
    <n v="1.9085"/>
    <x v="20"/>
    <n v="0.576547331207016"/>
  </r>
  <r>
    <x v="2"/>
    <s v="Rainfed maize"/>
    <x v="4"/>
    <x v="11"/>
    <n v="14.2"/>
    <n v="14.2"/>
    <n v="24.9560632688928"/>
    <n v="3.69068541300527"/>
    <n v="1.98620000000003"/>
    <x v="21"/>
    <n v="0.532320681618673"/>
  </r>
  <r>
    <x v="2"/>
    <s v="Rainfed maize"/>
    <x v="5"/>
    <x v="12"/>
    <n v="14.18"/>
    <n v="14.4"/>
    <n v="23.0788590908267"/>
    <n v="3.58064104371077"/>
    <n v="2.06390000000002"/>
    <x v="22"/>
    <n v="0.516470331604768"/>
  </r>
  <r>
    <x v="2"/>
    <s v="Rainfed maize"/>
    <x v="6"/>
    <x v="13"/>
    <n v="14.6"/>
    <n v="14.6"/>
    <n v="24.4462053859039"/>
    <n v="3.76906906326504"/>
    <n v="2.14160000000001"/>
    <x v="23"/>
    <n v="0.490793473199453"/>
  </r>
  <r>
    <x v="2"/>
    <s v="Rainfed maize"/>
    <x v="7"/>
    <x v="14"/>
    <n v="12.511"/>
    <n v="14.9"/>
    <n v="21.4741127860522"/>
    <n v="3.86880746700996"/>
    <n v="2.2193"/>
    <x v="24"/>
    <n v="0.457637796044879"/>
  </r>
  <r>
    <x v="2"/>
    <s v="Rainfed maize"/>
    <x v="8"/>
    <x v="15"/>
    <n v="12.768"/>
    <n v="12.9"/>
    <n v="23.6710025558199"/>
    <n v="4.17134678497767"/>
    <n v="2.29700000000003"/>
    <x v="25"/>
    <n v="0.426442546153867"/>
  </r>
  <r>
    <x v="3"/>
    <s v="Rainfed maize"/>
    <x v="0"/>
    <x v="16"/>
    <n v="15.7346960371487"/>
    <n v="15.8963312817271"/>
    <n v="28.0870909652743"/>
    <n v="3.12709764999536"/>
    <n v="1.52479999999998"/>
    <x v="26"/>
    <n v="0.753472269640245"/>
  </r>
  <r>
    <x v="3"/>
    <s v="Rainfed maize"/>
    <x v="1"/>
    <x v="17"/>
    <n v="15.8069908816873"/>
    <n v="16.5036687182729"/>
    <n v="29.1079570107471"/>
    <n v="3.08951400230821"/>
    <n v="1.58719999999998"/>
    <x v="27"/>
    <n v="0.665984829042154"/>
  </r>
  <r>
    <x v="3"/>
    <s v="Rainfed maize"/>
    <x v="2"/>
    <x v="16"/>
    <n v="15.8846695820775"/>
    <n v="15.9924264117964"/>
    <n v="30.9376191669534"/>
    <n v="3.41194281483188"/>
    <n v="1.64959999999999"/>
    <x v="28"/>
    <n v="0.643777426018161"/>
  </r>
  <r>
    <x v="3"/>
    <s v="Rainfed maize"/>
    <x v="3"/>
    <x v="17"/>
    <n v="15.5260964125346"/>
    <n v="16.2518343591365"/>
    <n v="28.6663283426664"/>
    <n v="3.09768632166257"/>
    <n v="1.71199999999999"/>
    <x v="29"/>
    <n v="0.572427019658077"/>
  </r>
  <r>
    <x v="3"/>
    <s v="Rainfed maize"/>
    <x v="4"/>
    <x v="18"/>
    <n v="15.2299876543001"/>
    <n v="16.0740828204318"/>
    <n v="29.7718563545458"/>
    <n v="3.08421735064358"/>
    <n v="1.77439999999999"/>
    <x v="30"/>
    <n v="0.501112867672997"/>
  </r>
  <r>
    <x v="3"/>
    <s v="Rainfed maize"/>
    <x v="5"/>
    <x v="19"/>
    <n v="11.2569115164738"/>
    <n v="14.0885215418658"/>
    <n v="22.473990033495"/>
    <n v="3.09817749476215"/>
    <n v="1.83679999999998"/>
    <x v="31"/>
    <n v="0.459961648600881"/>
  </r>
  <r>
    <x v="3"/>
    <s v="Rainfed maize"/>
    <x v="6"/>
    <x v="20"/>
    <n v="15.1654695676526"/>
    <n v="15.2552669257517"/>
    <n v="29.295784290541"/>
    <n v="3.12696109044383"/>
    <n v="1.89919999999999"/>
    <x v="32"/>
    <n v="0.448778256210332"/>
  </r>
  <r>
    <x v="3"/>
    <s v="Rainfed maize"/>
    <x v="7"/>
    <x v="21"/>
    <n v="14.2938325594028"/>
    <n v="15.9146748730917"/>
    <n v="26.5388811202719"/>
    <n v="3.78478518848499"/>
    <n v="1.96159999999999"/>
    <x v="33"/>
    <n v="0.529768840961687"/>
  </r>
  <r>
    <x v="3"/>
    <s v="Rainfed maize"/>
    <x v="8"/>
    <x v="22"/>
    <n v="9.46826422615113"/>
    <n v="15.9740828204318"/>
    <n v="19.0474978819348"/>
    <n v="5.06051140807978"/>
    <n v="2.02399999999999"/>
    <x v="34"/>
    <n v="0.614052956926231"/>
  </r>
  <r>
    <x v="4"/>
    <s v="Rainfed maize"/>
    <x v="0"/>
    <x v="12"/>
    <n v="0"/>
    <n v="15.1"/>
    <n v="0"/>
    <m/>
    <n v="1.88500000000001"/>
    <x v="35"/>
    <n v="0.619155837302729"/>
  </r>
  <r>
    <x v="4"/>
    <s v="Rainfed maize"/>
    <x v="1"/>
    <x v="11"/>
    <n v="0"/>
    <n v="14.9"/>
    <n v="0"/>
    <m/>
    <n v="1.926"/>
    <x v="36"/>
    <n v="0.566117694251155"/>
  </r>
  <r>
    <x v="4"/>
    <s v="Rainfed maize"/>
    <x v="2"/>
    <x v="11"/>
    <n v="8.077"/>
    <n v="15.4"/>
    <n v="19.102299045041"/>
    <n v="4.96655045123017"/>
    <n v="1.967"/>
    <x v="37"/>
    <n v="0.542763425705638"/>
  </r>
  <r>
    <x v="4"/>
    <s v="Rainfed maize"/>
    <x v="3"/>
    <x v="11"/>
    <n v="2.618"/>
    <n v="14"/>
    <n v="6.09231756475254"/>
    <n v="4.88688574712771"/>
    <n v="2.008"/>
    <x v="38"/>
    <n v="0.520825066268792"/>
  </r>
  <r>
    <x v="4"/>
    <s v="Rainfed maize"/>
    <x v="4"/>
    <x v="10"/>
    <n v="11.885"/>
    <n v="15.3"/>
    <n v="25.4866189864668"/>
    <n v="4.07442794062154"/>
    <n v="2.04900000000001"/>
    <x v="39"/>
    <n v="0.452553245866697"/>
  </r>
  <r>
    <x v="4"/>
    <s v="Rainfed maize"/>
    <x v="5"/>
    <x v="10"/>
    <n v="3.274"/>
    <n v="14.2"/>
    <n v="8.52814616490532"/>
    <n v="4.94913796985953"/>
    <n v="2.09"/>
    <x v="40"/>
    <n v="0.434971726837754"/>
  </r>
  <r>
    <x v="4"/>
    <s v="Rainfed maize"/>
    <x v="6"/>
    <x v="23"/>
    <n v="6.647"/>
    <n v="16.7"/>
    <n v="14.0249022779308"/>
    <n v="4.07011230542028"/>
    <n v="2.131"/>
    <x v="41"/>
    <n v="0.42478123986355"/>
  </r>
  <r>
    <x v="4"/>
    <s v="Rainfed maize"/>
    <x v="7"/>
    <x v="24"/>
    <n v="11.947"/>
    <n v="17.3"/>
    <n v="22.8436747391322"/>
    <n v="4.50295923752042"/>
    <n v="2.172"/>
    <x v="42"/>
    <n v="0.499196198732234"/>
  </r>
  <r>
    <x v="4"/>
    <s v="Rainfed maize"/>
    <x v="8"/>
    <x v="25"/>
    <n v="2.205"/>
    <n v="15.3"/>
    <n v="5.84880636604775"/>
    <n v="7.3209549071618"/>
    <n v="2.21299999999999"/>
    <x v="43"/>
    <n v="0.563567907584667"/>
  </r>
  <r>
    <x v="5"/>
    <s v="Rainfed maize"/>
    <x v="0"/>
    <x v="10"/>
    <n v="13.517"/>
    <n v="14.9"/>
    <n v="25.1295382955597"/>
    <n v="3.53230175050406"/>
    <n v="1.8732"/>
    <x v="44"/>
    <n v="0.541483593913478"/>
  </r>
  <r>
    <x v="5"/>
    <s v="Rainfed maize"/>
    <x v="1"/>
    <x v="10"/>
    <n v="13.106"/>
    <n v="14"/>
    <n v="29.7399303229264"/>
    <n v="4.31145029860829"/>
    <n v="1.8873"/>
    <x v="45"/>
    <n v="0.533422979837827"/>
  </r>
  <r>
    <x v="5"/>
    <s v="Rainfed maize"/>
    <x v="2"/>
    <x v="3"/>
    <n v="6.486"/>
    <n v="14.5"/>
    <n v="12.8280640407441"/>
    <n v="3.56005477541463"/>
    <n v="1.9014"/>
    <x v="46"/>
    <n v="0.497880968808654"/>
  </r>
  <r>
    <x v="5"/>
    <s v="Rainfed maize"/>
    <x v="3"/>
    <x v="10"/>
    <n v="12.637"/>
    <n v="13.7"/>
    <n v="23.432421907012"/>
    <n v="3.52311479174826"/>
    <n v="1.9155"/>
    <x v="47"/>
    <n v="0.517832481328563"/>
  </r>
  <r>
    <x v="5"/>
    <s v="Rainfed maize"/>
    <x v="4"/>
    <x v="10"/>
    <n v="12.77"/>
    <n v="15.8"/>
    <n v="25.7669389560218"/>
    <n v="3.83376538891475"/>
    <n v="1.9296"/>
    <x v="48"/>
    <n v="0.510292305746007"/>
  </r>
  <r>
    <x v="5"/>
    <s v="Rainfed maize"/>
    <x v="5"/>
    <x v="10"/>
    <n v="14.352"/>
    <n v="14.4"/>
    <n v="24.7378655167195"/>
    <n v="3.27494039031265"/>
    <n v="1.9437"/>
    <x v="49"/>
    <n v="0.502915628208759"/>
  </r>
  <r>
    <x v="5"/>
    <s v="Rainfed maize"/>
    <x v="6"/>
    <x v="26"/>
    <n v="12.106"/>
    <n v="14.7"/>
    <n v="23.5838631856413"/>
    <n v="3.84849840766845"/>
    <n v="1.9578"/>
    <x v="50"/>
    <n v="0.515395219142291"/>
  </r>
  <r>
    <x v="5"/>
    <s v="Rainfed maize"/>
    <x v="7"/>
    <x v="27"/>
    <n v="12.536"/>
    <n v="16"/>
    <n v="22.738105027257"/>
    <n v="3.57595517399786"/>
    <n v="1.9719"/>
    <x v="51"/>
    <n v="0.507022237414117"/>
  </r>
  <r>
    <x v="5"/>
    <s v="Rainfed maize"/>
    <x v="8"/>
    <x v="28"/>
    <n v="14.352"/>
    <n v="14.8"/>
    <n v="28.0141286768275"/>
    <n v="3.8453061241186"/>
    <n v="1.986"/>
    <x v="52"/>
    <n v="0.499468079172536"/>
  </r>
  <r>
    <x v="6"/>
    <s v="Rainfed maize"/>
    <x v="0"/>
    <x v="29"/>
    <n v="12.7982890420803"/>
    <n v="12.8753128742913"/>
    <n v="26.9307662678165"/>
    <n v="3.21358581870363"/>
    <n v="1.65260000000001"/>
    <x v="53"/>
    <n v="0.559187698613931"/>
  </r>
  <r>
    <x v="6"/>
    <s v="Rainfed maize"/>
    <x v="1"/>
    <x v="30"/>
    <n v="12.0784731998057"/>
    <n v="12.3196811370472"/>
    <n v="26.0618368426159"/>
    <n v="3.6654058493276"/>
    <n v="1.6044"/>
    <x v="54"/>
    <n v="0.659938978748137"/>
  </r>
  <r>
    <x v="6"/>
    <s v="Rainfed maize"/>
    <x v="2"/>
    <x v="31"/>
    <n v="11.9901422905965"/>
    <n v="12.0506257485827"/>
    <n v="28.7343471556675"/>
    <n v="3.71907008620556"/>
    <n v="1.5562"/>
    <x v="55"/>
    <n v="0.640805961534315"/>
  </r>
  <r>
    <x v="6"/>
    <s v="Rainfed maize"/>
    <x v="3"/>
    <x v="32"/>
    <n v="11.6955563173724"/>
    <n v="11.7987485028346"/>
    <n v="24.3771501536249"/>
    <n v="3.28604688541141"/>
    <n v="1.508"/>
    <x v="56"/>
    <n v="0.693280563544702"/>
  </r>
  <r>
    <x v="6"/>
    <s v="Rainfed maize"/>
    <x v="4"/>
    <x v="33"/>
    <n v="12.6772707034681"/>
    <n v="12.9456197599212"/>
    <n v="26.1406812138212"/>
    <n v="3.301799410113"/>
    <n v="1.4598"/>
    <x v="57"/>
    <n v="0.751402836538653"/>
  </r>
  <r>
    <x v="6"/>
    <s v="Rainfed maize"/>
    <x v="5"/>
    <x v="34"/>
    <n v="12.7118669612201"/>
    <n v="12.8493742514173"/>
    <n v="27.7321232742941"/>
    <n v="3.3289774135968"/>
    <n v="1.41160000000001"/>
    <x v="58"/>
    <n v="0.765797186021774"/>
  </r>
  <r>
    <x v="6"/>
    <s v="Rainfed maize"/>
    <x v="6"/>
    <x v="35"/>
    <n v="13.2995919618855"/>
    <n v="13.6025029943307"/>
    <n v="26.7282353051308"/>
    <n v="2.51306824624393"/>
    <n v="1.3634"/>
    <x v="59"/>
    <n v="0.672706670539652"/>
  </r>
  <r>
    <x v="6"/>
    <s v="Rainfed maize"/>
    <x v="7"/>
    <x v="36"/>
    <n v="13.6876294208218"/>
    <n v="13.9234356285433"/>
    <n v="28.7116211993204"/>
    <n v="2.62476718738137"/>
    <n v="1.3152"/>
    <x v="60"/>
    <n v="0.72339867813489"/>
  </r>
  <r>
    <x v="6"/>
    <s v="Rainfed maize"/>
    <x v="8"/>
    <x v="37"/>
    <n v="12.6685363036019"/>
    <n v="13.5518772457481"/>
    <n v="27.219667985557"/>
    <n v="2.80019252273909"/>
    <n v="1.267"/>
    <x v="61"/>
    <n v="0.811854642648314"/>
  </r>
  <r>
    <x v="7"/>
    <s v="Rainfed maize"/>
    <x v="0"/>
    <x v="38"/>
    <n v="3.38940832074076"/>
    <n v="10.876015175385"/>
    <n v="9.11433302365815"/>
    <n v="2.46558119428201"/>
    <n v="0.909199999999999"/>
    <x v="62"/>
    <n v="1.10917341845545"/>
  </r>
  <r>
    <x v="7"/>
    <s v="Rainfed maize"/>
    <x v="1"/>
    <x v="38"/>
    <n v="6.69441738739028"/>
    <n v="10.974661608205"/>
    <n v="16.4984824452186"/>
    <n v="2.25969341320189"/>
    <n v="0.945799999999991"/>
    <x v="63"/>
    <n v="1.02499014037764"/>
  </r>
  <r>
    <x v="7"/>
    <s v="Rainfed maize"/>
    <x v="2"/>
    <x v="39"/>
    <n v="4.54879220653956"/>
    <n v="10.9675690447867"/>
    <n v="12.1986190757445"/>
    <n v="2.48150498970722"/>
    <n v="0.982399999999998"/>
    <x v="64"/>
    <n v="0.958790834106793"/>
  </r>
  <r>
    <x v="7"/>
    <s v="Rainfed maize"/>
    <x v="3"/>
    <x v="40"/>
    <n v="7.70277481271903"/>
    <n v="11.1915538694017"/>
    <n v="17.2074938879572"/>
    <n v="2.27167063749017"/>
    <n v="1.01899999999999"/>
    <x v="65"/>
    <n v="0.979324397966302"/>
  </r>
  <r>
    <x v="7"/>
    <s v="Rainfed maize"/>
    <x v="4"/>
    <x v="41"/>
    <n v="2.7045013021252"/>
    <n v="10.6675690447867"/>
    <n v="6.79982619069845"/>
    <n v="2.78692453351683"/>
    <n v="1.0556"/>
    <x v="66"/>
    <n v="0.99475430788437"/>
  </r>
  <r>
    <x v="7"/>
    <s v="Rainfed maize"/>
    <x v="5"/>
    <x v="42"/>
    <n v="3.13663556570106"/>
    <n v="10.3084461305983"/>
    <n v="7.70346943201831"/>
    <n v="2.74304910875526"/>
    <n v="1.09219999999999"/>
    <x v="67"/>
    <n v="0.936282567456896"/>
  </r>
  <r>
    <x v="7"/>
    <s v="Rainfed maize"/>
    <x v="6"/>
    <x v="43"/>
    <n v="6.89273037970614"/>
    <n v="10.99864643282"/>
    <n v="16.0703308047926"/>
    <n v="2.67091159103262"/>
    <n v="1.1288"/>
    <x v="68"/>
    <n v="0.899066850935716"/>
  </r>
  <r>
    <x v="7"/>
    <s v="Rainfed maize"/>
    <x v="7"/>
    <x v="44"/>
    <n v="4.56014014725268"/>
    <n v="10.1831077388033"/>
    <n v="11.8731160148449"/>
    <n v="2.97318509454435"/>
    <n v="1.16539999999999"/>
    <x v="69"/>
    <n v="0.840785857610387"/>
  </r>
  <r>
    <x v="7"/>
    <s v="Rainfed maize"/>
    <x v="8"/>
    <x v="45"/>
    <n v="6.67121718162235"/>
    <n v="11.59864643282"/>
    <n v="15.6173672741775"/>
    <n v="2.72015655312677"/>
    <n v="1.202"/>
    <x v="70"/>
    <n v="0.804233612002509"/>
  </r>
  <r>
    <x v="8"/>
    <s v="Rainfed maize"/>
    <x v="0"/>
    <x v="46"/>
    <n v="5.785"/>
    <n v="16.2"/>
    <n v="13.1066175938566"/>
    <n v="2.49218312069874"/>
    <n v="1.04679999999999"/>
    <x v="71"/>
    <n v="1.00384175715967"/>
  </r>
  <r>
    <x v="8"/>
    <s v="Rainfed maize"/>
    <x v="1"/>
    <x v="46"/>
    <n v="0"/>
    <n v="14.1"/>
    <n v="0"/>
    <m/>
    <n v="1.12520000000001"/>
    <x v="72"/>
    <n v="0.868826858793447"/>
  </r>
  <r>
    <x v="8"/>
    <s v="Rainfed maize"/>
    <x v="2"/>
    <x v="46"/>
    <n v="13.311"/>
    <n v="14.6"/>
    <n v="23.1544832971437"/>
    <n v="1.91344990059786"/>
    <n v="1.20359999999999"/>
    <x v="73"/>
    <n v="0.759326098363828"/>
  </r>
  <r>
    <x v="8"/>
    <s v="Rainfed maize"/>
    <x v="3"/>
    <x v="47"/>
    <n v="13.71"/>
    <n v="15.1"/>
    <n v="25.6738849787588"/>
    <n v="2.2471671753837"/>
    <n v="1.28200000000001"/>
    <x v="74"/>
    <n v="0.730138409904559"/>
  </r>
  <r>
    <x v="8"/>
    <s v="Rainfed maize"/>
    <x v="4"/>
    <x v="47"/>
    <n v="0"/>
    <n v="13.6"/>
    <n v="0"/>
    <m/>
    <n v="1.3604"/>
    <x v="75"/>
    <n v="0.648407455094975"/>
  </r>
  <r>
    <x v="8"/>
    <s v="Rainfed maize"/>
    <x v="5"/>
    <x v="47"/>
    <n v="0.198"/>
    <n v="15.4"/>
    <n v="0.388998035363458"/>
    <n v="2.35756385068762"/>
    <n v="1.43879999999999"/>
    <x v="76"/>
    <n v="0.579669416850259"/>
  </r>
  <r>
    <x v="8"/>
    <s v="Rainfed maize"/>
    <x v="6"/>
    <x v="48"/>
    <n v="10.15"/>
    <n v="15.8"/>
    <n v="18.1925838701714"/>
    <n v="2.2332965026831"/>
    <n v="1.5172"/>
    <x v="77"/>
    <n v="0.541292954419691"/>
  </r>
  <r>
    <x v="8"/>
    <s v="Rainfed maize"/>
    <x v="7"/>
    <x v="49"/>
    <n v="13.45"/>
    <n v="13.8"/>
    <n v="24.5788898488702"/>
    <n v="3.30764242575874"/>
    <n v="1.59559999999999"/>
    <x v="78"/>
    <n v="0.710936021665505"/>
  </r>
  <r>
    <x v="8"/>
    <s v="Rainfed maize"/>
    <x v="8"/>
    <x v="50"/>
    <n v="9.498"/>
    <n v="15.8"/>
    <n v="19.6358878253576"/>
    <n v="3.45250923019026"/>
    <n v="1.67400000000001"/>
    <x v="79"/>
    <n v="0.595944153966271"/>
  </r>
  <r>
    <x v="9"/>
    <s v="Rainfed maize"/>
    <x v="0"/>
    <x v="51"/>
    <n v="12.5546168787007"/>
    <n v="14.4936601537288"/>
    <n v="23.1704607405047"/>
    <n v="2.50685897749005"/>
    <n v="1.31140000000001"/>
    <x v="80"/>
    <n v="0.789820386400788"/>
  </r>
  <r>
    <x v="9"/>
    <s v="Rainfed maize"/>
    <x v="1"/>
    <x v="51"/>
    <n v="9.82976557238544"/>
    <n v="14.8561960922373"/>
    <n v="17.6793432715034"/>
    <n v="2.44298986794784"/>
    <n v="1.3546"/>
    <x v="81"/>
    <n v="0.740246828583686"/>
  </r>
  <r>
    <x v="9"/>
    <s v="Rainfed maize"/>
    <x v="2"/>
    <x v="52"/>
    <n v="8.05679603300059"/>
    <n v="15.5229585949266"/>
    <n v="17.7919125002499"/>
    <n v="3.12833497572146"/>
    <n v="1.3978"/>
    <x v="82"/>
    <n v="0.725041579379124"/>
  </r>
  <r>
    <x v="9"/>
    <s v="Rainfed maize"/>
    <x v="3"/>
    <x v="53"/>
    <n v="5.4076045348506"/>
    <n v="14.3770414050734"/>
    <n v="12.4620304294798"/>
    <n v="3.4951056191066"/>
    <n v="1.441"/>
    <x v="83"/>
    <n v="0.730379304532695"/>
  </r>
  <r>
    <x v="9"/>
    <s v="Rainfed maize"/>
    <x v="4"/>
    <x v="54"/>
    <n v="4.89488279151802"/>
    <n v="15.8770414050734"/>
    <n v="11.1427824748411"/>
    <n v="3.68009446359593"/>
    <n v="1.4842"/>
    <x v="84"/>
    <n v="0.733876120866496"/>
  </r>
  <r>
    <x v="9"/>
    <s v="Rainfed maize"/>
    <x v="5"/>
    <x v="54"/>
    <n v="7.54864434339931"/>
    <n v="14.8123921844746"/>
    <n v="13.3229843674788"/>
    <n v="2.85325223135488"/>
    <n v="1.52740000000001"/>
    <x v="85"/>
    <n v="0.692950222685081"/>
  </r>
  <r>
    <x v="9"/>
    <s v="Rainfed maize"/>
    <x v="6"/>
    <x v="55"/>
    <n v="2.64133244458929"/>
    <n v="15.3812679692542"/>
    <n v="5.3969991524918"/>
    <n v="3.19118595904689"/>
    <n v="1.57060000000001"/>
    <x v="86"/>
    <n v="0.633128177569297"/>
  </r>
  <r>
    <x v="9"/>
    <s v="Rainfed maize"/>
    <x v="7"/>
    <x v="56"/>
    <n v="11.7365270905721"/>
    <n v="15.0583093743277"/>
    <n v="21.841229971885"/>
    <n v="3.07379797010286"/>
    <n v="1.61380000000001"/>
    <x v="87"/>
    <n v="0.634217777033154"/>
  </r>
  <r>
    <x v="9"/>
    <s v="Rainfed maize"/>
    <x v="8"/>
    <x v="57"/>
    <n v="12.922066634405"/>
    <n v="15.4583093743277"/>
    <n v="26.5237949588439"/>
    <n v="3.4668779112529"/>
    <n v="1.65700000000001"/>
    <x v="88"/>
    <n v="0.615162488815037"/>
  </r>
  <r>
    <x v="10"/>
    <s v="Rainfed maize"/>
    <x v="0"/>
    <x v="3"/>
    <n v="8.723"/>
    <n v="14.7"/>
    <n v="19.0921054957747"/>
    <n v="3.93967555799548"/>
    <n v="1.93740000000001"/>
    <x v="89"/>
    <n v="0.479550020951535"/>
  </r>
  <r>
    <x v="10"/>
    <s v="Rainfed maize"/>
    <x v="1"/>
    <x v="10"/>
    <n v="11.762"/>
    <n v="14.6"/>
    <n v="20.8763115693013"/>
    <n v="3.37229994743006"/>
    <n v="1.8951"/>
    <x v="90"/>
    <n v="0.52904100867226"/>
  </r>
  <r>
    <x v="10"/>
    <s v="Rainfed maize"/>
    <x v="2"/>
    <x v="10"/>
    <n v="13.959"/>
    <n v="14.8"/>
    <n v="24.1147355255494"/>
    <n v="3.28232663504147"/>
    <n v="1.8528"/>
    <x v="91"/>
    <n v="0.553473098457526"/>
  </r>
  <r>
    <x v="10"/>
    <s v="Rainfed maize"/>
    <x v="3"/>
    <x v="3"/>
    <n v="10.81"/>
    <n v="14.9"/>
    <n v="22.4932175009126"/>
    <n v="3.74540161902337"/>
    <n v="1.8105"/>
    <x v="92"/>
    <n v="0.549130349130209"/>
  </r>
  <r>
    <x v="10"/>
    <s v="Rainfed maize"/>
    <x v="4"/>
    <x v="3"/>
    <n v="11.469"/>
    <n v="15.2"/>
    <n v="22.4329338913475"/>
    <n v="3.52073249668022"/>
    <n v="1.76820000000001"/>
    <x v="93"/>
    <n v="0.575717900071258"/>
  </r>
  <r>
    <x v="10"/>
    <s v="Rainfed maize"/>
    <x v="5"/>
    <x v="7"/>
    <n v="14.691"/>
    <n v="15.3"/>
    <n v="25.5208999728924"/>
    <n v="2.77948675764943"/>
    <n v="1.72590000000001"/>
    <x v="94"/>
    <n v="0.537141521693926"/>
  </r>
  <r>
    <x v="10"/>
    <s v="Rainfed maize"/>
    <x v="6"/>
    <x v="58"/>
    <n v="14.514"/>
    <n v="15.4"/>
    <n v="24.7636645807853"/>
    <n v="2.79303561518158"/>
    <n v="1.6836"/>
    <x v="95"/>
    <n v="0.577525075101545"/>
  </r>
  <r>
    <x v="10"/>
    <s v="Rainfed maize"/>
    <x v="7"/>
    <x v="59"/>
    <n v="9.769"/>
    <n v="16.1"/>
    <n v="16.9175732269914"/>
    <n v="2.8210386720001"/>
    <n v="1.6413"/>
    <x v="96"/>
    <n v="0.604707207952895"/>
  </r>
  <r>
    <x v="10"/>
    <s v="Rainfed maize"/>
    <x v="8"/>
    <x v="60"/>
    <n v="12.269"/>
    <n v="16"/>
    <n v="23.5963068545899"/>
    <n v="2.98103151231676"/>
    <n v="1.599"/>
    <x v="97"/>
    <n v="0.606226296062929"/>
  </r>
  <r>
    <x v="11"/>
    <s v="Rainfed maize"/>
    <x v="0"/>
    <x v="3"/>
    <n v="9.937"/>
    <n v="15.2"/>
    <n v="21.7865588277963"/>
    <n v="3.94644318104391"/>
    <n v="2.1116"/>
    <x v="98"/>
    <n v="0.403691121963843"/>
  </r>
  <r>
    <x v="11"/>
    <s v="Rainfed maize"/>
    <x v="1"/>
    <x v="3"/>
    <n v="8.526"/>
    <n v="15.2"/>
    <n v="18.6041276550651"/>
    <n v="3.92768353027412"/>
    <n v="2.0884"/>
    <x v="99"/>
    <n v="0.412710136868989"/>
  </r>
  <r>
    <x v="11"/>
    <s v="Rainfed maize"/>
    <x v="2"/>
    <x v="61"/>
    <n v="11.55"/>
    <n v="15.4"/>
    <n v="23.7828602366161"/>
    <n v="4.11824419681663"/>
    <n v="2.0652"/>
    <x v="100"/>
    <n v="0.468927565284187"/>
  </r>
  <r>
    <x v="11"/>
    <s v="Rainfed maize"/>
    <x v="3"/>
    <x v="12"/>
    <n v="4.762"/>
    <n v="14.7"/>
    <n v="14.4876260471941"/>
    <n v="6.69314937081627"/>
    <n v="2.042"/>
    <x v="101"/>
    <n v="0.527607797467674"/>
  </r>
  <r>
    <x v="11"/>
    <s v="Rainfed maize"/>
    <x v="4"/>
    <x v="12"/>
    <n v="13.069"/>
    <n v="16.7"/>
    <n v="26.1156221550831"/>
    <n v="4.39623297430429"/>
    <n v="2.01880000000001"/>
    <x v="102"/>
    <n v="0.539803987946233"/>
  </r>
  <r>
    <x v="11"/>
    <s v="Rainfed maize"/>
    <x v="5"/>
    <x v="11"/>
    <n v="3.192"/>
    <n v="14.4"/>
    <n v="7.22045887604082"/>
    <n v="4.75030189213212"/>
    <n v="1.9956"/>
    <x v="103"/>
    <n v="0.527317645422453"/>
  </r>
  <r>
    <x v="11"/>
    <s v="Rainfed maize"/>
    <x v="6"/>
    <x v="62"/>
    <n v="3.794"/>
    <n v="14.2"/>
    <n v="7.45267344883033"/>
    <n v="3.67919277007359"/>
    <n v="1.9724"/>
    <x v="104"/>
    <n v="0.481446229309019"/>
  </r>
  <r>
    <x v="11"/>
    <s v="Rainfed maize"/>
    <x v="7"/>
    <x v="63"/>
    <n v="12.204"/>
    <n v="14.2"/>
    <n v="28.8812424021675"/>
    <n v="3.81722746596986"/>
    <n v="1.9492"/>
    <x v="105"/>
    <n v="0.42454288023113"/>
  </r>
  <r>
    <x v="11"/>
    <s v="Rainfed maize"/>
    <x v="8"/>
    <x v="64"/>
    <n v="11.51"/>
    <n v="14"/>
    <n v="29.2676735047534"/>
    <n v="4.27191064187539"/>
    <n v="1.926"/>
    <x v="106"/>
    <n v="0.4528941554009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5" minRefreshableVersion="3" useAutoFormatting="1" createdVersion="8" indent="0" compact="0" outline="1" outlineData="1" compactData="0" multipleFieldFilters="0" chartFormat="2">
  <location ref="A3:D14" firstHeaderRow="1" firstDataRow="2" firstDataCol="1"/>
  <pivotFields count="11">
    <pivotField axis="axisCol" compact="0" multipleItemSelectionAllowed="1" showAll="0" sortType="descending">
      <items count="13">
        <item h="1" x="11"/>
        <item h="1" x="10"/>
        <item h="1" x="9"/>
        <item h="1" x="8"/>
        <item h="1" x="7"/>
        <item h="1" x="6"/>
        <item h="1" x="5"/>
        <item h="1" x="4"/>
        <item h="1" x="3"/>
        <item h="1" x="2"/>
        <item x="1"/>
        <item x="0"/>
        <item t="default"/>
      </items>
      <autoSortScope>
        <pivotArea fieldPosition="0">
          <references count="1">
            <reference field="4294967294" count="1" selected="0">
              <x v="0"/>
            </reference>
          </references>
        </pivotArea>
      </autoSortScope>
    </pivotField>
    <pivotField compact="0" showAll="0"/>
    <pivotField axis="axisRow" compact="0" showAll="0">
      <items count="10">
        <item x="0"/>
        <item x="1"/>
        <item x="2"/>
        <item x="3"/>
        <item x="4"/>
        <item x="5"/>
        <item x="6"/>
        <item x="7"/>
        <item x="8"/>
        <item t="default"/>
      </items>
    </pivotField>
    <pivotField dataField="1" compact="0" numFmtId="2" showAll="0">
      <items count="66">
        <item x="38"/>
        <item x="39"/>
        <item x="40"/>
        <item x="46"/>
        <item x="41"/>
        <item x="42"/>
        <item x="44"/>
        <item x="43"/>
        <item x="45"/>
        <item x="47"/>
        <item x="48"/>
        <item x="35"/>
        <item x="36"/>
        <item x="37"/>
        <item x="51"/>
        <item x="1"/>
        <item x="52"/>
        <item x="0"/>
        <item x="53"/>
        <item x="34"/>
        <item x="29"/>
        <item x="60"/>
        <item x="19"/>
        <item x="31"/>
        <item x="55"/>
        <item x="32"/>
        <item x="18"/>
        <item x="7"/>
        <item x="33"/>
        <item x="63"/>
        <item x="54"/>
        <item x="20"/>
        <item x="59"/>
        <item x="58"/>
        <item x="56"/>
        <item x="50"/>
        <item x="8"/>
        <item x="17"/>
        <item x="64"/>
        <item x="57"/>
        <item x="30"/>
        <item x="2"/>
        <item x="16"/>
        <item x="3"/>
        <item x="49"/>
        <item x="62"/>
        <item x="10"/>
        <item x="23"/>
        <item x="28"/>
        <item x="27"/>
        <item x="26"/>
        <item x="61"/>
        <item x="21"/>
        <item x="11"/>
        <item x="12"/>
        <item x="15"/>
        <item x="13"/>
        <item x="14"/>
        <item x="9"/>
        <item x="24"/>
        <item x="4"/>
        <item x="5"/>
        <item x="22"/>
        <item x="6"/>
        <item x="25"/>
        <item t="default"/>
      </items>
    </pivotField>
    <pivotField compact="0" showAll="0"/>
    <pivotField compact="0" showAll="0"/>
    <pivotField compact="0" showAll="0"/>
    <pivotField compact="0" showAll="0"/>
    <pivotField compact="0" showAll="0"/>
    <pivotField compact="0" numFmtId="168" showAll="0">
      <items count="108">
        <item x="77"/>
        <item x="105"/>
        <item x="76"/>
        <item x="31"/>
        <item x="3"/>
        <item x="5"/>
        <item x="32"/>
        <item x="98"/>
        <item x="99"/>
        <item x="2"/>
        <item x="106"/>
        <item x="4"/>
        <item x="75"/>
        <item x="30"/>
        <item x="41"/>
        <item x="40"/>
        <item x="73"/>
        <item x="59"/>
        <item x="53"/>
        <item x="94"/>
        <item x="39"/>
        <item x="89"/>
        <item x="13"/>
        <item x="74"/>
        <item x="64"/>
        <item x="15"/>
        <item x="46"/>
        <item x="14"/>
        <item x="104"/>
        <item x="60"/>
        <item x="11"/>
        <item x="70"/>
        <item x="100"/>
        <item x="97"/>
        <item x="63"/>
        <item x="18"/>
        <item x="95"/>
        <item x="1"/>
        <item x="49"/>
        <item x="72"/>
        <item x="25"/>
        <item x="69"/>
        <item x="29"/>
        <item x="12"/>
        <item x="48"/>
        <item x="47"/>
        <item x="52"/>
        <item x="8"/>
        <item x="96"/>
        <item x="92"/>
        <item x="86"/>
        <item x="55"/>
        <item x="79"/>
        <item x="65"/>
        <item x="51"/>
        <item x="90"/>
        <item x="81"/>
        <item x="45"/>
        <item x="62"/>
        <item x="50"/>
        <item x="82"/>
        <item x="44"/>
        <item x="17"/>
        <item x="68"/>
        <item x="24"/>
        <item x="7"/>
        <item x="93"/>
        <item x="88"/>
        <item x="67"/>
        <item x="87"/>
        <item x="91"/>
        <item x="61"/>
        <item x="80"/>
        <item x="19"/>
        <item x="33"/>
        <item x="56"/>
        <item x="38"/>
        <item x="66"/>
        <item x="71"/>
        <item x="23"/>
        <item x="103"/>
        <item x="83"/>
        <item x="27"/>
        <item x="21"/>
        <item x="85"/>
        <item x="54"/>
        <item x="28"/>
        <item x="22"/>
        <item x="37"/>
        <item x="101"/>
        <item x="58"/>
        <item x="42"/>
        <item x="6"/>
        <item x="84"/>
        <item x="102"/>
        <item x="36"/>
        <item x="10"/>
        <item x="57"/>
        <item x="20"/>
        <item x="78"/>
        <item x="26"/>
        <item x="35"/>
        <item x="0"/>
        <item x="9"/>
        <item x="34"/>
        <item x="43"/>
        <item x="16"/>
        <item t="default"/>
      </items>
    </pivotField>
    <pivotField compact="0" showAll="0"/>
  </pivotFields>
  <rowFields count="1">
    <field x="2"/>
  </rowFields>
  <rowItems count="10">
    <i>
      <x/>
    </i>
    <i>
      <x v="1"/>
    </i>
    <i>
      <x v="2"/>
    </i>
    <i>
      <x v="3"/>
    </i>
    <i>
      <x v="4"/>
    </i>
    <i>
      <x v="5"/>
    </i>
    <i>
      <x v="6"/>
    </i>
    <i>
      <x v="7"/>
    </i>
    <i>
      <x v="8"/>
    </i>
    <i t="grand">
      <x/>
    </i>
  </rowItems>
  <colFields count="1">
    <field x="0"/>
  </colFields>
  <colItems count="3">
    <i>
      <x v="11"/>
    </i>
    <i>
      <x v="10"/>
    </i>
    <i t="grand">
      <x/>
    </i>
  </colItems>
  <dataFields count="1">
    <dataField name="Average of Actual_Yield (YA)" fld="3" subtotal="average" baseField="0" baseItem="0"/>
  </dataFields>
  <chartFormats count="2">
    <chartFormat chart="0" format="0" series="1">
      <pivotArea type="data" outline="0" fieldPosition="0">
        <references count="2">
          <reference field="4294967294" count="1" selected="0">
            <x v="0"/>
          </reference>
          <reference field="0" count="1" selected="0">
            <x v="11"/>
          </reference>
        </references>
      </pivotArea>
    </chartFormat>
    <chartFormat chart="0" format="1" series="1">
      <pivotArea type="data" outline="0" fieldPosition="0">
        <references count="2">
          <reference field="4294967294" count="1" selected="0">
            <x v="0"/>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1" cacheId="0" applyNumberFormats="0" applyBorderFormats="0" applyFontFormats="0" applyPatternFormats="0" applyAlignmentFormats="0" applyWidthHeightFormats="1" dataCaption="Values" updatedVersion="5" minRefreshableVersion="3" useAutoFormatting="1" createdVersion="8" indent="0" compact="0" outline="1" outlineData="1" compactData="0" multipleFieldFilters="0">
  <location ref="A3:K17" firstHeaderRow="1" firstDataRow="2" firstDataCol="1"/>
  <pivotFields count="11">
    <pivotField axis="axisRow" compact="0" showAll="0">
      <items count="13">
        <item x="0"/>
        <item x="1"/>
        <item x="2"/>
        <item x="3"/>
        <item x="4"/>
        <item x="5"/>
        <item x="6"/>
        <item x="7"/>
        <item x="8"/>
        <item x="9"/>
        <item x="10"/>
        <item x="11"/>
        <item t="default"/>
      </items>
    </pivotField>
    <pivotField compact="0" showAll="0"/>
    <pivotField axis="axisCol" compact="0" showAll="0">
      <items count="10">
        <item x="0"/>
        <item x="1"/>
        <item x="2"/>
        <item x="3"/>
        <item x="4"/>
        <item x="5"/>
        <item x="6"/>
        <item x="7"/>
        <item x="8"/>
        <item t="default"/>
      </items>
    </pivotField>
    <pivotField dataField="1" compact="0" numFmtId="2" showAll="0">
      <items count="66">
        <item x="38"/>
        <item x="39"/>
        <item x="40"/>
        <item x="46"/>
        <item x="41"/>
        <item x="42"/>
        <item x="44"/>
        <item x="43"/>
        <item x="45"/>
        <item x="47"/>
        <item x="48"/>
        <item x="35"/>
        <item x="36"/>
        <item x="37"/>
        <item x="51"/>
        <item x="1"/>
        <item x="52"/>
        <item x="0"/>
        <item x="53"/>
        <item x="34"/>
        <item x="29"/>
        <item x="60"/>
        <item x="19"/>
        <item x="31"/>
        <item x="55"/>
        <item x="32"/>
        <item x="18"/>
        <item x="7"/>
        <item x="33"/>
        <item x="63"/>
        <item x="54"/>
        <item x="20"/>
        <item x="59"/>
        <item x="58"/>
        <item x="56"/>
        <item x="50"/>
        <item x="8"/>
        <item x="17"/>
        <item x="64"/>
        <item x="57"/>
        <item x="30"/>
        <item x="2"/>
        <item x="16"/>
        <item x="3"/>
        <item x="49"/>
        <item x="62"/>
        <item x="10"/>
        <item x="23"/>
        <item x="28"/>
        <item x="27"/>
        <item x="26"/>
        <item x="61"/>
        <item x="21"/>
        <item x="11"/>
        <item x="12"/>
        <item x="15"/>
        <item x="13"/>
        <item x="14"/>
        <item x="9"/>
        <item x="24"/>
        <item x="4"/>
        <item x="5"/>
        <item x="22"/>
        <item x="6"/>
        <item x="25"/>
        <item t="default"/>
      </items>
    </pivotField>
    <pivotField compact="0" showAll="0"/>
    <pivotField compact="0" showAll="0"/>
    <pivotField compact="0" showAll="0"/>
    <pivotField compact="0" showAll="0"/>
    <pivotField compact="0" showAll="0"/>
    <pivotField compact="0" numFmtId="168" showAll="0"/>
    <pivotField compact="0" numFmtId="168" showAll="0"/>
  </pivotFields>
  <rowFields count="1">
    <field x="0"/>
  </rowFields>
  <rowItems count="13">
    <i>
      <x/>
    </i>
    <i>
      <x v="1"/>
    </i>
    <i>
      <x v="2"/>
    </i>
    <i>
      <x v="3"/>
    </i>
    <i>
      <x v="4"/>
    </i>
    <i>
      <x v="5"/>
    </i>
    <i>
      <x v="6"/>
    </i>
    <i>
      <x v="7"/>
    </i>
    <i>
      <x v="8"/>
    </i>
    <i>
      <x v="9"/>
    </i>
    <i>
      <x v="10"/>
    </i>
    <i>
      <x v="11"/>
    </i>
    <i t="grand">
      <x/>
    </i>
  </rowItems>
  <colFields count="1">
    <field x="2"/>
  </colFields>
  <colItems count="10">
    <i>
      <x/>
    </i>
    <i>
      <x v="1"/>
    </i>
    <i>
      <x v="2"/>
    </i>
    <i>
      <x v="3"/>
    </i>
    <i>
      <x v="4"/>
    </i>
    <i>
      <x v="5"/>
    </i>
    <i>
      <x v="6"/>
    </i>
    <i>
      <x v="7"/>
    </i>
    <i>
      <x v="8"/>
    </i>
    <i t="grand">
      <x/>
    </i>
  </colItems>
  <dataFields count="1">
    <dataField name="Average of Actual_Yield (YA)" fld="3" subtotal="average" baseField="0" baseItem="0"/>
  </dataFields>
  <formats count="61">
    <format dxfId="108">
      <pivotArea field="0" type="button" dataOnly="0" labelOnly="1" outline="0" fieldPosition="0"/>
    </format>
    <format dxfId="107">
      <pivotArea dataOnly="0" labelOnly="1" fieldPosition="0">
        <references count="1">
          <reference field="2" count="1">
            <x v="0"/>
          </reference>
        </references>
      </pivotArea>
    </format>
    <format dxfId="106">
      <pivotArea dataOnly="0" labelOnly="1" fieldPosition="0">
        <references count="1">
          <reference field="2" count="1">
            <x v="1"/>
          </reference>
        </references>
      </pivotArea>
    </format>
    <format dxfId="105">
      <pivotArea dataOnly="0" labelOnly="1" fieldPosition="0">
        <references count="1">
          <reference field="2" count="1">
            <x v="2"/>
          </reference>
        </references>
      </pivotArea>
    </format>
    <format dxfId="104">
      <pivotArea dataOnly="0" labelOnly="1" fieldPosition="0">
        <references count="1">
          <reference field="2" count="1">
            <x v="3"/>
          </reference>
        </references>
      </pivotArea>
    </format>
    <format dxfId="103">
      <pivotArea dataOnly="0" labelOnly="1" fieldPosition="0">
        <references count="1">
          <reference field="2" count="1">
            <x v="4"/>
          </reference>
        </references>
      </pivotArea>
    </format>
    <format dxfId="102">
      <pivotArea dataOnly="0" labelOnly="1" fieldPosition="0">
        <references count="1">
          <reference field="2" count="1">
            <x v="5"/>
          </reference>
        </references>
      </pivotArea>
    </format>
    <format dxfId="101">
      <pivotArea dataOnly="0" labelOnly="1" fieldPosition="0">
        <references count="1">
          <reference field="2" count="1">
            <x v="6"/>
          </reference>
        </references>
      </pivotArea>
    </format>
    <format dxfId="100">
      <pivotArea dataOnly="0" labelOnly="1" fieldPosition="0">
        <references count="1">
          <reference field="2" count="1">
            <x v="7"/>
          </reference>
        </references>
      </pivotArea>
    </format>
    <format dxfId="99">
      <pivotArea dataOnly="0" labelOnly="1" fieldPosition="0">
        <references count="1">
          <reference field="2" count="1">
            <x v="8"/>
          </reference>
        </references>
      </pivotArea>
    </format>
    <format dxfId="98">
      <pivotArea dataOnly="0" labelOnly="1" grandCol="1" fieldPosition="0"/>
    </format>
    <format dxfId="97">
      <pivotArea dataOnly="0" labelOnly="1" grandRow="1" fieldPosition="0"/>
    </format>
    <format dxfId="96">
      <pivotArea grandRow="1" collapsedLevelsAreSubtotals="1" fieldPosition="0"/>
    </format>
    <format dxfId="95">
      <pivotArea dataOnly="0" labelOnly="1" fieldPosition="0">
        <references count="1">
          <reference field="0" count="1">
            <x v="0"/>
          </reference>
        </references>
      </pivotArea>
    </format>
    <format dxfId="94">
      <pivotArea dataOnly="0" labelOnly="1" fieldPosition="0">
        <references count="1">
          <reference field="0" count="1">
            <x v="1"/>
          </reference>
        </references>
      </pivotArea>
    </format>
    <format dxfId="93">
      <pivotArea dataOnly="0" labelOnly="1" fieldPosition="0">
        <references count="1">
          <reference field="0" count="1">
            <x v="2"/>
          </reference>
        </references>
      </pivotArea>
    </format>
    <format dxfId="92">
      <pivotArea dataOnly="0" labelOnly="1" fieldPosition="0">
        <references count="1">
          <reference field="0" count="1">
            <x v="3"/>
          </reference>
        </references>
      </pivotArea>
    </format>
    <format dxfId="91">
      <pivotArea dataOnly="0" labelOnly="1" fieldPosition="0">
        <references count="1">
          <reference field="0" count="1">
            <x v="4"/>
          </reference>
        </references>
      </pivotArea>
    </format>
    <format dxfId="90">
      <pivotArea dataOnly="0" labelOnly="1" fieldPosition="0">
        <references count="1">
          <reference field="0" count="1">
            <x v="5"/>
          </reference>
        </references>
      </pivotArea>
    </format>
    <format dxfId="89">
      <pivotArea dataOnly="0" labelOnly="1" fieldPosition="0">
        <references count="1">
          <reference field="0" count="1">
            <x v="6"/>
          </reference>
        </references>
      </pivotArea>
    </format>
    <format dxfId="88">
      <pivotArea dataOnly="0" labelOnly="1" fieldPosition="0">
        <references count="1">
          <reference field="0" count="1">
            <x v="7"/>
          </reference>
        </references>
      </pivotArea>
    </format>
    <format dxfId="87">
      <pivotArea dataOnly="0" labelOnly="1" fieldPosition="0">
        <references count="1">
          <reference field="0" count="1">
            <x v="8"/>
          </reference>
        </references>
      </pivotArea>
    </format>
    <format dxfId="86">
      <pivotArea dataOnly="0" labelOnly="1" fieldPosition="0">
        <references count="1">
          <reference field="0" count="1">
            <x v="9"/>
          </reference>
        </references>
      </pivotArea>
    </format>
    <format dxfId="85">
      <pivotArea dataOnly="0" labelOnly="1" fieldPosition="0">
        <references count="1">
          <reference field="0" count="1">
            <x v="10"/>
          </reference>
        </references>
      </pivotArea>
    </format>
    <format dxfId="84">
      <pivotArea dataOnly="0" labelOnly="1" fieldPosition="0">
        <references count="1">
          <reference field="0" count="1">
            <x v="11"/>
          </reference>
        </references>
      </pivotArea>
    </format>
    <format dxfId="83">
      <pivotArea collapsedLevelsAreSubtotals="1" fieldPosition="0">
        <references count="1">
          <reference field="0" count="1" selected="0">
            <x v="0"/>
          </reference>
        </references>
      </pivotArea>
    </format>
    <format dxfId="82">
      <pivotArea collapsedLevelsAreSubtotals="1" fieldPosition="0">
        <references count="1">
          <reference field="0" count="1" selected="0">
            <x v="1"/>
          </reference>
        </references>
      </pivotArea>
    </format>
    <format dxfId="81">
      <pivotArea collapsedLevelsAreSubtotals="1" fieldPosition="0">
        <references count="1">
          <reference field="0" count="1" selected="0">
            <x v="2"/>
          </reference>
        </references>
      </pivotArea>
    </format>
    <format dxfId="80">
      <pivotArea collapsedLevelsAreSubtotals="1" fieldPosition="0">
        <references count="1">
          <reference field="0" count="1" selected="0">
            <x v="3"/>
          </reference>
        </references>
      </pivotArea>
    </format>
    <format dxfId="79">
      <pivotArea collapsedLevelsAreSubtotals="1" fieldPosition="0">
        <references count="1">
          <reference field="0" count="1" selected="0">
            <x v="4"/>
          </reference>
        </references>
      </pivotArea>
    </format>
    <format dxfId="78">
      <pivotArea collapsedLevelsAreSubtotals="1" fieldPosition="0">
        <references count="1">
          <reference field="0" count="1" selected="0">
            <x v="5"/>
          </reference>
        </references>
      </pivotArea>
    </format>
    <format dxfId="77">
      <pivotArea collapsedLevelsAreSubtotals="1" fieldPosition="0">
        <references count="1">
          <reference field="0" count="1" selected="0">
            <x v="6"/>
          </reference>
        </references>
      </pivotArea>
    </format>
    <format dxfId="76">
      <pivotArea collapsedLevelsAreSubtotals="1" fieldPosition="0">
        <references count="1">
          <reference field="0" count="1" selected="0">
            <x v="7"/>
          </reference>
        </references>
      </pivotArea>
    </format>
    <format dxfId="75">
      <pivotArea collapsedLevelsAreSubtotals="1" fieldPosition="0">
        <references count="1">
          <reference field="0" count="1" selected="0">
            <x v="8"/>
          </reference>
        </references>
      </pivotArea>
    </format>
    <format dxfId="74">
      <pivotArea collapsedLevelsAreSubtotals="1" fieldPosition="0">
        <references count="1">
          <reference field="0" count="1" selected="0">
            <x v="9"/>
          </reference>
        </references>
      </pivotArea>
    </format>
    <format dxfId="73">
      <pivotArea collapsedLevelsAreSubtotals="1" fieldPosition="0">
        <references count="1">
          <reference field="0" count="1" selected="0">
            <x v="10"/>
          </reference>
        </references>
      </pivotArea>
    </format>
    <format dxfId="72">
      <pivotArea collapsedLevelsAreSubtotals="1" fieldPosition="0">
        <references count="1">
          <reference field="0" count="1" selected="0">
            <x v="11"/>
          </reference>
        </references>
      </pivotArea>
    </format>
    <format>
      <pivotArea dataOnly="0" labelOnly="1" fieldPosition="0">
        <references count="1">
          <reference field="0" count="1">
            <x v="0"/>
          </reference>
        </references>
      </pivotArea>
    </format>
    <format>
      <pivotArea dataOnly="0" labelOnly="1" fieldPosition="0">
        <references count="1">
          <reference field="0" count="1">
            <x v="1"/>
          </reference>
        </references>
      </pivotArea>
    </format>
    <format>
      <pivotArea dataOnly="0" labelOnly="1" fieldPosition="0">
        <references count="1">
          <reference field="0" count="1">
            <x v="2"/>
          </reference>
        </references>
      </pivotArea>
    </format>
    <format>
      <pivotArea dataOnly="0" labelOnly="1" fieldPosition="0">
        <references count="1">
          <reference field="0" count="1">
            <x v="3"/>
          </reference>
        </references>
      </pivotArea>
    </format>
    <format>
      <pivotArea dataOnly="0" labelOnly="1" fieldPosition="0">
        <references count="1">
          <reference field="0" count="1">
            <x v="4"/>
          </reference>
        </references>
      </pivotArea>
    </format>
    <format>
      <pivotArea dataOnly="0" labelOnly="1" fieldPosition="0">
        <references count="1">
          <reference field="0" count="1">
            <x v="5"/>
          </reference>
        </references>
      </pivotArea>
    </format>
    <format>
      <pivotArea dataOnly="0" labelOnly="1" fieldPosition="0">
        <references count="1">
          <reference field="0" count="1">
            <x v="6"/>
          </reference>
        </references>
      </pivotArea>
    </format>
    <format>
      <pivotArea dataOnly="0" labelOnly="1" fieldPosition="0">
        <references count="1">
          <reference field="0" count="1">
            <x v="7"/>
          </reference>
        </references>
      </pivotArea>
    </format>
    <format>
      <pivotArea dataOnly="0" labelOnly="1" fieldPosition="0">
        <references count="1">
          <reference field="0" count="1">
            <x v="8"/>
          </reference>
        </references>
      </pivotArea>
    </format>
    <format>
      <pivotArea dataOnly="0" labelOnly="1" fieldPosition="0">
        <references count="1">
          <reference field="0" count="1">
            <x v="9"/>
          </reference>
        </references>
      </pivotArea>
    </format>
    <format>
      <pivotArea dataOnly="0" labelOnly="1" fieldPosition="0">
        <references count="1">
          <reference field="0" count="1">
            <x v="10"/>
          </reference>
        </references>
      </pivotArea>
    </format>
    <format>
      <pivotArea dataOnly="0" labelOnly="1" fieldPosition="0">
        <references count="1">
          <reference field="0" count="1">
            <x v="11"/>
          </reference>
        </references>
      </pivotArea>
    </format>
    <format>
      <pivotArea collapsedLevelsAreSubtotals="1" fieldPosition="0">
        <references count="1">
          <reference field="0" count="1" selected="0">
            <x v="0"/>
          </reference>
        </references>
      </pivotArea>
    </format>
    <format>
      <pivotArea collapsedLevelsAreSubtotals="1" fieldPosition="0">
        <references count="1">
          <reference field="0" count="1" selected="0">
            <x v="1"/>
          </reference>
        </references>
      </pivotArea>
    </format>
    <format>
      <pivotArea collapsedLevelsAreSubtotals="1" fieldPosition="0">
        <references count="1">
          <reference field="0" count="1" selected="0">
            <x v="2"/>
          </reference>
        </references>
      </pivotArea>
    </format>
    <format>
      <pivotArea collapsedLevelsAreSubtotals="1" fieldPosition="0">
        <references count="1">
          <reference field="0" count="1" selected="0">
            <x v="3"/>
          </reference>
        </references>
      </pivotArea>
    </format>
    <format>
      <pivotArea collapsedLevelsAreSubtotals="1" fieldPosition="0">
        <references count="1">
          <reference field="0" count="1" selected="0">
            <x v="4"/>
          </reference>
        </references>
      </pivotArea>
    </format>
    <format>
      <pivotArea collapsedLevelsAreSubtotals="1" fieldPosition="0">
        <references count="1">
          <reference field="0" count="1" selected="0">
            <x v="5"/>
          </reference>
        </references>
      </pivotArea>
    </format>
    <format>
      <pivotArea collapsedLevelsAreSubtotals="1" fieldPosition="0">
        <references count="1">
          <reference field="0" count="1" selected="0">
            <x v="6"/>
          </reference>
        </references>
      </pivotArea>
    </format>
    <format>
      <pivotArea collapsedLevelsAreSubtotals="1" fieldPosition="0">
        <references count="1">
          <reference field="0" count="1" selected="0">
            <x v="7"/>
          </reference>
        </references>
      </pivotArea>
    </format>
    <format>
      <pivotArea collapsedLevelsAreSubtotals="1" fieldPosition="0">
        <references count="1">
          <reference field="0" count="1" selected="0">
            <x v="8"/>
          </reference>
        </references>
      </pivotArea>
    </format>
    <format>
      <pivotArea collapsedLevelsAreSubtotals="1" fieldPosition="0">
        <references count="1">
          <reference field="0" count="1" selected="0">
            <x v="9"/>
          </reference>
        </references>
      </pivotArea>
    </format>
    <format>
      <pivotArea collapsedLevelsAreSubtotals="1" fieldPosition="0">
        <references count="1">
          <reference field="0" count="1" selected="0">
            <x v="10"/>
          </reference>
        </references>
      </pivotArea>
    </format>
    <format>
      <pivotArea collapsedLevelsAreSubtotals="1" fieldPosition="0">
        <references count="1">
          <reference field="0" count="1" selected="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6"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N12" firstHeaderRow="1" firstDataRow="2" firstDataCol="1"/>
  <pivotFields count="11">
    <pivotField axis="axisCol" showAll="0">
      <items count="13">
        <item x="0"/>
        <item x="1"/>
        <item x="2"/>
        <item x="3"/>
        <item x="4"/>
        <item x="5"/>
        <item x="6"/>
        <item x="7"/>
        <item x="8"/>
        <item x="9"/>
        <item x="10"/>
        <item x="11"/>
        <item t="default"/>
      </items>
    </pivotField>
    <pivotField showAll="0"/>
    <pivotField axis="axisRow" showAll="0">
      <items count="10">
        <item x="0"/>
        <item x="1"/>
        <item x="2"/>
        <item x="3"/>
        <item x="4"/>
        <item x="5"/>
        <item x="6"/>
        <item x="7"/>
        <item x="8"/>
        <item t="default"/>
      </items>
    </pivotField>
    <pivotField dataField="1" numFmtId="2" showAll="0">
      <items count="66">
        <item x="38"/>
        <item x="39"/>
        <item x="40"/>
        <item x="46"/>
        <item x="41"/>
        <item x="42"/>
        <item x="44"/>
        <item x="43"/>
        <item x="45"/>
        <item x="47"/>
        <item x="48"/>
        <item x="35"/>
        <item x="36"/>
        <item x="37"/>
        <item x="51"/>
        <item x="1"/>
        <item x="52"/>
        <item x="0"/>
        <item x="53"/>
        <item x="34"/>
        <item x="29"/>
        <item x="60"/>
        <item x="19"/>
        <item x="31"/>
        <item x="55"/>
        <item x="32"/>
        <item x="18"/>
        <item x="7"/>
        <item x="33"/>
        <item x="63"/>
        <item x="54"/>
        <item x="20"/>
        <item x="59"/>
        <item x="58"/>
        <item x="56"/>
        <item x="50"/>
        <item x="8"/>
        <item x="17"/>
        <item x="64"/>
        <item x="57"/>
        <item x="30"/>
        <item x="2"/>
        <item x="16"/>
        <item x="3"/>
        <item x="49"/>
        <item x="62"/>
        <item x="10"/>
        <item x="23"/>
        <item x="28"/>
        <item x="27"/>
        <item x="26"/>
        <item x="61"/>
        <item x="21"/>
        <item x="11"/>
        <item x="12"/>
        <item x="15"/>
        <item x="13"/>
        <item x="14"/>
        <item x="9"/>
        <item x="24"/>
        <item x="4"/>
        <item x="5"/>
        <item x="22"/>
        <item x="6"/>
        <item x="25"/>
        <item t="default"/>
      </items>
    </pivotField>
    <pivotField showAll="0"/>
    <pivotField showAll="0"/>
    <pivotField showAll="0"/>
    <pivotField showAll="0"/>
    <pivotField showAll="0"/>
    <pivotField numFmtId="168" showAll="0"/>
    <pivotField numFmtId="168" showAll="0"/>
  </pivotFields>
  <rowFields count="1">
    <field x="2"/>
  </rowFields>
  <rowItems count="10">
    <i>
      <x/>
    </i>
    <i>
      <x v="1"/>
    </i>
    <i>
      <x v="2"/>
    </i>
    <i>
      <x v="3"/>
    </i>
    <i>
      <x v="4"/>
    </i>
    <i>
      <x v="5"/>
    </i>
    <i>
      <x v="6"/>
    </i>
    <i>
      <x v="7"/>
    </i>
    <i>
      <x v="8"/>
    </i>
    <i t="grand">
      <x/>
    </i>
  </rowItems>
  <colFields count="1">
    <field x="0"/>
  </colFields>
  <colItems count="13">
    <i>
      <x/>
    </i>
    <i>
      <x v="1"/>
    </i>
    <i>
      <x v="2"/>
    </i>
    <i>
      <x v="3"/>
    </i>
    <i>
      <x v="4"/>
    </i>
    <i>
      <x v="5"/>
    </i>
    <i>
      <x v="6"/>
    </i>
    <i>
      <x v="7"/>
    </i>
    <i>
      <x v="8"/>
    </i>
    <i>
      <x v="9"/>
    </i>
    <i>
      <x v="10"/>
    </i>
    <i>
      <x v="11"/>
    </i>
    <i t="grand">
      <x/>
    </i>
  </colItems>
  <dataFields count="1">
    <dataField name="Average of Actual_Yield (YA)" fld="3"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B00-000003000000}" name="PivotTable1" cacheId="0" applyNumberFormats="0" applyBorderFormats="0" applyFontFormats="0" applyPatternFormats="0" applyAlignmentFormats="0" applyWidthHeightFormats="1" dataCaption="Values" updatedVersion="5" minRefreshableVersion="3" useAutoFormatting="1" createdVersion="8" indent="0" compact="0" outline="1" outlineData="1" compactData="0" multipleFieldFilters="0">
  <location ref="A3:K17" firstHeaderRow="1" firstDataRow="2" firstDataCol="1"/>
  <pivotFields count="11">
    <pivotField axis="axisRow" compact="0" multipleItemSelectionAllowed="1" showAll="0">
      <items count="13">
        <item x="0"/>
        <item x="1"/>
        <item x="2"/>
        <item x="3"/>
        <item x="4"/>
        <item x="5"/>
        <item x="6"/>
        <item x="7"/>
        <item x="8"/>
        <item x="9"/>
        <item x="10"/>
        <item x="11"/>
        <item t="default"/>
      </items>
    </pivotField>
    <pivotField compact="0" showAll="0"/>
    <pivotField axis="axisCol" compact="0" showAll="0">
      <items count="10">
        <item x="0"/>
        <item x="1"/>
        <item x="2"/>
        <item x="3"/>
        <item x="4"/>
        <item x="5"/>
        <item x="6"/>
        <item x="7"/>
        <item x="8"/>
        <item t="default"/>
      </items>
    </pivotField>
    <pivotField compact="0" numFmtId="2" showAll="0">
      <items count="66">
        <item x="38"/>
        <item x="39"/>
        <item x="40"/>
        <item x="46"/>
        <item x="41"/>
        <item x="42"/>
        <item x="44"/>
        <item x="43"/>
        <item x="45"/>
        <item x="47"/>
        <item x="48"/>
        <item x="35"/>
        <item x="36"/>
        <item x="37"/>
        <item x="51"/>
        <item x="1"/>
        <item x="52"/>
        <item x="0"/>
        <item x="53"/>
        <item x="34"/>
        <item x="29"/>
        <item x="60"/>
        <item x="19"/>
        <item x="31"/>
        <item x="55"/>
        <item x="32"/>
        <item x="18"/>
        <item x="7"/>
        <item x="33"/>
        <item x="63"/>
        <item x="54"/>
        <item x="20"/>
        <item x="59"/>
        <item x="58"/>
        <item x="56"/>
        <item x="50"/>
        <item x="8"/>
        <item x="17"/>
        <item x="64"/>
        <item x="57"/>
        <item x="30"/>
        <item x="2"/>
        <item x="16"/>
        <item x="3"/>
        <item x="49"/>
        <item x="62"/>
        <item x="10"/>
        <item x="23"/>
        <item x="28"/>
        <item x="27"/>
        <item x="26"/>
        <item x="61"/>
        <item x="21"/>
        <item x="11"/>
        <item x="12"/>
        <item x="15"/>
        <item x="13"/>
        <item x="14"/>
        <item x="9"/>
        <item x="24"/>
        <item x="4"/>
        <item x="5"/>
        <item x="22"/>
        <item x="6"/>
        <item x="25"/>
        <item t="default"/>
      </items>
    </pivotField>
    <pivotField compact="0" showAll="0"/>
    <pivotField compact="0" showAll="0"/>
    <pivotField compact="0" showAll="0"/>
    <pivotField compact="0" showAll="0"/>
    <pivotField compact="0" showAll="0"/>
    <pivotField dataField="1" compact="0" numFmtId="168" showAll="0">
      <items count="108">
        <item x="77"/>
        <item x="105"/>
        <item x="76"/>
        <item x="31"/>
        <item x="3"/>
        <item x="5"/>
        <item x="32"/>
        <item x="98"/>
        <item x="99"/>
        <item x="2"/>
        <item x="106"/>
        <item x="4"/>
        <item x="75"/>
        <item x="30"/>
        <item x="41"/>
        <item x="40"/>
        <item x="73"/>
        <item x="59"/>
        <item x="53"/>
        <item x="94"/>
        <item x="39"/>
        <item x="89"/>
        <item x="13"/>
        <item x="74"/>
        <item x="64"/>
        <item x="15"/>
        <item x="46"/>
        <item x="14"/>
        <item x="104"/>
        <item x="60"/>
        <item x="11"/>
        <item x="70"/>
        <item x="100"/>
        <item x="97"/>
        <item x="63"/>
        <item x="18"/>
        <item x="95"/>
        <item x="1"/>
        <item x="49"/>
        <item x="72"/>
        <item x="25"/>
        <item x="69"/>
        <item x="29"/>
        <item x="12"/>
        <item x="48"/>
        <item x="47"/>
        <item x="52"/>
        <item x="8"/>
        <item x="96"/>
        <item x="92"/>
        <item x="86"/>
        <item x="55"/>
        <item x="79"/>
        <item x="65"/>
        <item x="51"/>
        <item x="90"/>
        <item x="81"/>
        <item x="45"/>
        <item x="62"/>
        <item x="50"/>
        <item x="82"/>
        <item x="44"/>
        <item x="17"/>
        <item x="68"/>
        <item x="24"/>
        <item x="7"/>
        <item x="93"/>
        <item x="88"/>
        <item x="67"/>
        <item x="87"/>
        <item x="91"/>
        <item x="61"/>
        <item x="80"/>
        <item x="19"/>
        <item x="33"/>
        <item x="56"/>
        <item x="38"/>
        <item x="66"/>
        <item x="71"/>
        <item x="23"/>
        <item x="103"/>
        <item x="83"/>
        <item x="27"/>
        <item x="21"/>
        <item x="85"/>
        <item x="54"/>
        <item x="28"/>
        <item x="22"/>
        <item x="37"/>
        <item x="101"/>
        <item x="58"/>
        <item x="42"/>
        <item x="6"/>
        <item x="84"/>
        <item x="102"/>
        <item x="36"/>
        <item x="10"/>
        <item x="57"/>
        <item x="20"/>
        <item x="78"/>
        <item x="26"/>
        <item x="35"/>
        <item x="0"/>
        <item x="9"/>
        <item x="34"/>
        <item x="43"/>
        <item x="16"/>
        <item t="default"/>
      </items>
    </pivotField>
    <pivotField compact="0" showAll="0"/>
  </pivotFields>
  <rowFields count="1">
    <field x="0"/>
  </rowFields>
  <rowItems count="13">
    <i>
      <x/>
    </i>
    <i>
      <x v="1"/>
    </i>
    <i>
      <x v="2"/>
    </i>
    <i>
      <x v="3"/>
    </i>
    <i>
      <x v="4"/>
    </i>
    <i>
      <x v="5"/>
    </i>
    <i>
      <x v="6"/>
    </i>
    <i>
      <x v="7"/>
    </i>
    <i>
      <x v="8"/>
    </i>
    <i>
      <x v="9"/>
    </i>
    <i>
      <x v="10"/>
    </i>
    <i>
      <x v="11"/>
    </i>
    <i t="grand">
      <x/>
    </i>
  </rowItems>
  <colFields count="1">
    <field x="2"/>
  </colFields>
  <colItems count="10">
    <i>
      <x/>
    </i>
    <i>
      <x v="1"/>
    </i>
    <i>
      <x v="2"/>
    </i>
    <i>
      <x v="3"/>
    </i>
    <i>
      <x v="4"/>
    </i>
    <i>
      <x v="5"/>
    </i>
    <i>
      <x v="6"/>
    </i>
    <i>
      <x v="7"/>
    </i>
    <i>
      <x v="8"/>
    </i>
    <i t="grand">
      <x/>
    </i>
  </colItems>
  <dataFields count="1">
    <dataField name="Average of Stress_Index" fld="9" subtotal="average" baseField="0" baseItem="0"/>
  </dataFields>
  <formats count="83">
    <format dxfId="66">
      <pivotArea collapsedLevelsAreSubtotals="1" fieldPosition="0"/>
    </format>
    <format dxfId="65">
      <pivotArea collapsedLevelsAreSubtotals="1" fieldPosition="0"/>
    </format>
    <format dxfId="64">
      <pivotArea collapsedLevelsAreSubtotals="1" fieldPosition="0"/>
    </format>
    <format dxfId="63">
      <pivotArea collapsedLevelsAreSubtotals="1" fieldPosition="0"/>
    </format>
    <format dxfId="62">
      <pivotArea collapsedLevelsAreSubtotals="1" fieldPosition="0"/>
    </format>
    <format dxfId="61">
      <pivotArea collapsedLevelsAreSubtotals="1" fieldPosition="0"/>
    </format>
    <format dxfId="60">
      <pivotArea collapsedLevelsAreSubtotals="1" fieldPosition="0"/>
    </format>
    <format dxfId="59">
      <pivotArea collapsedLevelsAreSubtotals="1" fieldPosition="0"/>
    </format>
    <format dxfId="58">
      <pivotArea collapsedLevelsAreSubtotals="1" fieldPosition="0"/>
    </format>
    <format dxfId="57">
      <pivotArea collapsedLevelsAreSubtotals="1" fieldPosition="0"/>
    </format>
    <format dxfId="56">
      <pivotArea field="0" type="button" dataOnly="0" labelOnly="1" outline="0" fieldPosition="0"/>
    </format>
    <format dxfId="55">
      <pivotArea dataOnly="0" labelOnly="1" fieldPosition="0">
        <references count="1">
          <reference field="2" count="1">
            <x v="0"/>
          </reference>
        </references>
      </pivotArea>
    </format>
    <format dxfId="54">
      <pivotArea dataOnly="0" labelOnly="1" fieldPosition="0">
        <references count="1">
          <reference field="2" count="1">
            <x v="1"/>
          </reference>
        </references>
      </pivotArea>
    </format>
    <format dxfId="53">
      <pivotArea dataOnly="0" labelOnly="1" fieldPosition="0">
        <references count="1">
          <reference field="2" count="1">
            <x v="2"/>
          </reference>
        </references>
      </pivotArea>
    </format>
    <format dxfId="52">
      <pivotArea dataOnly="0" labelOnly="1" fieldPosition="0">
        <references count="1">
          <reference field="2" count="1">
            <x v="3"/>
          </reference>
        </references>
      </pivotArea>
    </format>
    <format dxfId="51">
      <pivotArea dataOnly="0" labelOnly="1" fieldPosition="0">
        <references count="1">
          <reference field="2" count="1">
            <x v="4"/>
          </reference>
        </references>
      </pivotArea>
    </format>
    <format dxfId="50">
      <pivotArea dataOnly="0" labelOnly="1" fieldPosition="0">
        <references count="1">
          <reference field="2" count="1">
            <x v="5"/>
          </reference>
        </references>
      </pivotArea>
    </format>
    <format dxfId="49">
      <pivotArea dataOnly="0" labelOnly="1" fieldPosition="0">
        <references count="1">
          <reference field="2" count="1">
            <x v="6"/>
          </reference>
        </references>
      </pivotArea>
    </format>
    <format dxfId="48">
      <pivotArea dataOnly="0" labelOnly="1" fieldPosition="0">
        <references count="1">
          <reference field="2" count="1">
            <x v="7"/>
          </reference>
        </references>
      </pivotArea>
    </format>
    <format dxfId="47">
      <pivotArea dataOnly="0" labelOnly="1" fieldPosition="0">
        <references count="1">
          <reference field="2" count="1">
            <x v="8"/>
          </reference>
        </references>
      </pivotArea>
    </format>
    <format dxfId="46">
      <pivotArea dataOnly="0" labelOnly="1" grandCol="1" fieldPosition="0"/>
    </format>
    <format dxfId="45">
      <pivotArea dataOnly="0" labelOnly="1" grandRow="1" fieldPosition="0"/>
    </format>
    <format dxfId="44">
      <pivotArea grandRow="1" collapsedLevelsAreSubtotals="1" fieldPosition="0"/>
    </format>
    <format dxfId="43">
      <pivotArea dataOnly="0" labelOnly="1" fieldPosition="0">
        <references count="1">
          <reference field="0" count="1">
            <x v="0"/>
          </reference>
        </references>
      </pivotArea>
    </format>
    <format dxfId="42">
      <pivotArea dataOnly="0" labelOnly="1" fieldPosition="0">
        <references count="1">
          <reference field="0" count="1">
            <x v="1"/>
          </reference>
        </references>
      </pivotArea>
    </format>
    <format dxfId="41">
      <pivotArea dataOnly="0" labelOnly="1" fieldPosition="0">
        <references count="1">
          <reference field="0" count="1">
            <x v="2"/>
          </reference>
        </references>
      </pivotArea>
    </format>
    <format dxfId="40">
      <pivotArea dataOnly="0" labelOnly="1" fieldPosition="0">
        <references count="1">
          <reference field="0" count="1">
            <x v="3"/>
          </reference>
        </references>
      </pivotArea>
    </format>
    <format dxfId="39">
      <pivotArea dataOnly="0" labelOnly="1" fieldPosition="0">
        <references count="1">
          <reference field="0" count="1">
            <x v="4"/>
          </reference>
        </references>
      </pivotArea>
    </format>
    <format dxfId="38">
      <pivotArea dataOnly="0" labelOnly="1" fieldPosition="0">
        <references count="1">
          <reference field="0" count="1">
            <x v="5"/>
          </reference>
        </references>
      </pivotArea>
    </format>
    <format dxfId="37">
      <pivotArea dataOnly="0" labelOnly="1" fieldPosition="0">
        <references count="1">
          <reference field="0" count="1">
            <x v="6"/>
          </reference>
        </references>
      </pivotArea>
    </format>
    <format dxfId="36">
      <pivotArea dataOnly="0" labelOnly="1" fieldPosition="0">
        <references count="1">
          <reference field="0" count="1">
            <x v="7"/>
          </reference>
        </references>
      </pivotArea>
    </format>
    <format dxfId="35">
      <pivotArea dataOnly="0" labelOnly="1" fieldPosition="0">
        <references count="1">
          <reference field="0" count="1">
            <x v="8"/>
          </reference>
        </references>
      </pivotArea>
    </format>
    <format dxfId="34">
      <pivotArea dataOnly="0" labelOnly="1" fieldPosition="0">
        <references count="1">
          <reference field="0" count="1">
            <x v="9"/>
          </reference>
        </references>
      </pivotArea>
    </format>
    <format dxfId="33">
      <pivotArea dataOnly="0" labelOnly="1" fieldPosition="0">
        <references count="1">
          <reference field="0" count="1">
            <x v="10"/>
          </reference>
        </references>
      </pivotArea>
    </format>
    <format dxfId="32">
      <pivotArea dataOnly="0" labelOnly="1" fieldPosition="0">
        <references count="1">
          <reference field="0" count="1">
            <x v="11"/>
          </reference>
        </references>
      </pivotArea>
    </format>
    <format dxfId="31">
      <pivotArea collapsedLevelsAreSubtotals="1" fieldPosition="0">
        <references count="1">
          <reference field="0" count="1" selected="0">
            <x v="0"/>
          </reference>
        </references>
      </pivotArea>
    </format>
    <format dxfId="30">
      <pivotArea collapsedLevelsAreSubtotals="1" fieldPosition="0">
        <references count="1">
          <reference field="0" count="1" selected="0">
            <x v="1"/>
          </reference>
        </references>
      </pivotArea>
    </format>
    <format dxfId="29">
      <pivotArea collapsedLevelsAreSubtotals="1" fieldPosition="0">
        <references count="1">
          <reference field="0" count="1" selected="0">
            <x v="2"/>
          </reference>
        </references>
      </pivotArea>
    </format>
    <format dxfId="28">
      <pivotArea collapsedLevelsAreSubtotals="1" fieldPosition="0">
        <references count="1">
          <reference field="0" count="1" selected="0">
            <x v="3"/>
          </reference>
        </references>
      </pivotArea>
    </format>
    <format dxfId="27">
      <pivotArea collapsedLevelsAreSubtotals="1" fieldPosition="0">
        <references count="1">
          <reference field="0" count="1" selected="0">
            <x v="4"/>
          </reference>
        </references>
      </pivotArea>
    </format>
    <format dxfId="26">
      <pivotArea collapsedLevelsAreSubtotals="1" fieldPosition="0">
        <references count="1">
          <reference field="0" count="1" selected="0">
            <x v="5"/>
          </reference>
        </references>
      </pivotArea>
    </format>
    <format dxfId="25">
      <pivotArea collapsedLevelsAreSubtotals="1" fieldPosition="0">
        <references count="1">
          <reference field="0" count="1" selected="0">
            <x v="6"/>
          </reference>
        </references>
      </pivotArea>
    </format>
    <format dxfId="24">
      <pivotArea collapsedLevelsAreSubtotals="1" fieldPosition="0">
        <references count="1">
          <reference field="0" count="1" selected="0">
            <x v="7"/>
          </reference>
        </references>
      </pivotArea>
    </format>
    <format dxfId="23">
      <pivotArea collapsedLevelsAreSubtotals="1" fieldPosition="0">
        <references count="1">
          <reference field="0" count="1" selected="0">
            <x v="8"/>
          </reference>
        </references>
      </pivotArea>
    </format>
    <format dxfId="22">
      <pivotArea collapsedLevelsAreSubtotals="1" fieldPosition="0">
        <references count="1">
          <reference field="0" count="1" selected="0">
            <x v="9"/>
          </reference>
        </references>
      </pivotArea>
    </format>
    <format dxfId="21">
      <pivotArea collapsedLevelsAreSubtotals="1" fieldPosition="0">
        <references count="1">
          <reference field="0" count="1" selected="0">
            <x v="10"/>
          </reference>
        </references>
      </pivotArea>
    </format>
    <format dxfId="20">
      <pivotArea collapsedLevelsAreSubtotals="1" fieldPosition="0">
        <references count="1">
          <reference field="0" count="1" selected="0">
            <x v="11"/>
          </reference>
        </references>
      </pivotArea>
    </format>
    <format>
      <pivotArea dataOnly="0" labelOnly="1" fieldPosition="0">
        <references count="1">
          <reference field="0" count="1">
            <x v="0"/>
          </reference>
        </references>
      </pivotArea>
    </format>
    <format>
      <pivotArea dataOnly="0" labelOnly="1" fieldPosition="0">
        <references count="1">
          <reference field="0" count="1">
            <x v="1"/>
          </reference>
        </references>
      </pivotArea>
    </format>
    <format>
      <pivotArea dataOnly="0" labelOnly="1" fieldPosition="0">
        <references count="1">
          <reference field="0" count="1">
            <x v="2"/>
          </reference>
        </references>
      </pivotArea>
    </format>
    <format>
      <pivotArea dataOnly="0" labelOnly="1" fieldPosition="0">
        <references count="1">
          <reference field="0" count="1">
            <x v="3"/>
          </reference>
        </references>
      </pivotArea>
    </format>
    <format>
      <pivotArea dataOnly="0" labelOnly="1" fieldPosition="0">
        <references count="1">
          <reference field="0" count="1">
            <x v="4"/>
          </reference>
        </references>
      </pivotArea>
    </format>
    <format>
      <pivotArea dataOnly="0" labelOnly="1" fieldPosition="0">
        <references count="1">
          <reference field="0" count="1">
            <x v="5"/>
          </reference>
        </references>
      </pivotArea>
    </format>
    <format>
      <pivotArea dataOnly="0" labelOnly="1" fieldPosition="0">
        <references count="1">
          <reference field="0" count="1">
            <x v="6"/>
          </reference>
        </references>
      </pivotArea>
    </format>
    <format>
      <pivotArea dataOnly="0" labelOnly="1" fieldPosition="0">
        <references count="1">
          <reference field="0" count="1">
            <x v="7"/>
          </reference>
        </references>
      </pivotArea>
    </format>
    <format>
      <pivotArea dataOnly="0" labelOnly="1" fieldPosition="0">
        <references count="1">
          <reference field="0" count="1">
            <x v="8"/>
          </reference>
        </references>
      </pivotArea>
    </format>
    <format>
      <pivotArea dataOnly="0" labelOnly="1" fieldPosition="0">
        <references count="1">
          <reference field="0" count="1">
            <x v="9"/>
          </reference>
        </references>
      </pivotArea>
    </format>
    <format>
      <pivotArea dataOnly="0" labelOnly="1" fieldPosition="0">
        <references count="1">
          <reference field="0" count="1">
            <x v="10"/>
          </reference>
        </references>
      </pivotArea>
    </format>
    <format>
      <pivotArea dataOnly="0" labelOnly="1" fieldPosition="0">
        <references count="1">
          <reference field="0" count="1">
            <x v="11"/>
          </reference>
        </references>
      </pivotArea>
    </format>
    <format>
      <pivotArea collapsedLevelsAreSubtotals="1" fieldPosition="0">
        <references count="1">
          <reference field="0" count="1" selected="0">
            <x v="0"/>
          </reference>
        </references>
      </pivotArea>
    </format>
    <format>
      <pivotArea collapsedLevelsAreSubtotals="1" fieldPosition="0">
        <references count="1">
          <reference field="0" count="1" selected="0">
            <x v="1"/>
          </reference>
        </references>
      </pivotArea>
    </format>
    <format>
      <pivotArea collapsedLevelsAreSubtotals="1" fieldPosition="0">
        <references count="1">
          <reference field="0" count="1" selected="0">
            <x v="2"/>
          </reference>
        </references>
      </pivotArea>
    </format>
    <format>
      <pivotArea collapsedLevelsAreSubtotals="1" fieldPosition="0">
        <references count="1">
          <reference field="0" count="1" selected="0">
            <x v="3"/>
          </reference>
        </references>
      </pivotArea>
    </format>
    <format>
      <pivotArea collapsedLevelsAreSubtotals="1" fieldPosition="0">
        <references count="1">
          <reference field="0" count="1" selected="0">
            <x v="4"/>
          </reference>
        </references>
      </pivotArea>
    </format>
    <format>
      <pivotArea collapsedLevelsAreSubtotals="1" fieldPosition="0">
        <references count="1">
          <reference field="0" count="1" selected="0">
            <x v="5"/>
          </reference>
        </references>
      </pivotArea>
    </format>
    <format>
      <pivotArea collapsedLevelsAreSubtotals="1" fieldPosition="0">
        <references count="1">
          <reference field="0" count="1" selected="0">
            <x v="6"/>
          </reference>
        </references>
      </pivotArea>
    </format>
    <format>
      <pivotArea collapsedLevelsAreSubtotals="1" fieldPosition="0">
        <references count="1">
          <reference field="0" count="1" selected="0">
            <x v="7"/>
          </reference>
        </references>
      </pivotArea>
    </format>
    <format>
      <pivotArea collapsedLevelsAreSubtotals="1" fieldPosition="0">
        <references count="1">
          <reference field="0" count="1" selected="0">
            <x v="8"/>
          </reference>
        </references>
      </pivotArea>
    </format>
    <format>
      <pivotArea collapsedLevelsAreSubtotals="1" fieldPosition="0">
        <references count="1">
          <reference field="0" count="1" selected="0">
            <x v="9"/>
          </reference>
        </references>
      </pivotArea>
    </format>
    <format>
      <pivotArea collapsedLevelsAreSubtotals="1" fieldPosition="0">
        <references count="1">
          <reference field="0" count="1" selected="0">
            <x v="10"/>
          </reference>
        </references>
      </pivotArea>
    </format>
    <format>
      <pivotArea collapsedLevelsAreSubtotals="1" fieldPosition="0">
        <references count="1">
          <reference field="0" count="1" selected="0">
            <x v="11"/>
          </reference>
        </references>
      </pivotArea>
    </format>
    <format dxfId="19">
      <pivotArea dataOnly="0" labelOnly="1" fieldPosition="0">
        <references count="1">
          <reference field="0" count="1">
            <x v="0"/>
          </reference>
        </references>
      </pivotArea>
    </format>
    <format dxfId="18">
      <pivotArea dataOnly="0" labelOnly="1" fieldPosition="0">
        <references count="1">
          <reference field="0" count="1">
            <x v="1"/>
          </reference>
        </references>
      </pivotArea>
    </format>
    <format dxfId="17">
      <pivotArea dataOnly="0" labelOnly="1" fieldPosition="0">
        <references count="1">
          <reference field="0" count="1">
            <x v="2"/>
          </reference>
        </references>
      </pivotArea>
    </format>
    <format dxfId="16">
      <pivotArea dataOnly="0" labelOnly="1" fieldPosition="0">
        <references count="1">
          <reference field="0" count="1">
            <x v="3"/>
          </reference>
        </references>
      </pivotArea>
    </format>
    <format dxfId="15">
      <pivotArea dataOnly="0" labelOnly="1" fieldPosition="0">
        <references count="1">
          <reference field="0" count="1">
            <x v="4"/>
          </reference>
        </references>
      </pivotArea>
    </format>
    <format dxfId="14">
      <pivotArea dataOnly="0" labelOnly="1" fieldPosition="0">
        <references count="1">
          <reference field="0" count="1">
            <x v="5"/>
          </reference>
        </references>
      </pivotArea>
    </format>
    <format dxfId="13">
      <pivotArea dataOnly="0" labelOnly="1" fieldPosition="0">
        <references count="1">
          <reference field="0" count="1">
            <x v="6"/>
          </reference>
        </references>
      </pivotArea>
    </format>
    <format dxfId="12">
      <pivotArea dataOnly="0" labelOnly="1" fieldPosition="0">
        <references count="1">
          <reference field="0" count="1">
            <x v="7"/>
          </reference>
        </references>
      </pivotArea>
    </format>
    <format dxfId="11">
      <pivotArea dataOnly="0" labelOnly="1" fieldPosition="0">
        <references count="1">
          <reference field="0" count="1">
            <x v="8"/>
          </reference>
        </references>
      </pivotArea>
    </format>
    <format dxfId="10">
      <pivotArea dataOnly="0" labelOnly="1" fieldPosition="0">
        <references count="1">
          <reference field="0" count="1">
            <x v="9"/>
          </reference>
        </references>
      </pivotArea>
    </format>
    <format dxfId="9">
      <pivotArea dataOnly="0" labelOnly="1" fieldPosition="0">
        <references count="1">
          <reference field="0" count="1">
            <x v="10"/>
          </reference>
        </references>
      </pivotArea>
    </format>
    <format dxfId="8">
      <pivotArea dataOnly="0" labelOnly="1" fieldPosition="0">
        <references count="1">
          <reference field="0"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108" totalsRowShown="0">
  <autoFilter ref="A1:L108" xr:uid="{00000000-0009-0000-0100-000001000000}"/>
  <tableColumns count="12">
    <tableColumn id="1" xr3:uid="{00000000-0010-0000-0000-000001000000}" name="Climate_Zone"/>
    <tableColumn id="2" xr3:uid="{00000000-0010-0000-0000-000002000000}" name="Crop"/>
    <tableColumn id="3" xr3:uid="{00000000-0010-0000-0000-000003000000}" name="Harvest_Year"/>
    <tableColumn id="4" xr3:uid="{00000000-0010-0000-0000-000004000000}" name="Actual_Yield (YA)" dataDxfId="71"/>
    <tableColumn id="5" xr3:uid="{00000000-0010-0000-0000-000005000000}" name="YW"/>
    <tableColumn id="6" xr3:uid="{00000000-0010-0000-0000-000006000000}" name="Potential_Yield (YP)" dataDxfId="70"/>
    <tableColumn id="7" xr3:uid="{00000000-0010-0000-0000-000007000000}" name="WPP"/>
    <tableColumn id="8" xr3:uid="{00000000-0010-0000-0000-000008000000}" name="WPA"/>
    <tableColumn id="9" xr3:uid="{00000000-0010-0000-0000-000009000000}" name="TimesrYldExpYld(T)">
      <calculatedColumnFormula>-0.0232*C2+48.558</calculatedColumnFormula>
    </tableColumn>
    <tableColumn id="10" xr3:uid="{00000000-0010-0000-0000-00000A000000}" name="Stress_Index" dataDxfId="69">
      <calculatedColumnFormula>D2/I2</calculatedColumnFormula>
    </tableColumn>
    <tableColumn id="11" xr3:uid="{00000000-0010-0000-0000-00000B000000}" name="RY_Variability" dataDxfId="68">
      <calculatedColumnFormula>(J2/I2)</calculatedColumnFormula>
    </tableColumn>
    <tableColumn id="12" xr3:uid="{00000000-0010-0000-0000-00000C000000}" name="Calculated_Yield_Gap" dataDxfId="67">
      <calculatedColumnFormula>IF(OR(Table1[[#This Row],[Actual_Yield (YA)]]="",Table1[[#This Row],[Potential_Yield (YP)]]=""),"",Table1[[#This Row],[Potential_Yield (YP)]]-Table1[[#This Row],[Actual_Yield (YA)]])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4.xml"/><Relationship Id="rId4" Type="http://schemas.openxmlformats.org/officeDocument/2006/relationships/image" Target="../media/image2.emf"/></Relationships>
</file>

<file path=xl/worksheets/_rels/sheet16.xml.rels><?xml version="1.0" encoding="UTF-8" standalone="yes"?>
<Relationships xmlns="http://schemas.openxmlformats.org/package/2006/relationships"><Relationship Id="rId3" Type="http://schemas.openxmlformats.org/officeDocument/2006/relationships/package" Target="../embeddings/Microsoft_Excel_Worksheet1.xlsx"/><Relationship Id="rId2" Type="http://schemas.openxmlformats.org/officeDocument/2006/relationships/vmlDrawing" Target="../drawings/vmlDrawing2.vml"/><Relationship Id="rId1" Type="http://schemas.openxmlformats.org/officeDocument/2006/relationships/drawing" Target="../drawings/drawing5.xml"/><Relationship Id="rId4" Type="http://schemas.openxmlformats.org/officeDocument/2006/relationships/image" Target="../media/image5.emf"/></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3" Type="http://schemas.openxmlformats.org/officeDocument/2006/relationships/package" Target="../embeddings/Microsoft_Excel_Worksheet2.xlsx"/><Relationship Id="rId2" Type="http://schemas.openxmlformats.org/officeDocument/2006/relationships/vmlDrawing" Target="../drawings/vmlDrawing3.vml"/><Relationship Id="rId1" Type="http://schemas.openxmlformats.org/officeDocument/2006/relationships/drawing" Target="../drawings/drawing7.xml"/><Relationship Id="rId4" Type="http://schemas.openxmlformats.org/officeDocument/2006/relationships/image" Target="../media/image5.emf"/></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7"/>
  <sheetViews>
    <sheetView topLeftCell="A8" workbookViewId="0">
      <selection activeCell="S19" sqref="S19"/>
    </sheetView>
  </sheetViews>
  <sheetFormatPr defaultColWidth="9.140625" defaultRowHeight="15"/>
  <cols>
    <col min="1" max="16384" width="9.140625" style="105"/>
  </cols>
  <sheetData>
    <row r="1" spans="1:1">
      <c r="A1" s="105" t="s">
        <v>0</v>
      </c>
    </row>
    <row r="2" spans="1:1">
      <c r="A2" s="105" t="s">
        <v>1</v>
      </c>
    </row>
    <row r="4" spans="1:1">
      <c r="A4" s="105" t="s">
        <v>2</v>
      </c>
    </row>
    <row r="5" spans="1:1">
      <c r="A5" s="105" t="s">
        <v>3</v>
      </c>
    </row>
    <row r="6" spans="1:1">
      <c r="A6" s="105" t="s">
        <v>4</v>
      </c>
    </row>
    <row r="9" spans="1:1">
      <c r="A9" s="105" t="s">
        <v>5</v>
      </c>
    </row>
    <row r="10" spans="1:1">
      <c r="A10" s="105" t="s">
        <v>6</v>
      </c>
    </row>
    <row r="11" spans="1:1">
      <c r="A11" s="105" t="s">
        <v>7</v>
      </c>
    </row>
    <row r="12" spans="1:1">
      <c r="A12" s="105" t="s">
        <v>8</v>
      </c>
    </row>
    <row r="14" spans="1:1">
      <c r="A14" s="105" t="s">
        <v>9</v>
      </c>
    </row>
    <row r="15" spans="1:1">
      <c r="A15" s="105" t="s">
        <v>10</v>
      </c>
    </row>
    <row r="16" spans="1:1">
      <c r="A16" s="105" t="s">
        <v>11</v>
      </c>
    </row>
    <row r="18" spans="1:3">
      <c r="A18" s="105" t="s">
        <v>12</v>
      </c>
      <c r="C18" s="105" t="s">
        <v>13</v>
      </c>
    </row>
    <row r="19" spans="1:3">
      <c r="A19" s="105" t="s">
        <v>14</v>
      </c>
      <c r="C19" s="105" t="s">
        <v>15</v>
      </c>
    </row>
    <row r="21" spans="1:3">
      <c r="A21" s="105" t="s">
        <v>16</v>
      </c>
    </row>
    <row r="22" spans="1:3">
      <c r="A22" t="s">
        <v>17</v>
      </c>
      <c r="C22" s="105" t="s">
        <v>18</v>
      </c>
    </row>
    <row r="23" spans="1:3">
      <c r="A23" t="s">
        <v>19</v>
      </c>
      <c r="C23" s="105" t="s">
        <v>20</v>
      </c>
    </row>
    <row r="24" spans="1:3">
      <c r="A24" t="s">
        <v>21</v>
      </c>
      <c r="C24" s="105" t="s">
        <v>22</v>
      </c>
    </row>
    <row r="26" spans="1:3">
      <c r="A26" s="105" t="s">
        <v>23</v>
      </c>
    </row>
    <row r="27" spans="1:3">
      <c r="A27" s="105"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3"/>
  <sheetViews>
    <sheetView workbookViewId="0">
      <selection activeCell="S19" sqref="S19"/>
    </sheetView>
  </sheetViews>
  <sheetFormatPr defaultColWidth="9" defaultRowHeight="15"/>
  <cols>
    <col min="2" max="2" width="18.85546875" customWidth="1"/>
  </cols>
  <sheetData>
    <row r="1" spans="1:2">
      <c r="A1" t="s">
        <v>25</v>
      </c>
      <c r="B1" t="s">
        <v>26</v>
      </c>
    </row>
    <row r="2" spans="1:2">
      <c r="A2">
        <v>9101</v>
      </c>
      <c r="B2" t="s">
        <v>27</v>
      </c>
    </row>
    <row r="3" spans="1:2">
      <c r="A3">
        <v>9301</v>
      </c>
      <c r="B3" t="s">
        <v>28</v>
      </c>
    </row>
    <row r="4" spans="1:2">
      <c r="A4">
        <v>9401</v>
      </c>
      <c r="B4" t="s">
        <v>29</v>
      </c>
    </row>
    <row r="5" spans="1:2">
      <c r="A5">
        <v>9501</v>
      </c>
      <c r="B5" t="s">
        <v>30</v>
      </c>
    </row>
    <row r="6" spans="1:2">
      <c r="A6">
        <v>9701</v>
      </c>
      <c r="B6" t="s">
        <v>31</v>
      </c>
    </row>
    <row r="7" spans="1:2">
      <c r="A7">
        <v>9801</v>
      </c>
      <c r="B7" t="s">
        <v>32</v>
      </c>
    </row>
    <row r="8" spans="1:2">
      <c r="A8">
        <v>9901</v>
      </c>
      <c r="B8" t="s">
        <v>33</v>
      </c>
    </row>
    <row r="9" spans="1:2">
      <c r="A9">
        <v>10101</v>
      </c>
      <c r="B9" t="s">
        <v>34</v>
      </c>
    </row>
    <row r="10" spans="1:2">
      <c r="A10">
        <v>10301</v>
      </c>
      <c r="B10" t="s">
        <v>35</v>
      </c>
    </row>
    <row r="11" spans="1:2">
      <c r="A11">
        <v>10401</v>
      </c>
      <c r="B11" t="s">
        <v>36</v>
      </c>
    </row>
    <row r="12" spans="1:2">
      <c r="A12">
        <v>10501</v>
      </c>
      <c r="B12" t="s">
        <v>37</v>
      </c>
    </row>
    <row r="13" spans="1:2">
      <c r="A13">
        <v>10901</v>
      </c>
      <c r="B13"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114"/>
  <sheetViews>
    <sheetView workbookViewId="0">
      <selection activeCell="S19" sqref="S19"/>
    </sheetView>
  </sheetViews>
  <sheetFormatPr defaultColWidth="9" defaultRowHeight="15"/>
  <cols>
    <col min="1" max="1" width="20.140625" customWidth="1"/>
    <col min="2" max="2" width="13.7109375" customWidth="1"/>
    <col min="3" max="3" width="19.85546875" customWidth="1"/>
    <col min="4" max="4" width="13.28515625" customWidth="1"/>
    <col min="5" max="5" width="12.5703125" customWidth="1"/>
    <col min="6" max="6" width="17.140625" customWidth="1"/>
    <col min="7" max="8" width="9" hidden="1" customWidth="1"/>
    <col min="9" max="9" width="6.140625" hidden="1" customWidth="1"/>
    <col min="10" max="10" width="22.140625" customWidth="1"/>
    <col min="11" max="11" width="19.140625" customWidth="1"/>
    <col min="258" max="258" width="13.7109375" customWidth="1"/>
    <col min="259" max="259" width="13.5703125" customWidth="1"/>
    <col min="514" max="514" width="13.7109375" customWidth="1"/>
    <col min="515" max="515" width="13.5703125" customWidth="1"/>
    <col min="770" max="770" width="13.7109375" customWidth="1"/>
    <col min="771" max="771" width="13.5703125" customWidth="1"/>
    <col min="1026" max="1026" width="13.7109375" customWidth="1"/>
    <col min="1027" max="1027" width="13.5703125" customWidth="1"/>
    <col min="1282" max="1282" width="13.7109375" customWidth="1"/>
    <col min="1283" max="1283" width="13.5703125" customWidth="1"/>
    <col min="1538" max="1538" width="13.7109375" customWidth="1"/>
    <col min="1539" max="1539" width="13.5703125" customWidth="1"/>
    <col min="1794" max="1794" width="13.7109375" customWidth="1"/>
    <col min="1795" max="1795" width="13.5703125" customWidth="1"/>
    <col min="2050" max="2050" width="13.7109375" customWidth="1"/>
    <col min="2051" max="2051" width="13.5703125" customWidth="1"/>
    <col min="2306" max="2306" width="13.7109375" customWidth="1"/>
    <col min="2307" max="2307" width="13.5703125" customWidth="1"/>
    <col min="2562" max="2562" width="13.7109375" customWidth="1"/>
    <col min="2563" max="2563" width="13.5703125" customWidth="1"/>
    <col min="2818" max="2818" width="13.7109375" customWidth="1"/>
    <col min="2819" max="2819" width="13.5703125" customWidth="1"/>
    <col min="3074" max="3074" width="13.7109375" customWidth="1"/>
    <col min="3075" max="3075" width="13.5703125" customWidth="1"/>
    <col min="3330" max="3330" width="13.7109375" customWidth="1"/>
    <col min="3331" max="3331" width="13.5703125" customWidth="1"/>
    <col min="3586" max="3586" width="13.7109375" customWidth="1"/>
    <col min="3587" max="3587" width="13.5703125" customWidth="1"/>
    <col min="3842" max="3842" width="13.7109375" customWidth="1"/>
    <col min="3843" max="3843" width="13.5703125" customWidth="1"/>
    <col min="4098" max="4098" width="13.7109375" customWidth="1"/>
    <col min="4099" max="4099" width="13.5703125" customWidth="1"/>
    <col min="4354" max="4354" width="13.7109375" customWidth="1"/>
    <col min="4355" max="4355" width="13.5703125" customWidth="1"/>
    <col min="4610" max="4610" width="13.7109375" customWidth="1"/>
    <col min="4611" max="4611" width="13.5703125" customWidth="1"/>
    <col min="4866" max="4866" width="13.7109375" customWidth="1"/>
    <col min="4867" max="4867" width="13.5703125" customWidth="1"/>
    <col min="5122" max="5122" width="13.7109375" customWidth="1"/>
    <col min="5123" max="5123" width="13.5703125" customWidth="1"/>
    <col min="5378" max="5378" width="13.7109375" customWidth="1"/>
    <col min="5379" max="5379" width="13.5703125" customWidth="1"/>
    <col min="5634" max="5634" width="13.7109375" customWidth="1"/>
    <col min="5635" max="5635" width="13.5703125" customWidth="1"/>
    <col min="5890" max="5890" width="13.7109375" customWidth="1"/>
    <col min="5891" max="5891" width="13.5703125" customWidth="1"/>
    <col min="6146" max="6146" width="13.7109375" customWidth="1"/>
    <col min="6147" max="6147" width="13.5703125" customWidth="1"/>
    <col min="6402" max="6402" width="13.7109375" customWidth="1"/>
    <col min="6403" max="6403" width="13.5703125" customWidth="1"/>
    <col min="6658" max="6658" width="13.7109375" customWidth="1"/>
    <col min="6659" max="6659" width="13.5703125" customWidth="1"/>
    <col min="6914" max="6914" width="13.7109375" customWidth="1"/>
    <col min="6915" max="6915" width="13.5703125" customWidth="1"/>
    <col min="7170" max="7170" width="13.7109375" customWidth="1"/>
    <col min="7171" max="7171" width="13.5703125" customWidth="1"/>
    <col min="7426" max="7426" width="13.7109375" customWidth="1"/>
    <col min="7427" max="7427" width="13.5703125" customWidth="1"/>
    <col min="7682" max="7682" width="13.7109375" customWidth="1"/>
    <col min="7683" max="7683" width="13.5703125" customWidth="1"/>
    <col min="7938" max="7938" width="13.7109375" customWidth="1"/>
    <col min="7939" max="7939" width="13.5703125" customWidth="1"/>
    <col min="8194" max="8194" width="13.7109375" customWidth="1"/>
    <col min="8195" max="8195" width="13.5703125" customWidth="1"/>
    <col min="8450" max="8450" width="13.7109375" customWidth="1"/>
    <col min="8451" max="8451" width="13.5703125" customWidth="1"/>
    <col min="8706" max="8706" width="13.7109375" customWidth="1"/>
    <col min="8707" max="8707" width="13.5703125" customWidth="1"/>
    <col min="8962" max="8962" width="13.7109375" customWidth="1"/>
    <col min="8963" max="8963" width="13.5703125" customWidth="1"/>
    <col min="9218" max="9218" width="13.7109375" customWidth="1"/>
    <col min="9219" max="9219" width="13.5703125" customWidth="1"/>
    <col min="9474" max="9474" width="13.7109375" customWidth="1"/>
    <col min="9475" max="9475" width="13.5703125" customWidth="1"/>
    <col min="9730" max="9730" width="13.7109375" customWidth="1"/>
    <col min="9731" max="9731" width="13.5703125" customWidth="1"/>
    <col min="9986" max="9986" width="13.7109375" customWidth="1"/>
    <col min="9987" max="9987" width="13.5703125" customWidth="1"/>
    <col min="10242" max="10242" width="13.7109375" customWidth="1"/>
    <col min="10243" max="10243" width="13.5703125" customWidth="1"/>
    <col min="10498" max="10498" width="13.7109375" customWidth="1"/>
    <col min="10499" max="10499" width="13.5703125" customWidth="1"/>
    <col min="10754" max="10754" width="13.7109375" customWidth="1"/>
    <col min="10755" max="10755" width="13.5703125" customWidth="1"/>
    <col min="11010" max="11010" width="13.7109375" customWidth="1"/>
    <col min="11011" max="11011" width="13.5703125" customWidth="1"/>
    <col min="11266" max="11266" width="13.7109375" customWidth="1"/>
    <col min="11267" max="11267" width="13.5703125" customWidth="1"/>
    <col min="11522" max="11522" width="13.7109375" customWidth="1"/>
    <col min="11523" max="11523" width="13.5703125" customWidth="1"/>
    <col min="11778" max="11778" width="13.7109375" customWidth="1"/>
    <col min="11779" max="11779" width="13.5703125" customWidth="1"/>
    <col min="12034" max="12034" width="13.7109375" customWidth="1"/>
    <col min="12035" max="12035" width="13.5703125" customWidth="1"/>
    <col min="12290" max="12290" width="13.7109375" customWidth="1"/>
    <col min="12291" max="12291" width="13.5703125" customWidth="1"/>
    <col min="12546" max="12546" width="13.7109375" customWidth="1"/>
    <col min="12547" max="12547" width="13.5703125" customWidth="1"/>
    <col min="12802" max="12802" width="13.7109375" customWidth="1"/>
    <col min="12803" max="12803" width="13.5703125" customWidth="1"/>
    <col min="13058" max="13058" width="13.7109375" customWidth="1"/>
    <col min="13059" max="13059" width="13.5703125" customWidth="1"/>
    <col min="13314" max="13314" width="13.7109375" customWidth="1"/>
    <col min="13315" max="13315" width="13.5703125" customWidth="1"/>
    <col min="13570" max="13570" width="13.7109375" customWidth="1"/>
    <col min="13571" max="13571" width="13.5703125" customWidth="1"/>
    <col min="13826" max="13826" width="13.7109375" customWidth="1"/>
    <col min="13827" max="13827" width="13.5703125" customWidth="1"/>
    <col min="14082" max="14082" width="13.7109375" customWidth="1"/>
    <col min="14083" max="14083" width="13.5703125" customWidth="1"/>
    <col min="14338" max="14338" width="13.7109375" customWidth="1"/>
    <col min="14339" max="14339" width="13.5703125" customWidth="1"/>
    <col min="14594" max="14594" width="13.7109375" customWidth="1"/>
    <col min="14595" max="14595" width="13.5703125" customWidth="1"/>
    <col min="14850" max="14850" width="13.7109375" customWidth="1"/>
    <col min="14851" max="14851" width="13.5703125" customWidth="1"/>
    <col min="15106" max="15106" width="13.7109375" customWidth="1"/>
    <col min="15107" max="15107" width="13.5703125" customWidth="1"/>
    <col min="15362" max="15362" width="13.7109375" customWidth="1"/>
    <col min="15363" max="15363" width="13.5703125" customWidth="1"/>
    <col min="15618" max="15618" width="13.7109375" customWidth="1"/>
    <col min="15619" max="15619" width="13.5703125" customWidth="1"/>
    <col min="15874" max="15874" width="13.7109375" customWidth="1"/>
    <col min="15875" max="15875" width="13.5703125" customWidth="1"/>
    <col min="16130" max="16130" width="13.7109375" customWidth="1"/>
    <col min="16131" max="16131" width="13.5703125" customWidth="1"/>
  </cols>
  <sheetData>
    <row r="1" spans="1:11">
      <c r="A1" t="s">
        <v>25</v>
      </c>
      <c r="B1" t="s">
        <v>39</v>
      </c>
      <c r="C1" t="s">
        <v>40</v>
      </c>
      <c r="D1" t="s">
        <v>41</v>
      </c>
      <c r="E1" t="s">
        <v>42</v>
      </c>
      <c r="F1" t="s">
        <v>43</v>
      </c>
      <c r="G1" t="s">
        <v>44</v>
      </c>
      <c r="H1" t="s">
        <v>45</v>
      </c>
      <c r="I1" t="s">
        <v>17</v>
      </c>
      <c r="J1" t="s">
        <v>19</v>
      </c>
      <c r="K1" t="s">
        <v>21</v>
      </c>
    </row>
    <row r="2" spans="1:11">
      <c r="A2">
        <v>9101</v>
      </c>
      <c r="B2" t="s">
        <v>46</v>
      </c>
      <c r="C2">
        <v>2002</v>
      </c>
      <c r="D2">
        <v>1.5</v>
      </c>
      <c r="E2">
        <v>0.89100000000000001</v>
      </c>
      <c r="F2">
        <v>11.1</v>
      </c>
      <c r="G2">
        <v>3.1484098939929299</v>
      </c>
      <c r="H2">
        <v>5.3003533568904597</v>
      </c>
      <c r="I2">
        <f t="shared" ref="I2:I10" si="0">0.169*C2-337.07</f>
        <v>1.26800000000003</v>
      </c>
      <c r="J2">
        <f t="shared" ref="J2:J65" si="1">D2/I2</f>
        <v>1.1829652996845199</v>
      </c>
      <c r="K2">
        <f>(J2/I2)</f>
        <v>0.932937933505117</v>
      </c>
    </row>
    <row r="3" spans="1:11">
      <c r="A3">
        <v>9101</v>
      </c>
      <c r="B3" t="s">
        <v>46</v>
      </c>
      <c r="C3">
        <v>2003</v>
      </c>
      <c r="D3">
        <v>1.4</v>
      </c>
      <c r="E3">
        <v>9.0109999999999992</v>
      </c>
      <c r="F3">
        <v>10.6</v>
      </c>
      <c r="G3">
        <v>20.000964760840901</v>
      </c>
      <c r="H3">
        <v>3.1074631744731098</v>
      </c>
      <c r="I3">
        <f t="shared" si="0"/>
        <v>1.43700000000001</v>
      </c>
      <c r="J3">
        <f t="shared" si="1"/>
        <v>0.97425191370910802</v>
      </c>
      <c r="K3">
        <f t="shared" ref="K3:K11" si="2">(J3/I3)</f>
        <v>0.67797627954704298</v>
      </c>
    </row>
    <row r="4" spans="1:11">
      <c r="A4">
        <v>9101</v>
      </c>
      <c r="B4" t="s">
        <v>46</v>
      </c>
      <c r="C4">
        <v>2004</v>
      </c>
      <c r="D4">
        <v>1.4</v>
      </c>
      <c r="E4">
        <v>9.69</v>
      </c>
      <c r="F4">
        <v>11.6</v>
      </c>
      <c r="G4">
        <v>23.098654923967899</v>
      </c>
      <c r="H4">
        <v>3.3372669652791598</v>
      </c>
      <c r="I4">
        <f t="shared" si="0"/>
        <v>1.6060000000000501</v>
      </c>
      <c r="J4">
        <f t="shared" si="1"/>
        <v>0.87173100871728204</v>
      </c>
      <c r="K4">
        <f t="shared" si="2"/>
        <v>0.54279639397089297</v>
      </c>
    </row>
    <row r="5" spans="1:11">
      <c r="A5">
        <v>9101</v>
      </c>
      <c r="B5" t="s">
        <v>46</v>
      </c>
      <c r="C5">
        <v>2005</v>
      </c>
      <c r="D5">
        <v>1.5</v>
      </c>
      <c r="E5">
        <v>10.254</v>
      </c>
      <c r="F5">
        <v>10.8</v>
      </c>
      <c r="G5">
        <v>24.498444824598401</v>
      </c>
      <c r="H5">
        <v>3.5837397344351101</v>
      </c>
      <c r="I5">
        <f t="shared" si="0"/>
        <v>1.7750000000000301</v>
      </c>
      <c r="J5">
        <f t="shared" si="1"/>
        <v>0.84507042253519504</v>
      </c>
      <c r="K5">
        <f t="shared" si="2"/>
        <v>0.47609601269587498</v>
      </c>
    </row>
    <row r="6" spans="1:11">
      <c r="A6">
        <v>9101</v>
      </c>
      <c r="B6" t="s">
        <v>46</v>
      </c>
      <c r="C6">
        <v>2006</v>
      </c>
      <c r="D6">
        <v>1.7</v>
      </c>
      <c r="I6">
        <f t="shared" si="0"/>
        <v>1.9440000000000199</v>
      </c>
      <c r="J6">
        <f t="shared" si="1"/>
        <v>0.87448559670781101</v>
      </c>
      <c r="K6">
        <f t="shared" si="2"/>
        <v>0.44983826991142201</v>
      </c>
    </row>
    <row r="7" spans="1:11">
      <c r="A7">
        <v>9101</v>
      </c>
      <c r="B7" t="s">
        <v>46</v>
      </c>
      <c r="C7">
        <v>2007</v>
      </c>
      <c r="D7">
        <v>1.8</v>
      </c>
      <c r="I7">
        <f t="shared" si="0"/>
        <v>2.1130000000000599</v>
      </c>
      <c r="J7">
        <f t="shared" si="1"/>
        <v>0.85186938002837298</v>
      </c>
      <c r="K7">
        <f t="shared" si="2"/>
        <v>0.40315635590551402</v>
      </c>
    </row>
    <row r="8" spans="1:11">
      <c r="A8">
        <v>9101</v>
      </c>
      <c r="B8" t="s">
        <v>46</v>
      </c>
      <c r="C8">
        <v>2008</v>
      </c>
      <c r="D8">
        <v>2.4809999999999999</v>
      </c>
      <c r="I8">
        <f t="shared" si="0"/>
        <v>2.28200000000004</v>
      </c>
      <c r="J8">
        <f t="shared" si="1"/>
        <v>1.0872042068360901</v>
      </c>
      <c r="K8">
        <f t="shared" si="2"/>
        <v>0.47642603279407197</v>
      </c>
    </row>
    <row r="9" spans="1:11">
      <c r="A9">
        <v>9101</v>
      </c>
      <c r="B9" t="s">
        <v>46</v>
      </c>
      <c r="C9">
        <v>2009</v>
      </c>
      <c r="D9">
        <v>2.492</v>
      </c>
      <c r="I9">
        <f t="shared" si="0"/>
        <v>2.4510000000000201</v>
      </c>
      <c r="J9">
        <f t="shared" si="1"/>
        <v>1.01672786617706</v>
      </c>
      <c r="K9">
        <f t="shared" si="2"/>
        <v>0.41482165082703099</v>
      </c>
    </row>
    <row r="10" spans="1:11">
      <c r="A10">
        <v>9101</v>
      </c>
      <c r="B10" t="s">
        <v>46</v>
      </c>
      <c r="C10">
        <v>2010</v>
      </c>
      <c r="D10">
        <v>2.6</v>
      </c>
      <c r="I10">
        <f t="shared" si="0"/>
        <v>2.62</v>
      </c>
      <c r="J10">
        <f t="shared" si="1"/>
        <v>0.992366412213739</v>
      </c>
      <c r="K10">
        <f t="shared" si="2"/>
        <v>0.37876580618844902</v>
      </c>
    </row>
    <row r="11" spans="1:11">
      <c r="A11">
        <v>9301</v>
      </c>
      <c r="B11" t="s">
        <v>46</v>
      </c>
      <c r="C11">
        <v>2002</v>
      </c>
      <c r="D11">
        <v>1.6</v>
      </c>
      <c r="E11">
        <v>14.319191919191899</v>
      </c>
      <c r="F11">
        <v>15.1</v>
      </c>
      <c r="G11">
        <v>24.853541588338398</v>
      </c>
      <c r="H11">
        <v>2.7770887327827398</v>
      </c>
      <c r="I11">
        <f t="shared" ref="I11:I18" si="3">0.0797*C11-158.27</f>
        <v>1.2893999999999699</v>
      </c>
      <c r="J11">
        <f t="shared" si="1"/>
        <v>1.2408872343726001</v>
      </c>
      <c r="K11">
        <f t="shared" si="2"/>
        <v>0.96237570526805505</v>
      </c>
    </row>
    <row r="12" spans="1:11">
      <c r="A12">
        <v>9301</v>
      </c>
      <c r="B12" t="s">
        <v>46</v>
      </c>
      <c r="C12">
        <v>2003</v>
      </c>
      <c r="D12">
        <v>1.5</v>
      </c>
      <c r="E12">
        <v>7.7272727272727302</v>
      </c>
      <c r="F12">
        <v>13.9</v>
      </c>
      <c r="G12">
        <v>13.883815102624601</v>
      </c>
      <c r="H12">
        <v>2.69509351992125</v>
      </c>
      <c r="I12">
        <f t="shared" si="3"/>
        <v>1.36909999999997</v>
      </c>
      <c r="J12">
        <f t="shared" si="1"/>
        <v>1.0956102549120099</v>
      </c>
      <c r="K12">
        <f t="shared" ref="K12:K75" si="4">(J12/I12)</f>
        <v>0.800241220445567</v>
      </c>
    </row>
    <row r="13" spans="1:11">
      <c r="A13">
        <v>9301</v>
      </c>
      <c r="B13" t="s">
        <v>46</v>
      </c>
      <c r="C13">
        <v>2004</v>
      </c>
      <c r="D13">
        <v>1.4</v>
      </c>
      <c r="E13">
        <v>11.7909090909091</v>
      </c>
      <c r="F13">
        <v>14.3</v>
      </c>
      <c r="G13">
        <v>21.312105734267998</v>
      </c>
      <c r="H13">
        <v>2.5305044588105399</v>
      </c>
      <c r="I13">
        <f t="shared" si="3"/>
        <v>1.4487999999999801</v>
      </c>
      <c r="J13">
        <f t="shared" si="1"/>
        <v>0.96631695196025802</v>
      </c>
      <c r="K13">
        <f t="shared" si="4"/>
        <v>0.66697746546126002</v>
      </c>
    </row>
    <row r="14" spans="1:11">
      <c r="A14">
        <v>9301</v>
      </c>
      <c r="B14" t="s">
        <v>46</v>
      </c>
      <c r="C14">
        <v>2005</v>
      </c>
      <c r="D14">
        <v>1.5</v>
      </c>
      <c r="E14">
        <v>12.2515151515152</v>
      </c>
      <c r="F14">
        <v>13.9</v>
      </c>
      <c r="G14">
        <v>21.879131630307199</v>
      </c>
      <c r="H14">
        <v>2.6787460195404602</v>
      </c>
      <c r="I14">
        <f t="shared" si="3"/>
        <v>1.52849999999998</v>
      </c>
      <c r="J14">
        <f t="shared" si="1"/>
        <v>0.98135426889108301</v>
      </c>
      <c r="K14">
        <f t="shared" si="4"/>
        <v>0.64203746738050105</v>
      </c>
    </row>
    <row r="15" spans="1:11">
      <c r="A15">
        <v>9301</v>
      </c>
      <c r="B15" t="s">
        <v>46</v>
      </c>
      <c r="C15">
        <v>2006</v>
      </c>
      <c r="D15">
        <v>1.5</v>
      </c>
      <c r="E15">
        <v>13.967676767676799</v>
      </c>
      <c r="F15">
        <v>14</v>
      </c>
      <c r="G15">
        <v>24.509003300949601</v>
      </c>
      <c r="H15">
        <v>2.6320415028861901</v>
      </c>
      <c r="I15">
        <f t="shared" si="3"/>
        <v>1.6081999999999801</v>
      </c>
      <c r="J15">
        <f t="shared" si="1"/>
        <v>0.93271981096879497</v>
      </c>
      <c r="K15">
        <f t="shared" si="4"/>
        <v>0.57997749718244296</v>
      </c>
    </row>
    <row r="16" spans="1:11">
      <c r="A16">
        <v>9301</v>
      </c>
      <c r="B16" t="s">
        <v>46</v>
      </c>
      <c r="C16">
        <v>2007</v>
      </c>
      <c r="D16">
        <v>1.6</v>
      </c>
      <c r="E16">
        <v>13.7121212121212</v>
      </c>
      <c r="F16">
        <v>14.3</v>
      </c>
      <c r="G16">
        <v>23.021624180516799</v>
      </c>
      <c r="H16">
        <v>2.6862801253730102</v>
      </c>
      <c r="I16">
        <f t="shared" si="3"/>
        <v>1.68789999999998</v>
      </c>
      <c r="J16">
        <f t="shared" si="1"/>
        <v>0.94792345518100296</v>
      </c>
      <c r="K16">
        <f t="shared" si="4"/>
        <v>0.56159929805143105</v>
      </c>
    </row>
    <row r="17" spans="1:11">
      <c r="A17">
        <v>9301</v>
      </c>
      <c r="B17" t="s">
        <v>46</v>
      </c>
      <c r="C17">
        <v>2008</v>
      </c>
      <c r="D17">
        <v>1.671</v>
      </c>
      <c r="E17">
        <v>11.358585858585901</v>
      </c>
      <c r="F17">
        <v>15</v>
      </c>
      <c r="G17">
        <v>18.350039820417599</v>
      </c>
      <c r="H17">
        <v>2.69953644949031</v>
      </c>
      <c r="I17">
        <f t="shared" si="3"/>
        <v>1.7675999999999901</v>
      </c>
      <c r="J17">
        <f t="shared" si="1"/>
        <v>0.94534962661236299</v>
      </c>
      <c r="K17">
        <f t="shared" si="4"/>
        <v>0.53482101528194703</v>
      </c>
    </row>
    <row r="18" spans="1:11">
      <c r="A18">
        <v>9301</v>
      </c>
      <c r="B18" t="s">
        <v>46</v>
      </c>
      <c r="C18">
        <v>2009</v>
      </c>
      <c r="D18">
        <v>2.3490000000000002</v>
      </c>
      <c r="E18">
        <v>11.3272727272727</v>
      </c>
      <c r="F18">
        <v>12.9</v>
      </c>
      <c r="G18">
        <v>21.0704538449781</v>
      </c>
      <c r="H18">
        <v>4.3694980489597803</v>
      </c>
      <c r="I18">
        <f t="shared" si="3"/>
        <v>1.84729999999999</v>
      </c>
      <c r="J18">
        <f t="shared" si="1"/>
        <v>1.27158555729985</v>
      </c>
      <c r="K18">
        <f t="shared" si="4"/>
        <v>0.68834816072097504</v>
      </c>
    </row>
    <row r="19" spans="1:11">
      <c r="A19">
        <v>9401</v>
      </c>
      <c r="B19" t="s">
        <v>46</v>
      </c>
      <c r="C19">
        <v>2002</v>
      </c>
      <c r="D19">
        <v>1.7</v>
      </c>
      <c r="E19">
        <v>12.4</v>
      </c>
      <c r="F19">
        <v>12.4</v>
      </c>
      <c r="G19">
        <v>19.84</v>
      </c>
      <c r="H19">
        <v>2.72</v>
      </c>
      <c r="I19">
        <f t="shared" ref="I19:I27" si="5">0.0777*C19-153.88</f>
        <v>1.67540000000002</v>
      </c>
      <c r="J19">
        <f t="shared" si="1"/>
        <v>1.01468306076159</v>
      </c>
      <c r="K19">
        <f t="shared" si="4"/>
        <v>0.60563630223324505</v>
      </c>
    </row>
    <row r="20" spans="1:11">
      <c r="A20">
        <v>9401</v>
      </c>
      <c r="B20" t="s">
        <v>46</v>
      </c>
      <c r="C20">
        <v>2003</v>
      </c>
      <c r="D20">
        <v>1.7</v>
      </c>
      <c r="E20">
        <v>12.9</v>
      </c>
      <c r="F20">
        <v>12.9</v>
      </c>
      <c r="G20">
        <v>22.5040680810697</v>
      </c>
      <c r="H20">
        <v>2.9656523827766299</v>
      </c>
      <c r="I20">
        <f t="shared" si="5"/>
        <v>1.7531000000000201</v>
      </c>
      <c r="J20">
        <f t="shared" si="1"/>
        <v>0.96971079801493498</v>
      </c>
      <c r="K20">
        <f t="shared" si="4"/>
        <v>0.55314060693338996</v>
      </c>
    </row>
    <row r="21" spans="1:11">
      <c r="A21">
        <v>9401</v>
      </c>
      <c r="B21" t="s">
        <v>46</v>
      </c>
      <c r="C21">
        <v>2004</v>
      </c>
      <c r="D21">
        <v>1.9</v>
      </c>
      <c r="E21">
        <v>14.034000000000001</v>
      </c>
      <c r="F21">
        <v>14.1</v>
      </c>
      <c r="G21">
        <v>23.0977301387137</v>
      </c>
      <c r="H21">
        <v>3.12709756758986</v>
      </c>
      <c r="I21">
        <f t="shared" si="5"/>
        <v>1.83080000000001</v>
      </c>
      <c r="J21">
        <f t="shared" si="1"/>
        <v>1.03779768407253</v>
      </c>
      <c r="K21">
        <f t="shared" si="4"/>
        <v>0.56685475424542497</v>
      </c>
    </row>
    <row r="22" spans="1:11">
      <c r="A22">
        <v>9401</v>
      </c>
      <c r="B22" t="s">
        <v>46</v>
      </c>
      <c r="C22">
        <v>2005</v>
      </c>
      <c r="D22">
        <v>2.1</v>
      </c>
      <c r="E22">
        <v>13.3</v>
      </c>
      <c r="F22">
        <v>13.3</v>
      </c>
      <c r="G22">
        <v>22.542372881355899</v>
      </c>
      <c r="H22">
        <v>3.5593220338983</v>
      </c>
      <c r="I22">
        <f t="shared" si="5"/>
        <v>1.9085000000000001</v>
      </c>
      <c r="J22">
        <f t="shared" si="1"/>
        <v>1.1003405816085901</v>
      </c>
      <c r="K22">
        <f t="shared" si="4"/>
        <v>0.57654733120701596</v>
      </c>
    </row>
    <row r="23" spans="1:11">
      <c r="A23">
        <v>9401</v>
      </c>
      <c r="B23" t="s">
        <v>46</v>
      </c>
      <c r="C23">
        <v>2006</v>
      </c>
      <c r="D23">
        <v>2.1</v>
      </c>
      <c r="E23">
        <v>14.2</v>
      </c>
      <c r="F23">
        <v>14.2</v>
      </c>
      <c r="G23">
        <v>24.956063268892802</v>
      </c>
      <c r="H23">
        <v>3.6906854130052702</v>
      </c>
      <c r="I23">
        <f t="shared" si="5"/>
        <v>1.9862000000000299</v>
      </c>
      <c r="J23">
        <f t="shared" si="1"/>
        <v>1.0572953378310199</v>
      </c>
      <c r="K23">
        <f t="shared" si="4"/>
        <v>0.53232068161867296</v>
      </c>
    </row>
    <row r="24" spans="1:11">
      <c r="A24">
        <v>9401</v>
      </c>
      <c r="B24" t="s">
        <v>46</v>
      </c>
      <c r="C24">
        <v>2007</v>
      </c>
      <c r="D24">
        <v>2.2000000000000002</v>
      </c>
      <c r="E24">
        <v>14.18</v>
      </c>
      <c r="F24">
        <v>14.4</v>
      </c>
      <c r="G24">
        <v>23.0788590908267</v>
      </c>
      <c r="H24">
        <v>3.5806410437107701</v>
      </c>
      <c r="I24">
        <f t="shared" si="5"/>
        <v>2.0639000000000198</v>
      </c>
      <c r="J24">
        <f t="shared" si="1"/>
        <v>1.0659431173990901</v>
      </c>
      <c r="K24">
        <f t="shared" si="4"/>
        <v>0.51647033160476796</v>
      </c>
    </row>
    <row r="25" spans="1:11">
      <c r="A25">
        <v>9401</v>
      </c>
      <c r="B25" t="s">
        <v>46</v>
      </c>
      <c r="C25">
        <v>2008</v>
      </c>
      <c r="D25">
        <v>2.2509999999999999</v>
      </c>
      <c r="E25">
        <v>14.6</v>
      </c>
      <c r="F25">
        <v>14.6</v>
      </c>
      <c r="G25">
        <v>24.446205385903902</v>
      </c>
      <c r="H25">
        <v>3.7690690632650399</v>
      </c>
      <c r="I25">
        <f t="shared" si="5"/>
        <v>2.1416000000000102</v>
      </c>
      <c r="J25">
        <f t="shared" si="1"/>
        <v>1.0510833022039501</v>
      </c>
      <c r="K25">
        <f t="shared" si="4"/>
        <v>0.49079347319945299</v>
      </c>
    </row>
    <row r="26" spans="1:11">
      <c r="A26">
        <v>9401</v>
      </c>
      <c r="B26" t="s">
        <v>46</v>
      </c>
      <c r="C26">
        <v>2009</v>
      </c>
      <c r="D26">
        <v>2.254</v>
      </c>
      <c r="E26">
        <v>12.510999999999999</v>
      </c>
      <c r="F26">
        <v>14.9</v>
      </c>
      <c r="G26">
        <v>21.474112786052199</v>
      </c>
      <c r="H26">
        <v>3.8688074670099599</v>
      </c>
      <c r="I26">
        <f t="shared" si="5"/>
        <v>2.2193000000000001</v>
      </c>
      <c r="J26">
        <f t="shared" si="1"/>
        <v>1.0156355607623999</v>
      </c>
      <c r="K26">
        <f t="shared" si="4"/>
        <v>0.45763779604487898</v>
      </c>
    </row>
    <row r="27" spans="1:11">
      <c r="A27">
        <v>9401</v>
      </c>
      <c r="B27" t="s">
        <v>46</v>
      </c>
      <c r="C27">
        <v>2010</v>
      </c>
      <c r="D27">
        <v>2.25</v>
      </c>
      <c r="E27">
        <v>12.768000000000001</v>
      </c>
      <c r="F27">
        <v>12.9</v>
      </c>
      <c r="G27">
        <v>23.6710025558199</v>
      </c>
      <c r="H27">
        <v>4.1713467849776702</v>
      </c>
      <c r="I27">
        <f t="shared" si="5"/>
        <v>2.2970000000000299</v>
      </c>
      <c r="J27">
        <f t="shared" si="1"/>
        <v>0.97953852851544398</v>
      </c>
      <c r="K27">
        <f t="shared" si="4"/>
        <v>0.42644254615386701</v>
      </c>
    </row>
    <row r="28" spans="1:11">
      <c r="A28">
        <v>9501</v>
      </c>
      <c r="B28" t="s">
        <v>46</v>
      </c>
      <c r="C28">
        <v>2002</v>
      </c>
      <c r="D28">
        <v>1.75183435913647</v>
      </c>
      <c r="E28">
        <v>15.7346960371487</v>
      </c>
      <c r="F28">
        <v>15.8963312817271</v>
      </c>
      <c r="G28">
        <v>28.087090965274299</v>
      </c>
      <c r="H28">
        <v>3.1270976499953602</v>
      </c>
      <c r="I28">
        <f t="shared" ref="I28:I36" si="6">0.0624*C28-123.4</f>
        <v>1.5247999999999799</v>
      </c>
      <c r="J28">
        <f t="shared" si="1"/>
        <v>1.14889451674743</v>
      </c>
      <c r="K28">
        <f t="shared" si="4"/>
        <v>0.75347226964024505</v>
      </c>
    </row>
    <row r="29" spans="1:11">
      <c r="A29">
        <v>9501</v>
      </c>
      <c r="B29" t="s">
        <v>46</v>
      </c>
      <c r="C29">
        <v>2003</v>
      </c>
      <c r="D29">
        <v>1.6777515387047</v>
      </c>
      <c r="E29">
        <v>15.8069908816873</v>
      </c>
      <c r="F29">
        <v>16.503668718272898</v>
      </c>
      <c r="G29">
        <v>29.1079570107471</v>
      </c>
      <c r="H29">
        <v>3.0895140023082099</v>
      </c>
      <c r="I29">
        <f t="shared" si="6"/>
        <v>1.58719999999998</v>
      </c>
      <c r="J29">
        <f t="shared" si="1"/>
        <v>1.0570511206557001</v>
      </c>
      <c r="K29">
        <f t="shared" si="4"/>
        <v>0.66598482904215395</v>
      </c>
    </row>
    <row r="30" spans="1:11">
      <c r="A30">
        <v>9501</v>
      </c>
      <c r="B30" t="s">
        <v>46</v>
      </c>
      <c r="C30">
        <v>2004</v>
      </c>
      <c r="D30">
        <v>1.75183435913647</v>
      </c>
      <c r="E30">
        <v>15.8846695820775</v>
      </c>
      <c r="F30">
        <v>15.9924264117964</v>
      </c>
      <c r="G30">
        <v>30.9376191669534</v>
      </c>
      <c r="H30">
        <v>3.41194281483188</v>
      </c>
      <c r="I30">
        <f t="shared" si="6"/>
        <v>1.64959999999999</v>
      </c>
      <c r="J30">
        <f t="shared" si="1"/>
        <v>1.0619752419595501</v>
      </c>
      <c r="K30">
        <f t="shared" si="4"/>
        <v>0.64377742601816101</v>
      </c>
    </row>
    <row r="31" spans="1:11">
      <c r="A31">
        <v>9501</v>
      </c>
      <c r="B31" t="s">
        <v>46</v>
      </c>
      <c r="C31">
        <v>2005</v>
      </c>
      <c r="D31">
        <v>1.6777515387047</v>
      </c>
      <c r="E31">
        <v>15.526096412534599</v>
      </c>
      <c r="F31">
        <v>16.251834359136499</v>
      </c>
      <c r="G31">
        <v>28.6663283426664</v>
      </c>
      <c r="H31">
        <v>3.0976863216625699</v>
      </c>
      <c r="I31">
        <f t="shared" si="6"/>
        <v>1.71199999999999</v>
      </c>
      <c r="J31">
        <f t="shared" si="1"/>
        <v>0.97999505765462103</v>
      </c>
      <c r="K31">
        <f t="shared" si="4"/>
        <v>0.57242701965807696</v>
      </c>
    </row>
    <row r="32" spans="1:11">
      <c r="A32">
        <v>9501</v>
      </c>
      <c r="B32" t="s">
        <v>46</v>
      </c>
      <c r="C32">
        <v>2006</v>
      </c>
      <c r="D32">
        <v>1.5777515387047001</v>
      </c>
      <c r="E32">
        <v>15.2299876543001</v>
      </c>
      <c r="F32">
        <v>16.074082820431801</v>
      </c>
      <c r="G32">
        <v>29.7718563545458</v>
      </c>
      <c r="H32">
        <v>3.0842173506435802</v>
      </c>
      <c r="I32">
        <f t="shared" si="6"/>
        <v>1.77439999999999</v>
      </c>
      <c r="J32">
        <f t="shared" si="1"/>
        <v>0.88917467239895898</v>
      </c>
      <c r="K32">
        <f t="shared" si="4"/>
        <v>0.50111286767299701</v>
      </c>
    </row>
    <row r="33" spans="1:11">
      <c r="A33">
        <v>9501</v>
      </c>
      <c r="B33" t="s">
        <v>46</v>
      </c>
      <c r="C33">
        <v>2007</v>
      </c>
      <c r="D33">
        <v>1.5518343591364701</v>
      </c>
      <c r="E33">
        <v>11.256911516473799</v>
      </c>
      <c r="F33">
        <v>14.0885215418658</v>
      </c>
      <c r="G33">
        <v>22.473990033494999</v>
      </c>
      <c r="H33">
        <v>3.0981774947621501</v>
      </c>
      <c r="I33">
        <f t="shared" si="6"/>
        <v>1.83679999999998</v>
      </c>
      <c r="J33">
        <f t="shared" si="1"/>
        <v>0.84485755615008995</v>
      </c>
      <c r="K33">
        <f t="shared" si="4"/>
        <v>0.45996164860088101</v>
      </c>
    </row>
    <row r="34" spans="1:11">
      <c r="A34">
        <v>9501</v>
      </c>
      <c r="B34" t="s">
        <v>46</v>
      </c>
      <c r="C34">
        <v>2008</v>
      </c>
      <c r="D34">
        <v>1.61872550623849</v>
      </c>
      <c r="E34">
        <v>15.1654695676526</v>
      </c>
      <c r="F34">
        <v>15.2552669257517</v>
      </c>
      <c r="G34">
        <v>29.295784290541</v>
      </c>
      <c r="H34">
        <v>3.1269610904438299</v>
      </c>
      <c r="I34">
        <f t="shared" si="6"/>
        <v>1.89919999999999</v>
      </c>
      <c r="J34">
        <f t="shared" si="1"/>
        <v>0.85231966419465899</v>
      </c>
      <c r="K34">
        <f t="shared" si="4"/>
        <v>0.44877825621033202</v>
      </c>
    </row>
    <row r="35" spans="1:11">
      <c r="A35">
        <v>9501</v>
      </c>
      <c r="B35" t="s">
        <v>46</v>
      </c>
      <c r="C35">
        <v>2009</v>
      </c>
      <c r="D35">
        <v>2.0384840458171398</v>
      </c>
      <c r="E35">
        <v>14.2938325594028</v>
      </c>
      <c r="F35">
        <v>15.9146748730917</v>
      </c>
      <c r="G35">
        <v>26.538881120271899</v>
      </c>
      <c r="H35">
        <v>3.7847851884849901</v>
      </c>
      <c r="I35">
        <f t="shared" si="6"/>
        <v>1.96159999999999</v>
      </c>
      <c r="J35">
        <f t="shared" si="1"/>
        <v>1.0391945584304401</v>
      </c>
      <c r="K35">
        <f t="shared" si="4"/>
        <v>0.52976884096168697</v>
      </c>
    </row>
    <row r="36" spans="1:11">
      <c r="A36">
        <v>9501</v>
      </c>
      <c r="B36" t="s">
        <v>46</v>
      </c>
      <c r="C36">
        <v>2010</v>
      </c>
      <c r="D36">
        <v>2.5155146060729998</v>
      </c>
      <c r="E36">
        <v>9.4682642261511294</v>
      </c>
      <c r="F36">
        <v>15.9740828204318</v>
      </c>
      <c r="G36">
        <v>19.047497881934799</v>
      </c>
      <c r="H36">
        <v>5.0605114080797797</v>
      </c>
      <c r="I36">
        <f t="shared" si="6"/>
        <v>2.0239999999999898</v>
      </c>
      <c r="J36">
        <f t="shared" si="1"/>
        <v>1.2428431848186801</v>
      </c>
      <c r="K36">
        <f t="shared" si="4"/>
        <v>0.61405295692623096</v>
      </c>
    </row>
    <row r="37" spans="1:11">
      <c r="A37">
        <v>9701</v>
      </c>
      <c r="B37" t="s">
        <v>46</v>
      </c>
      <c r="C37">
        <v>2002</v>
      </c>
      <c r="D37">
        <v>2.2000000000000002</v>
      </c>
      <c r="E37">
        <v>0</v>
      </c>
      <c r="F37">
        <v>15.1</v>
      </c>
      <c r="G37">
        <v>0</v>
      </c>
      <c r="I37">
        <f t="shared" ref="I37:I45" si="7">0.041*C37-80.197</f>
        <v>1.88500000000001</v>
      </c>
      <c r="J37">
        <f t="shared" si="1"/>
        <v>1.1671087533156499</v>
      </c>
      <c r="K37">
        <f t="shared" si="4"/>
        <v>0.61915583730272905</v>
      </c>
    </row>
    <row r="38" spans="1:11">
      <c r="A38">
        <v>9701</v>
      </c>
      <c r="B38" t="s">
        <v>46</v>
      </c>
      <c r="C38">
        <v>2003</v>
      </c>
      <c r="D38">
        <v>2.1</v>
      </c>
      <c r="E38">
        <v>0</v>
      </c>
      <c r="F38">
        <v>14.9</v>
      </c>
      <c r="G38">
        <v>0</v>
      </c>
      <c r="I38">
        <f t="shared" si="7"/>
        <v>1.9259999999999999</v>
      </c>
      <c r="J38">
        <f t="shared" si="1"/>
        <v>1.09034267912772</v>
      </c>
      <c r="K38">
        <f t="shared" si="4"/>
        <v>0.56611769425115499</v>
      </c>
    </row>
    <row r="39" spans="1:11">
      <c r="A39">
        <v>9701</v>
      </c>
      <c r="B39" t="s">
        <v>46</v>
      </c>
      <c r="C39">
        <v>2004</v>
      </c>
      <c r="D39">
        <v>2.1</v>
      </c>
      <c r="E39">
        <v>8.077</v>
      </c>
      <c r="F39">
        <v>15.4</v>
      </c>
      <c r="G39">
        <v>19.102299045041001</v>
      </c>
      <c r="H39">
        <v>4.9665504512301704</v>
      </c>
      <c r="I39">
        <f t="shared" si="7"/>
        <v>1.9670000000000001</v>
      </c>
      <c r="J39">
        <f t="shared" si="1"/>
        <v>1.0676156583629901</v>
      </c>
      <c r="K39">
        <f t="shared" si="4"/>
        <v>0.54276342570563796</v>
      </c>
    </row>
    <row r="40" spans="1:11">
      <c r="A40">
        <v>9701</v>
      </c>
      <c r="B40" t="s">
        <v>46</v>
      </c>
      <c r="C40">
        <v>2005</v>
      </c>
      <c r="D40">
        <v>2.1</v>
      </c>
      <c r="E40">
        <v>2.6179999999999999</v>
      </c>
      <c r="F40">
        <v>14</v>
      </c>
      <c r="G40">
        <v>6.0923175647525403</v>
      </c>
      <c r="H40">
        <v>4.8868857471277103</v>
      </c>
      <c r="I40">
        <f t="shared" si="7"/>
        <v>2.008</v>
      </c>
      <c r="J40">
        <f t="shared" si="1"/>
        <v>1.0458167330677299</v>
      </c>
      <c r="K40">
        <f t="shared" si="4"/>
        <v>0.52082506626879199</v>
      </c>
    </row>
    <row r="41" spans="1:11">
      <c r="A41">
        <v>9701</v>
      </c>
      <c r="B41" t="s">
        <v>46</v>
      </c>
      <c r="C41">
        <v>2006</v>
      </c>
      <c r="D41">
        <v>1.9</v>
      </c>
      <c r="E41">
        <v>11.885</v>
      </c>
      <c r="F41">
        <v>15.3</v>
      </c>
      <c r="G41">
        <v>25.486618986466802</v>
      </c>
      <c r="H41">
        <v>4.0744279406215398</v>
      </c>
      <c r="I41">
        <f t="shared" si="7"/>
        <v>2.0490000000000101</v>
      </c>
      <c r="J41">
        <f t="shared" si="1"/>
        <v>0.92728160078086597</v>
      </c>
      <c r="K41">
        <f t="shared" si="4"/>
        <v>0.45255324586669698</v>
      </c>
    </row>
    <row r="42" spans="1:11">
      <c r="A42">
        <v>9701</v>
      </c>
      <c r="B42" t="s">
        <v>46</v>
      </c>
      <c r="C42">
        <v>2007</v>
      </c>
      <c r="D42">
        <v>1.9</v>
      </c>
      <c r="E42">
        <v>3.274</v>
      </c>
      <c r="F42">
        <v>14.2</v>
      </c>
      <c r="G42">
        <v>8.5281461649053192</v>
      </c>
      <c r="H42">
        <v>4.9491379698595299</v>
      </c>
      <c r="I42">
        <f t="shared" si="7"/>
        <v>2.09</v>
      </c>
      <c r="J42">
        <f t="shared" si="1"/>
        <v>0.90909090909090795</v>
      </c>
      <c r="K42">
        <f t="shared" si="4"/>
        <v>0.43497172683775398</v>
      </c>
    </row>
    <row r="43" spans="1:11">
      <c r="A43">
        <v>9701</v>
      </c>
      <c r="B43" t="s">
        <v>46</v>
      </c>
      <c r="C43">
        <v>2008</v>
      </c>
      <c r="D43">
        <v>1.929</v>
      </c>
      <c r="E43">
        <v>6.6470000000000002</v>
      </c>
      <c r="F43">
        <v>16.7</v>
      </c>
      <c r="G43">
        <v>14.024902277930799</v>
      </c>
      <c r="H43">
        <v>4.0701123054202801</v>
      </c>
      <c r="I43">
        <f t="shared" si="7"/>
        <v>2.1309999999999998</v>
      </c>
      <c r="J43">
        <f t="shared" si="1"/>
        <v>0.90520882214922604</v>
      </c>
      <c r="K43">
        <f t="shared" si="4"/>
        <v>0.42478123986354999</v>
      </c>
    </row>
    <row r="44" spans="1:11">
      <c r="A44">
        <v>9701</v>
      </c>
      <c r="B44" t="s">
        <v>46</v>
      </c>
      <c r="C44">
        <v>2009</v>
      </c>
      <c r="D44">
        <v>2.355</v>
      </c>
      <c r="E44">
        <v>11.946999999999999</v>
      </c>
      <c r="F44">
        <v>17.3</v>
      </c>
      <c r="G44">
        <v>22.843674739132201</v>
      </c>
      <c r="H44">
        <v>4.5029592375204199</v>
      </c>
      <c r="I44">
        <f t="shared" si="7"/>
        <v>2.1720000000000002</v>
      </c>
      <c r="J44">
        <f t="shared" si="1"/>
        <v>1.0842541436464099</v>
      </c>
      <c r="K44">
        <f t="shared" si="4"/>
        <v>0.49919619873223398</v>
      </c>
    </row>
    <row r="45" spans="1:11">
      <c r="A45">
        <v>9701</v>
      </c>
      <c r="B45" t="s">
        <v>46</v>
      </c>
      <c r="C45">
        <v>2010</v>
      </c>
      <c r="D45">
        <v>2.76</v>
      </c>
      <c r="E45">
        <v>2.2050000000000001</v>
      </c>
      <c r="F45">
        <v>15.3</v>
      </c>
      <c r="G45">
        <v>5.8488063660477501</v>
      </c>
      <c r="H45">
        <v>7.3209549071618003</v>
      </c>
      <c r="I45">
        <f t="shared" si="7"/>
        <v>2.2129999999999899</v>
      </c>
      <c r="J45">
        <f t="shared" si="1"/>
        <v>1.2471757794848699</v>
      </c>
      <c r="K45">
        <f t="shared" si="4"/>
        <v>0.56356790758466702</v>
      </c>
    </row>
    <row r="46" spans="1:11">
      <c r="A46">
        <v>9801</v>
      </c>
      <c r="B46" t="s">
        <v>46</v>
      </c>
      <c r="C46">
        <v>2002</v>
      </c>
      <c r="D46">
        <v>1.9</v>
      </c>
      <c r="E46">
        <v>13.516999999999999</v>
      </c>
      <c r="F46">
        <v>14.9</v>
      </c>
      <c r="G46">
        <v>25.129538295559701</v>
      </c>
      <c r="H46">
        <v>3.5323017505040601</v>
      </c>
      <c r="I46">
        <f t="shared" ref="I46:I54" si="8">0.0141*C46-26.355</f>
        <v>1.8732</v>
      </c>
      <c r="J46">
        <f t="shared" si="1"/>
        <v>1.0143070681187301</v>
      </c>
      <c r="K46">
        <f t="shared" si="4"/>
        <v>0.541483593913478</v>
      </c>
    </row>
    <row r="47" spans="1:11">
      <c r="A47">
        <v>9801</v>
      </c>
      <c r="B47" t="s">
        <v>46</v>
      </c>
      <c r="C47">
        <v>2003</v>
      </c>
      <c r="D47">
        <v>1.9</v>
      </c>
      <c r="E47">
        <v>13.106</v>
      </c>
      <c r="F47">
        <v>14</v>
      </c>
      <c r="G47">
        <v>29.739930322926401</v>
      </c>
      <c r="H47">
        <v>4.3114502986082899</v>
      </c>
      <c r="I47">
        <f t="shared" si="8"/>
        <v>1.8873</v>
      </c>
      <c r="J47">
        <f t="shared" si="1"/>
        <v>1.00672918984793</v>
      </c>
      <c r="K47">
        <f t="shared" si="4"/>
        <v>0.53342297983782705</v>
      </c>
    </row>
    <row r="48" spans="1:11">
      <c r="A48">
        <v>9801</v>
      </c>
      <c r="B48" t="s">
        <v>46</v>
      </c>
      <c r="C48">
        <v>2004</v>
      </c>
      <c r="D48">
        <v>1.8</v>
      </c>
      <c r="E48">
        <v>6.4859999999999998</v>
      </c>
      <c r="F48">
        <v>14.5</v>
      </c>
      <c r="G48">
        <v>12.828064040744099</v>
      </c>
      <c r="H48">
        <v>3.5600547754146299</v>
      </c>
      <c r="I48">
        <f t="shared" si="8"/>
        <v>1.9014</v>
      </c>
      <c r="J48">
        <f t="shared" si="1"/>
        <v>0.94667087409277395</v>
      </c>
      <c r="K48">
        <f t="shared" si="4"/>
        <v>0.49788096880865401</v>
      </c>
    </row>
    <row r="49" spans="1:11">
      <c r="A49">
        <v>9801</v>
      </c>
      <c r="B49" t="s">
        <v>46</v>
      </c>
      <c r="C49">
        <v>2005</v>
      </c>
      <c r="D49">
        <v>1.9</v>
      </c>
      <c r="E49">
        <v>12.637</v>
      </c>
      <c r="F49">
        <v>13.7</v>
      </c>
      <c r="G49">
        <v>23.432421907011999</v>
      </c>
      <c r="H49">
        <v>3.5231147917482599</v>
      </c>
      <c r="I49">
        <f t="shared" si="8"/>
        <v>1.9155</v>
      </c>
      <c r="J49">
        <f t="shared" si="1"/>
        <v>0.991908117984861</v>
      </c>
      <c r="K49">
        <f t="shared" si="4"/>
        <v>0.51783248132856297</v>
      </c>
    </row>
    <row r="50" spans="1:11">
      <c r="A50">
        <v>9801</v>
      </c>
      <c r="B50" t="s">
        <v>46</v>
      </c>
      <c r="C50">
        <v>2006</v>
      </c>
      <c r="D50">
        <v>1.9</v>
      </c>
      <c r="E50">
        <v>12.77</v>
      </c>
      <c r="F50">
        <v>15.8</v>
      </c>
      <c r="G50">
        <v>25.7669389560218</v>
      </c>
      <c r="H50">
        <v>3.8337653889147498</v>
      </c>
      <c r="I50">
        <f t="shared" si="8"/>
        <v>1.9296</v>
      </c>
      <c r="J50">
        <f t="shared" si="1"/>
        <v>0.98466003316749595</v>
      </c>
      <c r="K50">
        <f t="shared" si="4"/>
        <v>0.51029230574600704</v>
      </c>
    </row>
    <row r="51" spans="1:11">
      <c r="A51">
        <v>9801</v>
      </c>
      <c r="B51" t="s">
        <v>46</v>
      </c>
      <c r="C51">
        <v>2007</v>
      </c>
      <c r="D51">
        <v>1.9</v>
      </c>
      <c r="E51">
        <v>14.352</v>
      </c>
      <c r="F51">
        <v>14.4</v>
      </c>
      <c r="G51">
        <v>24.737865516719499</v>
      </c>
      <c r="H51">
        <v>3.2749403903126502</v>
      </c>
      <c r="I51">
        <f t="shared" si="8"/>
        <v>1.9437</v>
      </c>
      <c r="J51">
        <f t="shared" si="1"/>
        <v>0.97751710654936497</v>
      </c>
      <c r="K51">
        <f t="shared" si="4"/>
        <v>0.50291562820875901</v>
      </c>
    </row>
    <row r="52" spans="1:11">
      <c r="A52">
        <v>9801</v>
      </c>
      <c r="B52" t="s">
        <v>46</v>
      </c>
      <c r="C52">
        <v>2008</v>
      </c>
      <c r="D52">
        <v>1.9755</v>
      </c>
      <c r="E52">
        <v>12.106</v>
      </c>
      <c r="F52">
        <v>14.7</v>
      </c>
      <c r="G52">
        <v>23.583863185641299</v>
      </c>
      <c r="H52">
        <v>3.8484984076684499</v>
      </c>
      <c r="I52">
        <f t="shared" si="8"/>
        <v>1.9578</v>
      </c>
      <c r="J52">
        <f t="shared" si="1"/>
        <v>1.0090407600367799</v>
      </c>
      <c r="K52">
        <f t="shared" si="4"/>
        <v>0.51539521914229103</v>
      </c>
    </row>
    <row r="53" spans="1:11">
      <c r="A53">
        <v>9801</v>
      </c>
      <c r="B53" t="s">
        <v>46</v>
      </c>
      <c r="C53">
        <v>2009</v>
      </c>
      <c r="D53">
        <v>1.9715</v>
      </c>
      <c r="E53">
        <v>12.536</v>
      </c>
      <c r="F53">
        <v>16</v>
      </c>
      <c r="G53">
        <v>22.738105027256999</v>
      </c>
      <c r="H53">
        <v>3.5759551739978601</v>
      </c>
      <c r="I53">
        <f t="shared" si="8"/>
        <v>1.9719</v>
      </c>
      <c r="J53">
        <f t="shared" si="1"/>
        <v>0.99979714995689495</v>
      </c>
      <c r="K53">
        <f t="shared" si="4"/>
        <v>0.50702223741411701</v>
      </c>
    </row>
    <row r="54" spans="1:11">
      <c r="A54">
        <v>9801</v>
      </c>
      <c r="B54" t="s">
        <v>46</v>
      </c>
      <c r="C54">
        <v>2010</v>
      </c>
      <c r="D54">
        <v>1.97</v>
      </c>
      <c r="E54">
        <v>14.352</v>
      </c>
      <c r="F54">
        <v>14.8</v>
      </c>
      <c r="G54">
        <v>28.0141286768275</v>
      </c>
      <c r="H54">
        <v>3.8453061241186002</v>
      </c>
      <c r="I54">
        <f t="shared" si="8"/>
        <v>1.986</v>
      </c>
      <c r="J54">
        <f t="shared" si="1"/>
        <v>0.99194360523665603</v>
      </c>
      <c r="K54">
        <f t="shared" si="4"/>
        <v>0.49946807917253599</v>
      </c>
    </row>
    <row r="55" spans="1:11">
      <c r="A55">
        <v>9901</v>
      </c>
      <c r="B55" t="s">
        <v>46</v>
      </c>
      <c r="C55">
        <v>2002</v>
      </c>
      <c r="D55">
        <v>1.52719012003939</v>
      </c>
      <c r="E55">
        <v>12.798289042080301</v>
      </c>
      <c r="F55">
        <v>12.8753128742913</v>
      </c>
      <c r="G55">
        <v>26.930766267816502</v>
      </c>
      <c r="H55">
        <v>3.2135858187036299</v>
      </c>
      <c r="I55">
        <f t="shared" ref="I55:I63" si="9">-0.0482*C55+98.149</f>
        <v>1.6526000000000101</v>
      </c>
      <c r="J55">
        <f t="shared" si="1"/>
        <v>0.92411359072938604</v>
      </c>
      <c r="K55">
        <f t="shared" si="4"/>
        <v>0.55918769861393103</v>
      </c>
    </row>
    <row r="56" spans="1:11">
      <c r="A56">
        <v>9901</v>
      </c>
      <c r="B56" t="s">
        <v>46</v>
      </c>
      <c r="C56">
        <v>2003</v>
      </c>
      <c r="D56">
        <v>1.6987485028346301</v>
      </c>
      <c r="E56">
        <v>12.0784731998057</v>
      </c>
      <c r="F56">
        <v>12.319681137047199</v>
      </c>
      <c r="G56">
        <v>26.0618368426159</v>
      </c>
      <c r="H56">
        <v>3.6654058493276001</v>
      </c>
      <c r="I56">
        <f t="shared" si="9"/>
        <v>1.6044</v>
      </c>
      <c r="J56">
        <f t="shared" si="1"/>
        <v>1.0588060975035101</v>
      </c>
      <c r="K56">
        <f t="shared" si="4"/>
        <v>0.65993897874813701</v>
      </c>
    </row>
    <row r="57" spans="1:11">
      <c r="A57">
        <v>9901</v>
      </c>
      <c r="B57" t="s">
        <v>46</v>
      </c>
      <c r="C57">
        <v>2004</v>
      </c>
      <c r="D57">
        <v>1.5518772457480501</v>
      </c>
      <c r="E57">
        <v>11.9901422905965</v>
      </c>
      <c r="F57">
        <v>12.0506257485827</v>
      </c>
      <c r="G57">
        <v>28.7343471556675</v>
      </c>
      <c r="H57">
        <v>3.7190700862055599</v>
      </c>
      <c r="I57">
        <f t="shared" si="9"/>
        <v>1.5562</v>
      </c>
      <c r="J57">
        <f t="shared" si="1"/>
        <v>0.99722223733970305</v>
      </c>
      <c r="K57">
        <f t="shared" si="4"/>
        <v>0.64080596153431502</v>
      </c>
    </row>
    <row r="58" spans="1:11">
      <c r="A58">
        <v>9901</v>
      </c>
      <c r="B58" t="s">
        <v>46</v>
      </c>
      <c r="C58">
        <v>2005</v>
      </c>
      <c r="D58">
        <v>1.5765643714567099</v>
      </c>
      <c r="E58">
        <v>11.6955563173724</v>
      </c>
      <c r="F58">
        <v>11.7987485028346</v>
      </c>
      <c r="G58">
        <v>24.3771501536249</v>
      </c>
      <c r="H58">
        <v>3.2860468854114102</v>
      </c>
      <c r="I58">
        <f t="shared" si="9"/>
        <v>1.508</v>
      </c>
      <c r="J58">
        <f t="shared" si="1"/>
        <v>1.0454670898254099</v>
      </c>
      <c r="K58">
        <f t="shared" si="4"/>
        <v>0.69328056354470202</v>
      </c>
    </row>
    <row r="59" spans="1:11">
      <c r="A59">
        <v>9901</v>
      </c>
      <c r="B59" t="s">
        <v>46</v>
      </c>
      <c r="C59">
        <v>2006</v>
      </c>
      <c r="D59">
        <v>1.60125149716537</v>
      </c>
      <c r="E59">
        <v>12.6772707034681</v>
      </c>
      <c r="F59">
        <v>12.9456197599212</v>
      </c>
      <c r="G59">
        <v>26.1406812138212</v>
      </c>
      <c r="H59">
        <v>3.3017994101129999</v>
      </c>
      <c r="I59">
        <f t="shared" si="9"/>
        <v>1.4598</v>
      </c>
      <c r="J59">
        <f t="shared" si="1"/>
        <v>1.09689786077913</v>
      </c>
      <c r="K59">
        <f t="shared" si="4"/>
        <v>0.75140283653865303</v>
      </c>
    </row>
    <row r="60" spans="1:11">
      <c r="A60">
        <v>9901</v>
      </c>
      <c r="B60" t="s">
        <v>46</v>
      </c>
      <c r="C60">
        <v>2007</v>
      </c>
      <c r="D60">
        <v>1.5259386228740299</v>
      </c>
      <c r="E60">
        <v>12.7118669612201</v>
      </c>
      <c r="F60">
        <v>12.8493742514173</v>
      </c>
      <c r="G60">
        <v>27.7321232742941</v>
      </c>
      <c r="H60">
        <v>3.3289774135968</v>
      </c>
      <c r="I60">
        <f t="shared" si="9"/>
        <v>1.41160000000001</v>
      </c>
      <c r="J60">
        <f t="shared" si="1"/>
        <v>1.08099930778834</v>
      </c>
      <c r="K60">
        <f t="shared" si="4"/>
        <v>0.76579718602177405</v>
      </c>
    </row>
    <row r="61" spans="1:11">
      <c r="A61">
        <v>9901</v>
      </c>
      <c r="B61" t="s">
        <v>46</v>
      </c>
      <c r="C61">
        <v>2008</v>
      </c>
      <c r="D61">
        <v>1.2504672256084</v>
      </c>
      <c r="E61">
        <v>13.299591961885501</v>
      </c>
      <c r="F61">
        <v>13.602502994330701</v>
      </c>
      <c r="G61">
        <v>26.728235305130799</v>
      </c>
      <c r="H61">
        <v>2.5130682462439302</v>
      </c>
      <c r="I61">
        <f t="shared" si="9"/>
        <v>1.3633999999999999</v>
      </c>
      <c r="J61">
        <f t="shared" si="1"/>
        <v>0.91716827461376105</v>
      </c>
      <c r="K61">
        <f t="shared" si="4"/>
        <v>0.67270667053965205</v>
      </c>
    </row>
    <row r="62" spans="1:11">
      <c r="A62">
        <v>9901</v>
      </c>
      <c r="B62" t="s">
        <v>46</v>
      </c>
      <c r="C62">
        <v>2009</v>
      </c>
      <c r="D62">
        <v>1.2512996158384599</v>
      </c>
      <c r="E62">
        <v>13.6876294208218</v>
      </c>
      <c r="F62">
        <v>13.923435628543301</v>
      </c>
      <c r="G62">
        <v>28.711621199320401</v>
      </c>
      <c r="H62">
        <v>2.6247671873813698</v>
      </c>
      <c r="I62">
        <f t="shared" si="9"/>
        <v>1.3151999999999999</v>
      </c>
      <c r="J62">
        <f t="shared" si="1"/>
        <v>0.95141394148301095</v>
      </c>
      <c r="K62">
        <f t="shared" si="4"/>
        <v>0.72339867813489001</v>
      </c>
    </row>
    <row r="63" spans="1:11">
      <c r="A63">
        <v>9901</v>
      </c>
      <c r="B63" t="s">
        <v>46</v>
      </c>
      <c r="C63">
        <v>2010</v>
      </c>
      <c r="D63">
        <v>1.30326132744226</v>
      </c>
      <c r="E63">
        <v>12.668536303601901</v>
      </c>
      <c r="F63">
        <v>13.5518772457481</v>
      </c>
      <c r="G63">
        <v>27.219667985556999</v>
      </c>
      <c r="H63">
        <v>2.8001925227390898</v>
      </c>
      <c r="I63">
        <f t="shared" si="9"/>
        <v>1.2669999999999999</v>
      </c>
      <c r="J63">
        <f t="shared" si="1"/>
        <v>1.0286198322354101</v>
      </c>
      <c r="K63">
        <f t="shared" si="4"/>
        <v>0.81185464264831397</v>
      </c>
    </row>
    <row r="64" spans="1:11">
      <c r="A64">
        <v>10101</v>
      </c>
      <c r="B64" t="s">
        <v>46</v>
      </c>
      <c r="C64">
        <v>2002</v>
      </c>
      <c r="D64">
        <v>0.916892261196669</v>
      </c>
      <c r="E64">
        <v>3.3894083207407601</v>
      </c>
      <c r="F64">
        <v>10.876015175385</v>
      </c>
      <c r="G64">
        <v>9.1143330236581495</v>
      </c>
      <c r="H64">
        <v>2.4655811942820098</v>
      </c>
      <c r="I64">
        <f t="shared" ref="I64:I72" si="10">0.0366*C64-72.364</f>
        <v>0.90919999999999801</v>
      </c>
      <c r="J64">
        <f t="shared" si="1"/>
        <v>1.0084604720596899</v>
      </c>
      <c r="K64">
        <f t="shared" si="4"/>
        <v>1.10917341845545</v>
      </c>
    </row>
    <row r="65" spans="1:11">
      <c r="A65">
        <v>10101</v>
      </c>
      <c r="B65" t="s">
        <v>46</v>
      </c>
      <c r="C65">
        <v>2003</v>
      </c>
      <c r="D65">
        <v>0.916892261196669</v>
      </c>
      <c r="E65">
        <v>6.6944173873902804</v>
      </c>
      <c r="F65">
        <v>10.974661608205</v>
      </c>
      <c r="G65">
        <v>16.498482445218599</v>
      </c>
      <c r="H65">
        <v>2.25969341320189</v>
      </c>
      <c r="I65">
        <f t="shared" si="10"/>
        <v>0.94579999999999098</v>
      </c>
      <c r="J65">
        <f t="shared" si="1"/>
        <v>0.96943567476916603</v>
      </c>
      <c r="K65">
        <f t="shared" si="4"/>
        <v>1.02499014037764</v>
      </c>
    </row>
    <row r="66" spans="1:11">
      <c r="A66">
        <v>10101</v>
      </c>
      <c r="B66" t="s">
        <v>46</v>
      </c>
      <c r="C66">
        <v>2004</v>
      </c>
      <c r="D66">
        <v>0.92533839179500399</v>
      </c>
      <c r="E66">
        <v>4.5487922065395603</v>
      </c>
      <c r="F66">
        <v>10.9675690447867</v>
      </c>
      <c r="G66">
        <v>12.198619075744499</v>
      </c>
      <c r="H66">
        <v>2.4815049897072199</v>
      </c>
      <c r="I66">
        <f t="shared" si="10"/>
        <v>0.98239999999999805</v>
      </c>
      <c r="J66">
        <f t="shared" ref="J66:J108" si="11">D66/I66</f>
        <v>0.94191611542651199</v>
      </c>
      <c r="K66">
        <f t="shared" si="4"/>
        <v>0.958790834106793</v>
      </c>
    </row>
    <row r="67" spans="1:11">
      <c r="A67">
        <v>10101</v>
      </c>
      <c r="B67" t="s">
        <v>46</v>
      </c>
      <c r="C67">
        <v>2005</v>
      </c>
      <c r="D67">
        <v>1.01689226119667</v>
      </c>
      <c r="E67">
        <v>7.7027748127190296</v>
      </c>
      <c r="F67">
        <v>11.1915538694017</v>
      </c>
      <c r="G67">
        <v>17.207493887957199</v>
      </c>
      <c r="H67">
        <v>2.2716706374901698</v>
      </c>
      <c r="I67">
        <f t="shared" si="10"/>
        <v>1.0189999999999899</v>
      </c>
      <c r="J67">
        <f t="shared" si="11"/>
        <v>0.99793156152765305</v>
      </c>
      <c r="K67">
        <f t="shared" si="4"/>
        <v>0.979324397966302</v>
      </c>
    </row>
    <row r="68" spans="1:11">
      <c r="A68">
        <v>10101</v>
      </c>
      <c r="B68" t="s">
        <v>46</v>
      </c>
      <c r="C68">
        <v>2006</v>
      </c>
      <c r="D68">
        <v>1.10844613059833</v>
      </c>
      <c r="E68">
        <v>2.7045013021252</v>
      </c>
      <c r="F68">
        <v>10.667569044786701</v>
      </c>
      <c r="G68">
        <v>6.7998261906984503</v>
      </c>
      <c r="H68">
        <v>2.7869245335168298</v>
      </c>
      <c r="I68">
        <f t="shared" si="10"/>
        <v>1.0556000000000001</v>
      </c>
      <c r="J68">
        <f t="shared" si="11"/>
        <v>1.0500626474027399</v>
      </c>
      <c r="K68">
        <f t="shared" si="4"/>
        <v>0.99475430788437003</v>
      </c>
    </row>
    <row r="69" spans="1:11">
      <c r="A69">
        <v>10101</v>
      </c>
      <c r="B69" t="s">
        <v>46</v>
      </c>
      <c r="C69">
        <v>2007</v>
      </c>
      <c r="D69">
        <v>1.1168922611966701</v>
      </c>
      <c r="E69">
        <v>3.1366355657010598</v>
      </c>
      <c r="F69">
        <v>10.3084461305983</v>
      </c>
      <c r="G69">
        <v>7.7034694320183101</v>
      </c>
      <c r="H69">
        <v>2.74304910875526</v>
      </c>
      <c r="I69">
        <f t="shared" si="10"/>
        <v>1.0921999999999901</v>
      </c>
      <c r="J69">
        <f t="shared" si="11"/>
        <v>1.0226078201764099</v>
      </c>
      <c r="K69">
        <f t="shared" si="4"/>
        <v>0.93628256745689598</v>
      </c>
    </row>
    <row r="70" spans="1:11">
      <c r="A70">
        <v>10101</v>
      </c>
      <c r="B70" t="s">
        <v>46</v>
      </c>
      <c r="C70">
        <v>2008</v>
      </c>
      <c r="D70">
        <v>1.1455814873163399</v>
      </c>
      <c r="E70">
        <v>6.8927303797061397</v>
      </c>
      <c r="F70">
        <v>10.998646432819999</v>
      </c>
      <c r="G70">
        <v>16.070330804792601</v>
      </c>
      <c r="H70">
        <v>2.67091159103262</v>
      </c>
      <c r="I70">
        <f t="shared" si="10"/>
        <v>1.1288</v>
      </c>
      <c r="J70">
        <f t="shared" si="11"/>
        <v>1.01486666133623</v>
      </c>
      <c r="K70">
        <f t="shared" si="4"/>
        <v>0.89906685093571603</v>
      </c>
    </row>
    <row r="71" spans="1:11">
      <c r="A71">
        <v>10101</v>
      </c>
      <c r="B71" t="s">
        <v>46</v>
      </c>
      <c r="C71">
        <v>2009</v>
      </c>
      <c r="D71">
        <v>1.1419193325402699</v>
      </c>
      <c r="E71">
        <v>4.5601401472526799</v>
      </c>
      <c r="F71">
        <v>10.183107738803299</v>
      </c>
      <c r="G71">
        <v>11.8731160148449</v>
      </c>
      <c r="H71">
        <v>2.9731850945443501</v>
      </c>
      <c r="I71">
        <f t="shared" si="10"/>
        <v>1.16539999999999</v>
      </c>
      <c r="J71">
        <f t="shared" si="11"/>
        <v>0.97985183845913704</v>
      </c>
      <c r="K71">
        <f t="shared" si="4"/>
        <v>0.84078585761038704</v>
      </c>
    </row>
    <row r="72" spans="1:11">
      <c r="A72">
        <v>10101</v>
      </c>
      <c r="B72" t="s">
        <v>46</v>
      </c>
      <c r="C72">
        <v>2010</v>
      </c>
      <c r="D72">
        <v>1.1619599395556699</v>
      </c>
      <c r="E72">
        <v>6.6712171816223496</v>
      </c>
      <c r="F72">
        <v>11.598646432820001</v>
      </c>
      <c r="G72">
        <v>15.6173672741775</v>
      </c>
      <c r="H72">
        <v>2.72015655312677</v>
      </c>
      <c r="I72">
        <f t="shared" si="10"/>
        <v>1.202</v>
      </c>
      <c r="J72">
        <f t="shared" si="11"/>
        <v>0.96668880162701498</v>
      </c>
      <c r="K72">
        <f t="shared" si="4"/>
        <v>0.80423361200250898</v>
      </c>
    </row>
    <row r="73" spans="1:11">
      <c r="A73">
        <v>10301</v>
      </c>
      <c r="B73" t="s">
        <v>46</v>
      </c>
      <c r="C73">
        <v>2002</v>
      </c>
      <c r="D73">
        <v>1.1000000000000001</v>
      </c>
      <c r="E73">
        <v>5.7850000000000001</v>
      </c>
      <c r="F73">
        <v>16.2</v>
      </c>
      <c r="G73">
        <v>13.106617593856599</v>
      </c>
      <c r="H73">
        <v>2.4921831206987402</v>
      </c>
      <c r="I73">
        <f t="shared" ref="I73:I81" si="12">0.0784*C73-155.91</f>
        <v>1.04679999999999</v>
      </c>
      <c r="J73">
        <f t="shared" si="11"/>
        <v>1.0508215513947401</v>
      </c>
      <c r="K73">
        <f t="shared" si="4"/>
        <v>1.0038417571596701</v>
      </c>
    </row>
    <row r="74" spans="1:11">
      <c r="A74">
        <v>10301</v>
      </c>
      <c r="B74" t="s">
        <v>46</v>
      </c>
      <c r="C74">
        <v>2003</v>
      </c>
      <c r="D74">
        <v>1.1000000000000001</v>
      </c>
      <c r="E74">
        <v>0</v>
      </c>
      <c r="F74">
        <v>14.1</v>
      </c>
      <c r="G74">
        <v>0</v>
      </c>
      <c r="I74">
        <f t="shared" si="12"/>
        <v>1.12520000000001</v>
      </c>
      <c r="J74">
        <f t="shared" si="11"/>
        <v>0.97760398151439198</v>
      </c>
      <c r="K74">
        <f t="shared" si="4"/>
        <v>0.86882685879344601</v>
      </c>
    </row>
    <row r="75" spans="1:11">
      <c r="A75">
        <v>10301</v>
      </c>
      <c r="B75" t="s">
        <v>46</v>
      </c>
      <c r="C75">
        <v>2004</v>
      </c>
      <c r="D75">
        <v>1.1000000000000001</v>
      </c>
      <c r="E75">
        <v>13.311</v>
      </c>
      <c r="F75">
        <v>14.6</v>
      </c>
      <c r="G75">
        <v>23.154483297143699</v>
      </c>
      <c r="H75">
        <v>1.91344990059786</v>
      </c>
      <c r="I75">
        <f t="shared" si="12"/>
        <v>1.20359999999999</v>
      </c>
      <c r="J75">
        <f t="shared" si="11"/>
        <v>0.91392489199069904</v>
      </c>
      <c r="K75">
        <f t="shared" si="4"/>
        <v>0.75932609836382803</v>
      </c>
    </row>
    <row r="76" spans="1:11">
      <c r="A76">
        <v>10301</v>
      </c>
      <c r="B76" t="s">
        <v>46</v>
      </c>
      <c r="C76">
        <v>2005</v>
      </c>
      <c r="D76">
        <v>1.2</v>
      </c>
      <c r="E76">
        <v>13.71</v>
      </c>
      <c r="F76">
        <v>15.1</v>
      </c>
      <c r="G76">
        <v>25.673884978758799</v>
      </c>
      <c r="H76">
        <v>2.2471671753837001</v>
      </c>
      <c r="I76">
        <f t="shared" si="12"/>
        <v>1.28200000000001</v>
      </c>
      <c r="J76">
        <f t="shared" si="11"/>
        <v>0.936037441497652</v>
      </c>
      <c r="K76">
        <f t="shared" ref="K76:K108" si="13">(J76/I76)</f>
        <v>0.73013840990455903</v>
      </c>
    </row>
    <row r="77" spans="1:11">
      <c r="A77">
        <v>10301</v>
      </c>
      <c r="B77" t="s">
        <v>46</v>
      </c>
      <c r="C77">
        <v>2006</v>
      </c>
      <c r="D77">
        <v>1.2</v>
      </c>
      <c r="E77">
        <v>0</v>
      </c>
      <c r="F77">
        <v>13.6</v>
      </c>
      <c r="G77">
        <v>0</v>
      </c>
      <c r="I77">
        <f t="shared" si="12"/>
        <v>1.3604000000000001</v>
      </c>
      <c r="J77">
        <f t="shared" si="11"/>
        <v>0.88209350191120395</v>
      </c>
      <c r="K77">
        <f t="shared" si="13"/>
        <v>0.64840745509497499</v>
      </c>
    </row>
    <row r="78" spans="1:11">
      <c r="A78">
        <v>10301</v>
      </c>
      <c r="B78" t="s">
        <v>46</v>
      </c>
      <c r="C78">
        <v>2007</v>
      </c>
      <c r="D78">
        <v>1.2</v>
      </c>
      <c r="E78">
        <v>0.19800000000000001</v>
      </c>
      <c r="F78">
        <v>15.4</v>
      </c>
      <c r="G78">
        <v>0.38899803536345801</v>
      </c>
      <c r="H78">
        <v>2.3575638506876202</v>
      </c>
      <c r="I78">
        <f t="shared" si="12"/>
        <v>1.4387999999999901</v>
      </c>
      <c r="J78">
        <f t="shared" si="11"/>
        <v>0.83402835696414501</v>
      </c>
      <c r="K78">
        <f t="shared" si="13"/>
        <v>0.57966941685025897</v>
      </c>
    </row>
    <row r="79" spans="1:11">
      <c r="A79">
        <v>10301</v>
      </c>
      <c r="B79" t="s">
        <v>46</v>
      </c>
      <c r="C79">
        <v>2008</v>
      </c>
      <c r="D79">
        <v>1.246</v>
      </c>
      <c r="E79">
        <v>10.15</v>
      </c>
      <c r="F79">
        <v>15.8</v>
      </c>
      <c r="G79">
        <v>18.192583870171401</v>
      </c>
      <c r="H79">
        <v>2.2332965026831002</v>
      </c>
      <c r="I79">
        <f t="shared" si="12"/>
        <v>1.5172000000000001</v>
      </c>
      <c r="J79">
        <f t="shared" si="11"/>
        <v>0.82124967044555597</v>
      </c>
      <c r="K79">
        <f t="shared" si="13"/>
        <v>0.54129295441969105</v>
      </c>
    </row>
    <row r="80" spans="1:11">
      <c r="A80">
        <v>10301</v>
      </c>
      <c r="B80" t="s">
        <v>46</v>
      </c>
      <c r="C80">
        <v>2009</v>
      </c>
      <c r="D80">
        <v>1.81</v>
      </c>
      <c r="E80">
        <v>13.45</v>
      </c>
      <c r="F80">
        <v>13.8</v>
      </c>
      <c r="G80">
        <v>24.578889848870201</v>
      </c>
      <c r="H80">
        <v>3.3076424257587398</v>
      </c>
      <c r="I80">
        <f t="shared" si="12"/>
        <v>1.5955999999999899</v>
      </c>
      <c r="J80">
        <f t="shared" si="11"/>
        <v>1.13436951616947</v>
      </c>
      <c r="K80">
        <f t="shared" si="13"/>
        <v>0.71093602166550496</v>
      </c>
    </row>
    <row r="81" spans="1:11">
      <c r="A81">
        <v>10301</v>
      </c>
      <c r="B81" t="s">
        <v>46</v>
      </c>
      <c r="C81">
        <v>2010</v>
      </c>
      <c r="D81">
        <v>1.67</v>
      </c>
      <c r="E81">
        <v>9.4979999999999993</v>
      </c>
      <c r="F81">
        <v>15.8</v>
      </c>
      <c r="G81">
        <v>19.635887825357599</v>
      </c>
      <c r="H81">
        <v>3.4525092301902598</v>
      </c>
      <c r="I81">
        <f t="shared" si="12"/>
        <v>1.6740000000000099</v>
      </c>
      <c r="J81">
        <f t="shared" si="11"/>
        <v>0.99761051373954202</v>
      </c>
      <c r="K81">
        <f t="shared" si="13"/>
        <v>0.59594415396627098</v>
      </c>
    </row>
    <row r="82" spans="1:11">
      <c r="A82">
        <v>10401</v>
      </c>
      <c r="B82" t="s">
        <v>46</v>
      </c>
      <c r="C82">
        <v>2002</v>
      </c>
      <c r="D82">
        <v>1.35830937432768</v>
      </c>
      <c r="E82">
        <v>12.554616878700701</v>
      </c>
      <c r="F82">
        <v>14.493660153728801</v>
      </c>
      <c r="G82">
        <v>23.170460740504701</v>
      </c>
      <c r="H82">
        <v>2.50685897749005</v>
      </c>
      <c r="I82">
        <f>0.0432*C82-85.175</f>
        <v>1.3114000000000099</v>
      </c>
      <c r="J82">
        <f t="shared" si="11"/>
        <v>1.035770454726</v>
      </c>
      <c r="K82">
        <f t="shared" si="13"/>
        <v>0.789820386400788</v>
      </c>
    </row>
    <row r="83" spans="1:11">
      <c r="A83">
        <v>10401</v>
      </c>
      <c r="B83" t="s">
        <v>46</v>
      </c>
      <c r="C83">
        <v>2003</v>
      </c>
      <c r="D83">
        <v>1.35830937432768</v>
      </c>
      <c r="E83">
        <v>9.8297655723854405</v>
      </c>
      <c r="F83">
        <v>14.856196092237299</v>
      </c>
      <c r="G83">
        <v>17.679343271503399</v>
      </c>
      <c r="H83">
        <v>2.4429898679478401</v>
      </c>
      <c r="I83">
        <f t="shared" ref="I83:I90" si="14">0.0432*C83-85.175</f>
        <v>1.3546</v>
      </c>
      <c r="J83">
        <f t="shared" si="11"/>
        <v>1.0027383539994601</v>
      </c>
      <c r="K83">
        <f t="shared" si="13"/>
        <v>0.74024682858368596</v>
      </c>
    </row>
    <row r="84" spans="1:11">
      <c r="A84">
        <v>10401</v>
      </c>
      <c r="B84" t="s">
        <v>46</v>
      </c>
      <c r="C84">
        <v>2004</v>
      </c>
      <c r="D84">
        <v>1.4166187486553601</v>
      </c>
      <c r="E84">
        <v>8.0567960330005892</v>
      </c>
      <c r="F84">
        <v>15.5229585949266</v>
      </c>
      <c r="G84">
        <v>17.7919125002499</v>
      </c>
      <c r="H84">
        <v>3.1283349757214598</v>
      </c>
      <c r="I84">
        <f t="shared" si="14"/>
        <v>1.3977999999999999</v>
      </c>
      <c r="J84">
        <f t="shared" si="11"/>
        <v>1.0134631196561401</v>
      </c>
      <c r="K84">
        <f t="shared" si="13"/>
        <v>0.72504157937912395</v>
      </c>
    </row>
    <row r="85" spans="1:11">
      <c r="A85">
        <v>10401</v>
      </c>
      <c r="B85" t="s">
        <v>46</v>
      </c>
      <c r="C85">
        <v>2005</v>
      </c>
      <c r="D85">
        <v>1.5166187486553599</v>
      </c>
      <c r="E85">
        <v>5.4076045348506003</v>
      </c>
      <c r="F85">
        <v>14.377041405073401</v>
      </c>
      <c r="G85">
        <v>12.4620304294798</v>
      </c>
      <c r="H85">
        <v>3.4951056191065999</v>
      </c>
      <c r="I85">
        <f t="shared" si="14"/>
        <v>1.4410000000000001</v>
      </c>
      <c r="J85">
        <f t="shared" si="11"/>
        <v>1.0524765778316101</v>
      </c>
      <c r="K85">
        <f t="shared" si="13"/>
        <v>0.73037930453269495</v>
      </c>
    </row>
    <row r="86" spans="1:11">
      <c r="A86">
        <v>10401</v>
      </c>
      <c r="B86" t="s">
        <v>46</v>
      </c>
      <c r="C86">
        <v>2006</v>
      </c>
      <c r="D86">
        <v>1.61661874865536</v>
      </c>
      <c r="E86">
        <v>4.89488279151802</v>
      </c>
      <c r="F86">
        <v>15.877041405073401</v>
      </c>
      <c r="G86">
        <v>11.1427824748411</v>
      </c>
      <c r="H86">
        <v>3.6800944635959301</v>
      </c>
      <c r="I86">
        <f t="shared" si="14"/>
        <v>1.4842</v>
      </c>
      <c r="J86">
        <f t="shared" si="11"/>
        <v>1.0892189385900499</v>
      </c>
      <c r="K86">
        <f t="shared" si="13"/>
        <v>0.73387612086649601</v>
      </c>
    </row>
    <row r="87" spans="1:11">
      <c r="A87">
        <v>10401</v>
      </c>
      <c r="B87" t="s">
        <v>46</v>
      </c>
      <c r="C87">
        <v>2007</v>
      </c>
      <c r="D87">
        <v>1.61661874865536</v>
      </c>
      <c r="E87">
        <v>7.5486443433993102</v>
      </c>
      <c r="F87">
        <v>14.8123921844746</v>
      </c>
      <c r="G87">
        <v>13.322984367478799</v>
      </c>
      <c r="H87">
        <v>2.85325223135488</v>
      </c>
      <c r="I87">
        <f t="shared" si="14"/>
        <v>1.5274000000000101</v>
      </c>
      <c r="J87">
        <f t="shared" si="11"/>
        <v>1.0584121701292</v>
      </c>
      <c r="K87">
        <f t="shared" si="13"/>
        <v>0.692950222685081</v>
      </c>
    </row>
    <row r="88" spans="1:11">
      <c r="A88">
        <v>10401</v>
      </c>
      <c r="B88" t="s">
        <v>46</v>
      </c>
      <c r="C88">
        <v>2008</v>
      </c>
      <c r="D88">
        <v>1.56179068630327</v>
      </c>
      <c r="E88">
        <v>2.6413324445892901</v>
      </c>
      <c r="F88">
        <v>15.3812679692542</v>
      </c>
      <c r="G88">
        <v>5.3969991524917997</v>
      </c>
      <c r="H88">
        <v>3.1911859590468898</v>
      </c>
      <c r="I88">
        <f t="shared" si="14"/>
        <v>1.57060000000001</v>
      </c>
      <c r="J88">
        <f t="shared" si="11"/>
        <v>0.99439111569034599</v>
      </c>
      <c r="K88">
        <f t="shared" si="13"/>
        <v>0.63312817756929696</v>
      </c>
    </row>
    <row r="89" spans="1:11">
      <c r="A89">
        <v>10401</v>
      </c>
      <c r="B89" t="s">
        <v>46</v>
      </c>
      <c r="C89">
        <v>2009</v>
      </c>
      <c r="D89">
        <v>1.65172534667214</v>
      </c>
      <c r="E89">
        <v>11.7365270905721</v>
      </c>
      <c r="F89">
        <v>15.058309374327701</v>
      </c>
      <c r="G89">
        <v>21.841229971884999</v>
      </c>
      <c r="H89">
        <v>3.0737979701028602</v>
      </c>
      <c r="I89">
        <f t="shared" si="14"/>
        <v>1.6138000000000099</v>
      </c>
      <c r="J89">
        <f t="shared" si="11"/>
        <v>1.02350064857611</v>
      </c>
      <c r="K89">
        <f t="shared" si="13"/>
        <v>0.63421777703315396</v>
      </c>
    </row>
    <row r="90" spans="1:11">
      <c r="A90">
        <v>10401</v>
      </c>
      <c r="B90" t="s">
        <v>46</v>
      </c>
      <c r="C90">
        <v>2010</v>
      </c>
      <c r="D90">
        <v>1.68902027225254</v>
      </c>
      <c r="E90">
        <v>12.922066634405001</v>
      </c>
      <c r="F90">
        <v>15.458309374327699</v>
      </c>
      <c r="G90">
        <v>26.523794958843901</v>
      </c>
      <c r="H90">
        <v>3.4668779112529</v>
      </c>
      <c r="I90">
        <f t="shared" si="14"/>
        <v>1.65700000000001</v>
      </c>
      <c r="J90">
        <f t="shared" si="11"/>
        <v>1.01932424396652</v>
      </c>
      <c r="K90">
        <f t="shared" si="13"/>
        <v>0.61516248881503699</v>
      </c>
    </row>
    <row r="91" spans="1:11">
      <c r="A91">
        <v>10501</v>
      </c>
      <c r="B91" t="s">
        <v>46</v>
      </c>
      <c r="C91">
        <v>2002</v>
      </c>
      <c r="D91">
        <v>1.8</v>
      </c>
      <c r="E91">
        <v>8.7230000000000008</v>
      </c>
      <c r="F91">
        <v>14.7</v>
      </c>
      <c r="G91">
        <v>19.0921054957747</v>
      </c>
      <c r="H91">
        <v>3.9396755579954799</v>
      </c>
      <c r="I91">
        <f>-0.0423*C91+86.622</f>
        <v>1.93740000000001</v>
      </c>
      <c r="J91">
        <f t="shared" si="11"/>
        <v>0.92908021059150903</v>
      </c>
      <c r="K91">
        <f t="shared" si="13"/>
        <v>0.47955002095153498</v>
      </c>
    </row>
    <row r="92" spans="1:11">
      <c r="A92">
        <v>10501</v>
      </c>
      <c r="B92" t="s">
        <v>46</v>
      </c>
      <c r="C92">
        <v>2003</v>
      </c>
      <c r="D92">
        <v>1.9</v>
      </c>
      <c r="E92">
        <v>11.762</v>
      </c>
      <c r="F92">
        <v>14.6</v>
      </c>
      <c r="G92">
        <v>20.876311569301301</v>
      </c>
      <c r="H92">
        <v>3.3722999474300601</v>
      </c>
      <c r="I92">
        <f t="shared" ref="I92:I99" si="15">-0.0423*C92+86.622</f>
        <v>1.8951</v>
      </c>
      <c r="J92">
        <f t="shared" si="11"/>
        <v>1.0025856155348001</v>
      </c>
      <c r="K92">
        <f t="shared" si="13"/>
        <v>0.52904100867226</v>
      </c>
    </row>
    <row r="93" spans="1:11">
      <c r="A93">
        <v>10501</v>
      </c>
      <c r="B93" t="s">
        <v>46</v>
      </c>
      <c r="C93">
        <v>2004</v>
      </c>
      <c r="D93">
        <v>1.9</v>
      </c>
      <c r="E93">
        <v>13.959</v>
      </c>
      <c r="F93">
        <v>14.8</v>
      </c>
      <c r="G93">
        <v>24.114735525549399</v>
      </c>
      <c r="H93">
        <v>3.2823266350414699</v>
      </c>
      <c r="I93">
        <f t="shared" si="15"/>
        <v>1.8528</v>
      </c>
      <c r="J93">
        <f t="shared" si="11"/>
        <v>1.02547495682211</v>
      </c>
      <c r="K93">
        <f t="shared" si="13"/>
        <v>0.55347309845752601</v>
      </c>
    </row>
    <row r="94" spans="1:11">
      <c r="A94">
        <v>10501</v>
      </c>
      <c r="B94" t="s">
        <v>46</v>
      </c>
      <c r="C94">
        <v>2005</v>
      </c>
      <c r="D94">
        <v>1.8</v>
      </c>
      <c r="E94">
        <v>10.81</v>
      </c>
      <c r="F94">
        <v>14.9</v>
      </c>
      <c r="G94">
        <v>22.4932175009126</v>
      </c>
      <c r="H94">
        <v>3.7454016190233701</v>
      </c>
      <c r="I94">
        <f t="shared" si="15"/>
        <v>1.8105</v>
      </c>
      <c r="J94">
        <f t="shared" si="11"/>
        <v>0.99420049710024605</v>
      </c>
      <c r="K94">
        <f t="shared" si="13"/>
        <v>0.54913034913020897</v>
      </c>
    </row>
    <row r="95" spans="1:11">
      <c r="A95">
        <v>10501</v>
      </c>
      <c r="B95" t="s">
        <v>46</v>
      </c>
      <c r="C95">
        <v>2006</v>
      </c>
      <c r="D95">
        <v>1.8</v>
      </c>
      <c r="E95">
        <v>11.468999999999999</v>
      </c>
      <c r="F95">
        <v>15.2</v>
      </c>
      <c r="G95">
        <v>22.432933891347499</v>
      </c>
      <c r="H95">
        <v>3.5207324966802198</v>
      </c>
      <c r="I95">
        <f t="shared" si="15"/>
        <v>1.76820000000001</v>
      </c>
      <c r="J95">
        <f t="shared" si="11"/>
        <v>1.017984390906</v>
      </c>
      <c r="K95">
        <f t="shared" si="13"/>
        <v>0.575717900071258</v>
      </c>
    </row>
    <row r="96" spans="1:11">
      <c r="A96">
        <v>10501</v>
      </c>
      <c r="B96" t="s">
        <v>46</v>
      </c>
      <c r="C96">
        <v>2007</v>
      </c>
      <c r="D96">
        <v>1.6</v>
      </c>
      <c r="E96">
        <v>14.691000000000001</v>
      </c>
      <c r="F96">
        <v>15.3</v>
      </c>
      <c r="G96">
        <v>25.520899972892401</v>
      </c>
      <c r="H96">
        <v>2.7794867576494302</v>
      </c>
      <c r="I96">
        <f t="shared" si="15"/>
        <v>1.72590000000001</v>
      </c>
      <c r="J96">
        <f t="shared" si="11"/>
        <v>0.92705255229155303</v>
      </c>
      <c r="K96">
        <f t="shared" si="13"/>
        <v>0.53714152169392604</v>
      </c>
    </row>
    <row r="97" spans="1:11">
      <c r="A97">
        <v>10501</v>
      </c>
      <c r="B97" t="s">
        <v>46</v>
      </c>
      <c r="C97">
        <v>2008</v>
      </c>
      <c r="D97">
        <v>1.637</v>
      </c>
      <c r="E97">
        <v>14.513999999999999</v>
      </c>
      <c r="F97">
        <v>15.4</v>
      </c>
      <c r="G97">
        <v>24.763664580785299</v>
      </c>
      <c r="H97">
        <v>2.7930356151815801</v>
      </c>
      <c r="I97">
        <f t="shared" si="15"/>
        <v>1.6836</v>
      </c>
      <c r="J97">
        <f t="shared" si="11"/>
        <v>0.97232121644096103</v>
      </c>
      <c r="K97">
        <f t="shared" si="13"/>
        <v>0.57752507510154505</v>
      </c>
    </row>
    <row r="98" spans="1:11">
      <c r="A98">
        <v>10501</v>
      </c>
      <c r="B98" t="s">
        <v>46</v>
      </c>
      <c r="C98">
        <v>2009</v>
      </c>
      <c r="D98">
        <v>1.629</v>
      </c>
      <c r="E98">
        <v>9.7690000000000001</v>
      </c>
      <c r="F98">
        <v>16.100000000000001</v>
      </c>
      <c r="G98">
        <v>16.917573226991401</v>
      </c>
      <c r="H98">
        <v>2.8210386720001002</v>
      </c>
      <c r="I98">
        <f t="shared" si="15"/>
        <v>1.6413</v>
      </c>
      <c r="J98">
        <f t="shared" si="11"/>
        <v>0.99250594041308604</v>
      </c>
      <c r="K98">
        <f t="shared" si="13"/>
        <v>0.60470720795289501</v>
      </c>
    </row>
    <row r="99" spans="1:11">
      <c r="A99">
        <v>10501</v>
      </c>
      <c r="B99" t="s">
        <v>46</v>
      </c>
      <c r="C99">
        <v>2010</v>
      </c>
      <c r="D99">
        <v>1.55</v>
      </c>
      <c r="E99">
        <v>12.269</v>
      </c>
      <c r="F99">
        <v>16</v>
      </c>
      <c r="G99">
        <v>23.596306854589901</v>
      </c>
      <c r="H99">
        <v>2.9810315123167599</v>
      </c>
      <c r="I99">
        <f t="shared" si="15"/>
        <v>1.599</v>
      </c>
      <c r="J99">
        <f t="shared" si="11"/>
        <v>0.96935584740462599</v>
      </c>
      <c r="K99">
        <f t="shared" si="13"/>
        <v>0.60622629606292899</v>
      </c>
    </row>
    <row r="100" spans="1:11">
      <c r="A100">
        <v>10901</v>
      </c>
      <c r="B100" t="s">
        <v>46</v>
      </c>
      <c r="C100">
        <v>2002</v>
      </c>
      <c r="D100">
        <v>1.8</v>
      </c>
      <c r="E100">
        <v>9.9369999999999994</v>
      </c>
      <c r="F100">
        <v>15.2</v>
      </c>
      <c r="G100">
        <v>21.786558827796298</v>
      </c>
      <c r="H100">
        <v>3.94644318104391</v>
      </c>
      <c r="I100">
        <f>-0.0232*C100+48.558</f>
        <v>2.1116000000000001</v>
      </c>
      <c r="J100">
        <f t="shared" si="11"/>
        <v>0.85243417313885095</v>
      </c>
      <c r="K100">
        <f t="shared" si="13"/>
        <v>0.40369112196384199</v>
      </c>
    </row>
    <row r="101" spans="1:11">
      <c r="A101">
        <v>10901</v>
      </c>
      <c r="B101" t="s">
        <v>46</v>
      </c>
      <c r="C101">
        <v>2003</v>
      </c>
      <c r="D101">
        <v>1.8</v>
      </c>
      <c r="E101">
        <v>8.5259999999999998</v>
      </c>
      <c r="F101">
        <v>15.2</v>
      </c>
      <c r="G101">
        <v>18.604127655065099</v>
      </c>
      <c r="H101">
        <v>3.9276835302741202</v>
      </c>
      <c r="I101">
        <f t="shared" ref="I101:I108" si="16">-0.0232*C101+48.558</f>
        <v>2.0884</v>
      </c>
      <c r="J101">
        <f t="shared" si="11"/>
        <v>0.86190384983719603</v>
      </c>
      <c r="K101">
        <f t="shared" si="13"/>
        <v>0.412710136868989</v>
      </c>
    </row>
    <row r="102" spans="1:11">
      <c r="A102">
        <v>10901</v>
      </c>
      <c r="B102" t="s">
        <v>46</v>
      </c>
      <c r="C102">
        <v>2004</v>
      </c>
      <c r="D102">
        <v>2</v>
      </c>
      <c r="E102">
        <v>11.55</v>
      </c>
      <c r="F102">
        <v>15.4</v>
      </c>
      <c r="G102">
        <v>23.782860236616099</v>
      </c>
      <c r="H102">
        <v>4.1182441968166303</v>
      </c>
      <c r="I102">
        <f t="shared" si="16"/>
        <v>2.0651999999999999</v>
      </c>
      <c r="J102">
        <f t="shared" si="11"/>
        <v>0.96842920782490605</v>
      </c>
      <c r="K102">
        <f t="shared" si="13"/>
        <v>0.468927565284187</v>
      </c>
    </row>
    <row r="103" spans="1:11">
      <c r="A103">
        <v>10901</v>
      </c>
      <c r="B103" t="s">
        <v>46</v>
      </c>
      <c r="C103">
        <v>2005</v>
      </c>
      <c r="D103">
        <v>2.2000000000000002</v>
      </c>
      <c r="E103">
        <v>4.7619999999999996</v>
      </c>
      <c r="F103">
        <v>14.7</v>
      </c>
      <c r="G103">
        <v>14.4876260471941</v>
      </c>
      <c r="H103">
        <v>6.6931493708162701</v>
      </c>
      <c r="I103">
        <f t="shared" si="16"/>
        <v>2.0419999999999998</v>
      </c>
      <c r="J103">
        <f t="shared" si="11"/>
        <v>1.07737512242899</v>
      </c>
      <c r="K103">
        <f t="shared" si="13"/>
        <v>0.52760779746767394</v>
      </c>
    </row>
    <row r="104" spans="1:11">
      <c r="A104">
        <v>10901</v>
      </c>
      <c r="B104" t="s">
        <v>46</v>
      </c>
      <c r="C104">
        <v>2006</v>
      </c>
      <c r="D104">
        <v>2.2000000000000002</v>
      </c>
      <c r="E104">
        <v>13.069000000000001</v>
      </c>
      <c r="F104">
        <v>16.7</v>
      </c>
      <c r="G104">
        <v>26.115622155083098</v>
      </c>
      <c r="H104">
        <v>4.3962329743042901</v>
      </c>
      <c r="I104">
        <f t="shared" si="16"/>
        <v>2.0188000000000099</v>
      </c>
      <c r="J104">
        <f t="shared" si="11"/>
        <v>1.08975629086586</v>
      </c>
      <c r="K104">
        <f t="shared" si="13"/>
        <v>0.53980398794623297</v>
      </c>
    </row>
    <row r="105" spans="1:11">
      <c r="A105">
        <v>10901</v>
      </c>
      <c r="B105" t="s">
        <v>46</v>
      </c>
      <c r="C105">
        <v>2007</v>
      </c>
      <c r="D105">
        <v>2.1</v>
      </c>
      <c r="E105">
        <v>3.1920000000000002</v>
      </c>
      <c r="F105">
        <v>14.4</v>
      </c>
      <c r="G105">
        <v>7.2204588760408202</v>
      </c>
      <c r="H105">
        <v>4.7503018921321196</v>
      </c>
      <c r="I105">
        <f t="shared" si="16"/>
        <v>1.9956</v>
      </c>
      <c r="J105">
        <f t="shared" si="11"/>
        <v>1.05231509320505</v>
      </c>
      <c r="K105">
        <f t="shared" si="13"/>
        <v>0.52731764542245296</v>
      </c>
    </row>
    <row r="106" spans="1:11">
      <c r="A106">
        <v>10901</v>
      </c>
      <c r="B106" t="s">
        <v>46</v>
      </c>
      <c r="C106">
        <v>2008</v>
      </c>
      <c r="D106">
        <v>1.873</v>
      </c>
      <c r="E106">
        <v>3.794</v>
      </c>
      <c r="F106">
        <v>14.2</v>
      </c>
      <c r="G106">
        <v>7.4526734488303301</v>
      </c>
      <c r="H106">
        <v>3.6791927700735898</v>
      </c>
      <c r="I106">
        <f t="shared" si="16"/>
        <v>1.9723999999999999</v>
      </c>
      <c r="J106">
        <f t="shared" si="11"/>
        <v>0.94960454268910999</v>
      </c>
      <c r="K106">
        <f t="shared" si="13"/>
        <v>0.48144622930901898</v>
      </c>
    </row>
    <row r="107" spans="1:11">
      <c r="A107">
        <v>10901</v>
      </c>
      <c r="B107" t="s">
        <v>46</v>
      </c>
      <c r="C107">
        <v>2009</v>
      </c>
      <c r="D107">
        <v>1.613</v>
      </c>
      <c r="E107">
        <v>12.204000000000001</v>
      </c>
      <c r="F107">
        <v>14.2</v>
      </c>
      <c r="G107">
        <v>28.881242402167501</v>
      </c>
      <c r="H107">
        <v>3.81722746596986</v>
      </c>
      <c r="I107">
        <f t="shared" si="16"/>
        <v>1.9492</v>
      </c>
      <c r="J107">
        <f t="shared" si="11"/>
        <v>0.82751898214651998</v>
      </c>
      <c r="K107">
        <f t="shared" si="13"/>
        <v>0.42454288023113002</v>
      </c>
    </row>
    <row r="108" spans="1:11">
      <c r="A108">
        <v>10901</v>
      </c>
      <c r="B108" t="s">
        <v>46</v>
      </c>
      <c r="C108">
        <v>2010</v>
      </c>
      <c r="D108">
        <v>1.68</v>
      </c>
      <c r="E108">
        <v>11.51</v>
      </c>
      <c r="F108">
        <v>14</v>
      </c>
      <c r="G108">
        <v>29.2676735047534</v>
      </c>
      <c r="H108">
        <v>4.2719106418753903</v>
      </c>
      <c r="I108">
        <f t="shared" si="16"/>
        <v>1.9259999999999999</v>
      </c>
      <c r="J108">
        <f t="shared" si="11"/>
        <v>0.87227414330218001</v>
      </c>
      <c r="K108">
        <f t="shared" si="13"/>
        <v>0.45289415540092398</v>
      </c>
    </row>
    <row r="114" spans="2:2">
      <c r="B114" t="s">
        <v>47</v>
      </c>
    </row>
  </sheetData>
  <autoFilter ref="A1:H108"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3:E18"/>
  <sheetViews>
    <sheetView workbookViewId="0">
      <selection activeCell="G4" sqref="G4"/>
    </sheetView>
  </sheetViews>
  <sheetFormatPr defaultColWidth="9.140625" defaultRowHeight="15"/>
  <cols>
    <col min="1" max="1" width="29.140625"/>
    <col min="2" max="3" width="16.28515625"/>
    <col min="4" max="5" width="12.85546875"/>
    <col min="6" max="6" width="16.28515625"/>
    <col min="7" max="7" width="12.85546875"/>
    <col min="8" max="13" width="16.28515625"/>
    <col min="14" max="14" width="12.85546875"/>
  </cols>
  <sheetData>
    <row r="3" spans="1:4">
      <c r="A3" t="s">
        <v>48</v>
      </c>
      <c r="B3" t="s">
        <v>49</v>
      </c>
    </row>
    <row r="4" spans="1:4">
      <c r="A4" t="s">
        <v>50</v>
      </c>
      <c r="B4">
        <v>9101</v>
      </c>
      <c r="C4">
        <v>9301</v>
      </c>
      <c r="D4" t="s">
        <v>51</v>
      </c>
    </row>
    <row r="5" spans="1:4">
      <c r="A5">
        <v>2002</v>
      </c>
      <c r="B5">
        <v>1.5</v>
      </c>
      <c r="C5">
        <v>1.6</v>
      </c>
      <c r="D5">
        <v>1.55</v>
      </c>
    </row>
    <row r="6" spans="1:4">
      <c r="A6">
        <v>2003</v>
      </c>
      <c r="B6">
        <v>1.4</v>
      </c>
      <c r="C6">
        <v>1.5</v>
      </c>
      <c r="D6">
        <v>1.45</v>
      </c>
    </row>
    <row r="7" spans="1:4">
      <c r="A7">
        <v>2004</v>
      </c>
      <c r="B7">
        <v>1.4</v>
      </c>
      <c r="C7">
        <v>1.4</v>
      </c>
      <c r="D7">
        <v>1.4</v>
      </c>
    </row>
    <row r="8" spans="1:4">
      <c r="A8">
        <v>2005</v>
      </c>
      <c r="B8">
        <v>1.5</v>
      </c>
      <c r="C8">
        <v>1.5</v>
      </c>
      <c r="D8">
        <v>1.5</v>
      </c>
    </row>
    <row r="9" spans="1:4">
      <c r="A9">
        <v>2006</v>
      </c>
      <c r="B9">
        <v>1.7</v>
      </c>
      <c r="C9">
        <v>1.5</v>
      </c>
      <c r="D9">
        <v>1.6</v>
      </c>
    </row>
    <row r="10" spans="1:4">
      <c r="A10">
        <v>2007</v>
      </c>
      <c r="B10">
        <v>1.8</v>
      </c>
      <c r="C10">
        <v>1.6</v>
      </c>
      <c r="D10">
        <v>1.7</v>
      </c>
    </row>
    <row r="11" spans="1:4">
      <c r="A11">
        <v>2008</v>
      </c>
      <c r="B11">
        <v>2.4809999999999999</v>
      </c>
      <c r="C11">
        <v>1.671</v>
      </c>
      <c r="D11">
        <v>2.0760000000000001</v>
      </c>
    </row>
    <row r="12" spans="1:4">
      <c r="A12">
        <v>2009</v>
      </c>
      <c r="B12">
        <v>2.492</v>
      </c>
      <c r="C12">
        <v>2.3490000000000002</v>
      </c>
      <c r="D12">
        <v>2.4205000000000001</v>
      </c>
    </row>
    <row r="13" spans="1:4">
      <c r="A13">
        <v>2010</v>
      </c>
      <c r="B13">
        <v>2.6</v>
      </c>
      <c r="D13">
        <v>2.6</v>
      </c>
    </row>
    <row r="14" spans="1:4">
      <c r="A14" t="s">
        <v>51</v>
      </c>
      <c r="B14">
        <v>1.8747777777777801</v>
      </c>
      <c r="C14">
        <v>1.64</v>
      </c>
      <c r="D14">
        <v>1.7642941176470599</v>
      </c>
    </row>
    <row r="17" spans="5:5">
      <c r="E17" t="s">
        <v>52</v>
      </c>
    </row>
    <row r="18" spans="5:5">
      <c r="E18">
        <f>AVERAGE(B14:M14)</f>
        <v>1.7596906318082799</v>
      </c>
    </row>
  </sheetData>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3:K17"/>
  <sheetViews>
    <sheetView workbookViewId="0">
      <selection activeCell="E23" sqref="E23"/>
    </sheetView>
  </sheetViews>
  <sheetFormatPr defaultColWidth="9.140625" defaultRowHeight="15"/>
  <cols>
    <col min="1" max="1" width="29.140625"/>
    <col min="2" max="10" width="15.5703125"/>
    <col min="11" max="11" width="12.85546875"/>
  </cols>
  <sheetData>
    <row r="3" spans="1:11">
      <c r="A3" t="s">
        <v>48</v>
      </c>
      <c r="B3" t="s">
        <v>50</v>
      </c>
    </row>
    <row r="4" spans="1:11">
      <c r="A4" t="s">
        <v>49</v>
      </c>
      <c r="B4">
        <v>2002</v>
      </c>
      <c r="C4">
        <v>2003</v>
      </c>
      <c r="D4">
        <v>2004</v>
      </c>
      <c r="E4">
        <v>2005</v>
      </c>
      <c r="F4">
        <v>2006</v>
      </c>
      <c r="G4">
        <v>2007</v>
      </c>
      <c r="H4">
        <v>2008</v>
      </c>
      <c r="I4">
        <v>2009</v>
      </c>
      <c r="J4">
        <v>2010</v>
      </c>
      <c r="K4" t="s">
        <v>51</v>
      </c>
    </row>
    <row r="5" spans="1:11">
      <c r="A5" s="14">
        <v>9101</v>
      </c>
      <c r="B5" s="14">
        <v>1.5</v>
      </c>
      <c r="C5" s="14">
        <v>1.4</v>
      </c>
      <c r="D5" s="14">
        <v>1.4</v>
      </c>
      <c r="E5" s="14">
        <v>1.5</v>
      </c>
      <c r="F5" s="14">
        <v>1.7</v>
      </c>
      <c r="G5" s="14">
        <v>1.8</v>
      </c>
      <c r="H5" s="14">
        <v>2.4809999999999999</v>
      </c>
      <c r="I5" s="14">
        <v>2.492</v>
      </c>
      <c r="J5" s="14">
        <v>2.6</v>
      </c>
      <c r="K5" s="14">
        <v>1.8747777777777801</v>
      </c>
    </row>
    <row r="6" spans="1:11">
      <c r="A6" s="14">
        <v>9301</v>
      </c>
      <c r="B6" s="14">
        <v>1.6</v>
      </c>
      <c r="C6" s="14">
        <v>1.5</v>
      </c>
      <c r="D6" s="14">
        <v>1.4</v>
      </c>
      <c r="E6" s="14">
        <v>1.5</v>
      </c>
      <c r="F6" s="14">
        <v>1.5</v>
      </c>
      <c r="G6" s="14">
        <v>1.6</v>
      </c>
      <c r="H6" s="14">
        <v>1.671</v>
      </c>
      <c r="I6" s="14">
        <v>2.3490000000000002</v>
      </c>
      <c r="J6" s="14"/>
      <c r="K6" s="14">
        <v>1.64</v>
      </c>
    </row>
    <row r="7" spans="1:11">
      <c r="A7" s="14">
        <v>9401</v>
      </c>
      <c r="B7" s="14">
        <v>1.7</v>
      </c>
      <c r="C7" s="14">
        <v>1.7</v>
      </c>
      <c r="D7" s="14">
        <v>1.9</v>
      </c>
      <c r="E7" s="14">
        <v>2.1</v>
      </c>
      <c r="F7" s="14">
        <v>2.1</v>
      </c>
      <c r="G7" s="14">
        <v>2.2000000000000002</v>
      </c>
      <c r="H7" s="14">
        <v>2.2509999999999999</v>
      </c>
      <c r="I7" s="14">
        <v>2.254</v>
      </c>
      <c r="J7" s="14">
        <v>2.25</v>
      </c>
      <c r="K7" s="14">
        <v>2.0505555555555599</v>
      </c>
    </row>
    <row r="8" spans="1:11">
      <c r="A8" s="14">
        <v>9501</v>
      </c>
      <c r="B8" s="14">
        <v>1.75183435913647</v>
      </c>
      <c r="C8" s="14">
        <v>1.6777515387047</v>
      </c>
      <c r="D8" s="14">
        <v>1.75183435913647</v>
      </c>
      <c r="E8" s="14">
        <v>1.6777515387047</v>
      </c>
      <c r="F8" s="14">
        <v>1.5777515387047001</v>
      </c>
      <c r="G8" s="14">
        <v>1.5518343591364701</v>
      </c>
      <c r="H8" s="14">
        <v>1.61872550623849</v>
      </c>
      <c r="I8" s="14">
        <v>2.0384840458171398</v>
      </c>
      <c r="J8" s="14">
        <v>2.5155146060729998</v>
      </c>
      <c r="K8" s="14">
        <v>1.7957202057391299</v>
      </c>
    </row>
    <row r="9" spans="1:11">
      <c r="A9" s="14">
        <v>9701</v>
      </c>
      <c r="B9" s="14">
        <v>2.2000000000000002</v>
      </c>
      <c r="C9" s="14">
        <v>2.1</v>
      </c>
      <c r="D9" s="14">
        <v>2.1</v>
      </c>
      <c r="E9" s="14">
        <v>2.1</v>
      </c>
      <c r="F9" s="14">
        <v>1.9</v>
      </c>
      <c r="G9" s="14">
        <v>1.9</v>
      </c>
      <c r="H9" s="14">
        <v>1.929</v>
      </c>
      <c r="I9" s="14">
        <v>2.355</v>
      </c>
      <c r="J9" s="14">
        <v>2.76</v>
      </c>
      <c r="K9" s="14">
        <v>2.1493333333333302</v>
      </c>
    </row>
    <row r="10" spans="1:11">
      <c r="A10" s="14">
        <v>9801</v>
      </c>
      <c r="B10" s="14">
        <v>1.9</v>
      </c>
      <c r="C10" s="14">
        <v>1.9</v>
      </c>
      <c r="D10" s="14">
        <v>1.8</v>
      </c>
      <c r="E10" s="14">
        <v>1.9</v>
      </c>
      <c r="F10" s="14">
        <v>1.9</v>
      </c>
      <c r="G10" s="14">
        <v>1.9</v>
      </c>
      <c r="H10" s="14">
        <v>1.9755</v>
      </c>
      <c r="I10" s="14">
        <v>1.9715</v>
      </c>
      <c r="J10" s="14">
        <v>1.97</v>
      </c>
      <c r="K10" s="14">
        <v>1.913</v>
      </c>
    </row>
    <row r="11" spans="1:11">
      <c r="A11" s="14">
        <v>9901</v>
      </c>
      <c r="B11" s="14">
        <v>1.52719012003939</v>
      </c>
      <c r="C11" s="14">
        <v>1.6987485028346301</v>
      </c>
      <c r="D11" s="14">
        <v>1.5518772457480501</v>
      </c>
      <c r="E11" s="14">
        <v>1.5765643714567099</v>
      </c>
      <c r="F11" s="14">
        <v>1.60125149716537</v>
      </c>
      <c r="G11" s="14">
        <v>1.5259386228740299</v>
      </c>
      <c r="H11" s="14">
        <v>1.2504672256084</v>
      </c>
      <c r="I11" s="14">
        <v>1.2512996158384599</v>
      </c>
      <c r="J11" s="14">
        <v>1.30326132744226</v>
      </c>
      <c r="K11" s="14">
        <v>1.4762887254452599</v>
      </c>
    </row>
    <row r="12" spans="1:11">
      <c r="A12" s="14">
        <v>10101</v>
      </c>
      <c r="B12" s="14">
        <v>0.916892261196669</v>
      </c>
      <c r="C12" s="14">
        <v>0.916892261196669</v>
      </c>
      <c r="D12" s="14">
        <v>0.92533839179500399</v>
      </c>
      <c r="E12" s="14">
        <v>1.01689226119667</v>
      </c>
      <c r="F12" s="14">
        <v>1.10844613059833</v>
      </c>
      <c r="G12" s="14">
        <v>1.1168922611966701</v>
      </c>
      <c r="H12" s="14">
        <v>1.1455814873163399</v>
      </c>
      <c r="I12" s="14">
        <v>1.1419193325402699</v>
      </c>
      <c r="J12" s="14">
        <v>1.1619599395556699</v>
      </c>
      <c r="K12" s="14">
        <v>1.05009048073248</v>
      </c>
    </row>
    <row r="13" spans="1:11">
      <c r="A13" s="14">
        <v>10301</v>
      </c>
      <c r="B13" s="14">
        <v>1.1000000000000001</v>
      </c>
      <c r="C13" s="14">
        <v>1.1000000000000001</v>
      </c>
      <c r="D13" s="14">
        <v>1.1000000000000001</v>
      </c>
      <c r="E13" s="14">
        <v>1.2</v>
      </c>
      <c r="F13" s="14">
        <v>1.2</v>
      </c>
      <c r="G13" s="14">
        <v>1.2</v>
      </c>
      <c r="H13" s="14">
        <v>1.246</v>
      </c>
      <c r="I13" s="14">
        <v>1.81</v>
      </c>
      <c r="J13" s="14">
        <v>1.67</v>
      </c>
      <c r="K13" s="14">
        <v>1.2917777777777799</v>
      </c>
    </row>
    <row r="14" spans="1:11">
      <c r="A14" s="14">
        <v>10401</v>
      </c>
      <c r="B14" s="14">
        <v>1.35830937432768</v>
      </c>
      <c r="C14" s="14">
        <v>1.35830937432768</v>
      </c>
      <c r="D14" s="14">
        <v>1.4166187486553601</v>
      </c>
      <c r="E14" s="14">
        <v>1.5166187486553599</v>
      </c>
      <c r="F14" s="14">
        <v>1.61661874865536</v>
      </c>
      <c r="G14" s="14">
        <v>1.61661874865536</v>
      </c>
      <c r="H14" s="14">
        <v>1.56179068630327</v>
      </c>
      <c r="I14" s="14">
        <v>1.65172534667214</v>
      </c>
      <c r="J14" s="14">
        <v>1.68902027225254</v>
      </c>
      <c r="K14" s="14">
        <v>1.5317366720560801</v>
      </c>
    </row>
    <row r="15" spans="1:11">
      <c r="A15" s="14">
        <v>10501</v>
      </c>
      <c r="B15" s="14">
        <v>1.8</v>
      </c>
      <c r="C15" s="14">
        <v>1.9</v>
      </c>
      <c r="D15" s="14">
        <v>1.9</v>
      </c>
      <c r="E15" s="14">
        <v>1.8</v>
      </c>
      <c r="F15" s="14">
        <v>1.8</v>
      </c>
      <c r="G15" s="14">
        <v>1.6</v>
      </c>
      <c r="H15" s="14">
        <v>1.637</v>
      </c>
      <c r="I15" s="14">
        <v>1.629</v>
      </c>
      <c r="J15" s="14">
        <v>1.55</v>
      </c>
      <c r="K15" s="14">
        <v>1.7351111111111099</v>
      </c>
    </row>
    <row r="16" spans="1:11">
      <c r="A16" s="14">
        <v>10901</v>
      </c>
      <c r="B16" s="14">
        <v>1.8</v>
      </c>
      <c r="C16" s="14">
        <v>1.8</v>
      </c>
      <c r="D16" s="14">
        <v>2</v>
      </c>
      <c r="E16" s="14">
        <v>2.2000000000000002</v>
      </c>
      <c r="F16" s="14">
        <v>2.2000000000000002</v>
      </c>
      <c r="G16" s="14">
        <v>2.1</v>
      </c>
      <c r="H16" s="14">
        <v>1.873</v>
      </c>
      <c r="I16" s="14">
        <v>1.613</v>
      </c>
      <c r="J16" s="14">
        <v>1.68</v>
      </c>
      <c r="K16" s="14">
        <v>1.91844444444444</v>
      </c>
    </row>
    <row r="17" spans="1:11">
      <c r="A17" t="s">
        <v>51</v>
      </c>
      <c r="B17">
        <v>1.5961855095583499</v>
      </c>
      <c r="C17">
        <v>1.5876418064219699</v>
      </c>
      <c r="D17">
        <v>1.6038057287779099</v>
      </c>
      <c r="E17">
        <v>1.67398557666779</v>
      </c>
      <c r="F17">
        <v>1.6836723262603099</v>
      </c>
      <c r="G17">
        <v>1.67594033265521</v>
      </c>
      <c r="H17">
        <v>1.7200054087888801</v>
      </c>
      <c r="I17">
        <v>1.8797440284056699</v>
      </c>
      <c r="J17">
        <v>1.92270510412032</v>
      </c>
      <c r="K17">
        <v>1.70281798837156</v>
      </c>
    </row>
  </sheetData>
  <pageMargins left="0.75" right="0.75" top="1" bottom="1" header="0.5" footer="0.5"/>
  <extLst>
    <ext xmlns:x14="http://schemas.microsoft.com/office/spreadsheetml/2009/9/main" uri="{05C60535-1F16-4fd2-B633-F4F36F0B64E0}">
      <x14:sparklineGroups xmlns:xm="http://schemas.microsoft.com/office/excel/2006/main">
        <x14:sparklineGroup displayEmptyCellsAs="gap" xr2:uid="{00000000-0003-0000-0400-000000000000}">
          <x14:colorSeries rgb="FF376092"/>
          <x14:colorNegative rgb="FFD00000"/>
          <x14:colorAxis rgb="FF000000"/>
          <x14:colorMarkers rgb="FFD00000"/>
          <x14:colorFirst rgb="FFD00000"/>
          <x14:colorLast rgb="FFD00000"/>
          <x14:colorHigh rgb="FFD00000"/>
          <x14:colorLow rgb="FFD00000"/>
          <x14:sparklines>
            <x14:sparkline>
              <xm:f>Sheet1!B5:J5</xm:f>
              <xm:sqref>L5</xm:sqref>
            </x14:sparkline>
            <x14:sparkline>
              <xm:f>Sheet1!B6:J6</xm:f>
              <xm:sqref>L6</xm:sqref>
            </x14:sparkline>
            <x14:sparkline>
              <xm:f>Sheet1!B7:J7</xm:f>
              <xm:sqref>L7</xm:sqref>
            </x14:sparkline>
            <x14:sparkline>
              <xm:f>Sheet1!B8:J8</xm:f>
              <xm:sqref>L8</xm:sqref>
            </x14:sparkline>
            <x14:sparkline>
              <xm:f>Sheet1!B9:J9</xm:f>
              <xm:sqref>L9</xm:sqref>
            </x14:sparkline>
            <x14:sparkline>
              <xm:f>Sheet1!B10:J10</xm:f>
              <xm:sqref>L10</xm:sqref>
            </x14:sparkline>
            <x14:sparkline>
              <xm:f>Sheet1!B11:J11</xm:f>
              <xm:sqref>L11</xm:sqref>
            </x14:sparkline>
            <x14:sparkline>
              <xm:f>Sheet1!B12:J12</xm:f>
              <xm:sqref>L12</xm:sqref>
            </x14:sparkline>
            <x14:sparkline>
              <xm:f>Sheet1!B13:J13</xm:f>
              <xm:sqref>L13</xm:sqref>
            </x14:sparkline>
            <x14:sparkline>
              <xm:f>Sheet1!B14:J14</xm:f>
              <xm:sqref>L14</xm:sqref>
            </x14:sparkline>
            <x14:sparkline>
              <xm:f>Sheet1!B15:J15</xm:f>
              <xm:sqref>L15</xm:sqref>
            </x14:sparkline>
            <x14:sparkline>
              <xm:f>Sheet1!B16:J16</xm:f>
              <xm:sqref>L16</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A2:K18"/>
  <sheetViews>
    <sheetView workbookViewId="0">
      <selection activeCell="E23" sqref="E23"/>
    </sheetView>
  </sheetViews>
  <sheetFormatPr defaultColWidth="9.140625" defaultRowHeight="15"/>
  <cols>
    <col min="1" max="1" width="14.28515625" customWidth="1"/>
    <col min="10" max="10" width="9.7109375" customWidth="1"/>
    <col min="11" max="11" width="13.5703125" customWidth="1"/>
    <col min="13" max="13" width="13" customWidth="1"/>
    <col min="14" max="14" width="11.28515625" customWidth="1"/>
  </cols>
  <sheetData>
    <row r="2" spans="1:11">
      <c r="A2" s="88" t="s">
        <v>49</v>
      </c>
      <c r="B2" s="89">
        <v>2002</v>
      </c>
      <c r="C2" s="89">
        <v>2003</v>
      </c>
      <c r="D2" s="89">
        <v>2004</v>
      </c>
      <c r="E2" s="89">
        <v>2005</v>
      </c>
      <c r="F2" s="89">
        <v>2006</v>
      </c>
      <c r="G2" s="89">
        <v>2007</v>
      </c>
      <c r="H2" s="89">
        <v>2008</v>
      </c>
      <c r="I2" s="89">
        <v>2009</v>
      </c>
      <c r="J2" s="89">
        <v>2010</v>
      </c>
      <c r="K2" s="97" t="s">
        <v>53</v>
      </c>
    </row>
    <row r="3" spans="1:11">
      <c r="A3" s="90">
        <v>9101</v>
      </c>
      <c r="B3" s="91">
        <v>1.5</v>
      </c>
      <c r="C3" s="92">
        <v>1.4</v>
      </c>
      <c r="D3" s="92">
        <v>1.4</v>
      </c>
      <c r="E3" s="92">
        <v>1.5</v>
      </c>
      <c r="F3" s="92">
        <v>1.7</v>
      </c>
      <c r="G3" s="92">
        <v>1.8</v>
      </c>
      <c r="H3" s="92">
        <v>2.4809999999999999</v>
      </c>
      <c r="I3" s="92">
        <v>2.492</v>
      </c>
      <c r="J3" s="98">
        <v>2.6</v>
      </c>
      <c r="K3" s="99"/>
    </row>
    <row r="4" spans="1:11">
      <c r="A4" s="34">
        <v>9301</v>
      </c>
      <c r="B4" s="93">
        <v>1.6</v>
      </c>
      <c r="C4" s="94">
        <v>1.5</v>
      </c>
      <c r="D4" s="94">
        <v>1.4</v>
      </c>
      <c r="E4" s="94">
        <v>1.5</v>
      </c>
      <c r="F4" s="94">
        <v>1.5</v>
      </c>
      <c r="G4" s="94">
        <v>1.6</v>
      </c>
      <c r="H4" s="94">
        <v>1.671</v>
      </c>
      <c r="I4" s="94">
        <v>2.3490000000000002</v>
      </c>
      <c r="J4" s="100"/>
      <c r="K4" s="101"/>
    </row>
    <row r="5" spans="1:11">
      <c r="A5" s="34">
        <v>9401</v>
      </c>
      <c r="B5" s="93">
        <v>1.7</v>
      </c>
      <c r="C5" s="94">
        <v>1.7</v>
      </c>
      <c r="D5" s="94">
        <v>1.9</v>
      </c>
      <c r="E5" s="94">
        <v>2.1</v>
      </c>
      <c r="F5" s="94">
        <v>2.1</v>
      </c>
      <c r="G5" s="94">
        <v>2.2000000000000002</v>
      </c>
      <c r="H5" s="94">
        <v>2.2509999999999999</v>
      </c>
      <c r="I5" s="94">
        <v>2.254</v>
      </c>
      <c r="J5" s="100">
        <v>2.25</v>
      </c>
      <c r="K5" s="101"/>
    </row>
    <row r="6" spans="1:11">
      <c r="A6" s="34">
        <v>9501</v>
      </c>
      <c r="B6" s="93">
        <v>1.75183435913647</v>
      </c>
      <c r="C6" s="94">
        <v>1.6777515387047</v>
      </c>
      <c r="D6" s="94">
        <v>1.75183435913647</v>
      </c>
      <c r="E6" s="94">
        <v>1.6777515387047</v>
      </c>
      <c r="F6" s="94">
        <v>1.5777515387047001</v>
      </c>
      <c r="G6" s="94">
        <v>1.5518343591364701</v>
      </c>
      <c r="H6" s="94">
        <v>1.61872550623849</v>
      </c>
      <c r="I6" s="94">
        <v>2.0384840458171398</v>
      </c>
      <c r="J6" s="100">
        <v>2.5155146060729998</v>
      </c>
      <c r="K6" s="101"/>
    </row>
    <row r="7" spans="1:11">
      <c r="A7" s="34">
        <v>9701</v>
      </c>
      <c r="B7" s="93">
        <v>2.2000000000000002</v>
      </c>
      <c r="C7" s="94">
        <v>2.1</v>
      </c>
      <c r="D7" s="94">
        <v>2.1</v>
      </c>
      <c r="E7" s="94">
        <v>2.1</v>
      </c>
      <c r="F7" s="94">
        <v>1.9</v>
      </c>
      <c r="G7" s="94">
        <v>1.9</v>
      </c>
      <c r="H7" s="94">
        <v>1.929</v>
      </c>
      <c r="I7" s="94">
        <v>2.355</v>
      </c>
      <c r="J7" s="100">
        <v>2.76</v>
      </c>
      <c r="K7" s="101"/>
    </row>
    <row r="8" spans="1:11">
      <c r="A8" s="34">
        <v>9801</v>
      </c>
      <c r="B8" s="93">
        <v>1.9</v>
      </c>
      <c r="C8" s="94">
        <v>1.9</v>
      </c>
      <c r="D8" s="94">
        <v>1.8</v>
      </c>
      <c r="E8" s="94">
        <v>1.9</v>
      </c>
      <c r="F8" s="94">
        <v>1.9</v>
      </c>
      <c r="G8" s="94">
        <v>1.9</v>
      </c>
      <c r="H8" s="94">
        <v>1.9755</v>
      </c>
      <c r="I8" s="94">
        <v>1.9715</v>
      </c>
      <c r="J8" s="100">
        <v>1.97</v>
      </c>
      <c r="K8" s="101"/>
    </row>
    <row r="9" spans="1:11">
      <c r="A9" s="34">
        <v>9901</v>
      </c>
      <c r="B9" s="93">
        <v>1.52719012003939</v>
      </c>
      <c r="C9" s="94">
        <v>1.6987485028346301</v>
      </c>
      <c r="D9" s="94">
        <v>1.5518772457480501</v>
      </c>
      <c r="E9" s="94">
        <v>1.5765643714567099</v>
      </c>
      <c r="F9" s="94">
        <v>1.60125149716537</v>
      </c>
      <c r="G9" s="94">
        <v>1.5259386228740299</v>
      </c>
      <c r="H9" s="94">
        <v>1.2504672256084</v>
      </c>
      <c r="I9" s="94">
        <v>1.2512996158384599</v>
      </c>
      <c r="J9" s="100">
        <v>1.30326132744226</v>
      </c>
      <c r="K9" s="101"/>
    </row>
    <row r="10" spans="1:11">
      <c r="A10" s="34">
        <v>10101</v>
      </c>
      <c r="B10" s="93">
        <v>0.916892261196669</v>
      </c>
      <c r="C10" s="94">
        <v>0.916892261196669</v>
      </c>
      <c r="D10" s="94">
        <v>0.92533839179500399</v>
      </c>
      <c r="E10" s="94">
        <v>1.01689226119667</v>
      </c>
      <c r="F10" s="94">
        <v>1.10844613059833</v>
      </c>
      <c r="G10" s="94">
        <v>1.1168922611966701</v>
      </c>
      <c r="H10" s="94">
        <v>1.1455814873163399</v>
      </c>
      <c r="I10" s="94">
        <v>1.1419193325402699</v>
      </c>
      <c r="J10" s="100">
        <v>1.1619599395556699</v>
      </c>
      <c r="K10" s="101"/>
    </row>
    <row r="11" spans="1:11">
      <c r="A11" s="34">
        <v>10301</v>
      </c>
      <c r="B11" s="93">
        <v>1.1000000000000001</v>
      </c>
      <c r="C11" s="94">
        <v>1.1000000000000001</v>
      </c>
      <c r="D11" s="94">
        <v>1.1000000000000001</v>
      </c>
      <c r="E11" s="94">
        <v>1.2</v>
      </c>
      <c r="F11" s="94">
        <v>1.2</v>
      </c>
      <c r="G11" s="94">
        <v>1.2</v>
      </c>
      <c r="H11" s="94">
        <v>1.246</v>
      </c>
      <c r="I11" s="94">
        <v>1.81</v>
      </c>
      <c r="J11" s="100">
        <v>1.67</v>
      </c>
      <c r="K11" s="101"/>
    </row>
    <row r="12" spans="1:11">
      <c r="A12" s="34">
        <v>10401</v>
      </c>
      <c r="B12" s="93">
        <v>1.35830937432768</v>
      </c>
      <c r="C12" s="94">
        <v>1.35830937432768</v>
      </c>
      <c r="D12" s="94">
        <v>1.4166187486553601</v>
      </c>
      <c r="E12" s="94">
        <v>1.5166187486553599</v>
      </c>
      <c r="F12" s="94">
        <v>1.61661874865536</v>
      </c>
      <c r="G12" s="94">
        <v>1.61661874865536</v>
      </c>
      <c r="H12" s="94">
        <v>1.56179068630327</v>
      </c>
      <c r="I12" s="94">
        <v>1.65172534667214</v>
      </c>
      <c r="J12" s="100">
        <v>1.68902027225254</v>
      </c>
      <c r="K12" s="101"/>
    </row>
    <row r="13" spans="1:11">
      <c r="A13" s="34">
        <v>10501</v>
      </c>
      <c r="B13" s="93">
        <v>1.8</v>
      </c>
      <c r="C13" s="94">
        <v>1.9</v>
      </c>
      <c r="D13" s="94">
        <v>1.9</v>
      </c>
      <c r="E13" s="94">
        <v>1.8</v>
      </c>
      <c r="F13" s="94">
        <v>1.8</v>
      </c>
      <c r="G13" s="94">
        <v>1.6</v>
      </c>
      <c r="H13" s="94">
        <v>1.637</v>
      </c>
      <c r="I13" s="94">
        <v>1.629</v>
      </c>
      <c r="J13" s="100">
        <v>1.55</v>
      </c>
      <c r="K13" s="101"/>
    </row>
    <row r="14" spans="1:11">
      <c r="A14" s="39">
        <v>10901</v>
      </c>
      <c r="B14" s="95">
        <v>1.8</v>
      </c>
      <c r="C14" s="96">
        <v>1.8</v>
      </c>
      <c r="D14" s="96">
        <v>2</v>
      </c>
      <c r="E14" s="96">
        <v>2.2000000000000002</v>
      </c>
      <c r="F14" s="96">
        <v>2.2000000000000002</v>
      </c>
      <c r="G14" s="96">
        <v>2.1</v>
      </c>
      <c r="H14" s="96">
        <v>1.873</v>
      </c>
      <c r="I14" s="96">
        <v>1.613</v>
      </c>
      <c r="J14" s="102">
        <v>1.68</v>
      </c>
      <c r="K14" s="103"/>
    </row>
    <row r="18" spans="9:9">
      <c r="I18" s="104"/>
    </row>
  </sheetData>
  <pageMargins left="0.75" right="0.75" top="1" bottom="1" header="0.5" footer="0.5"/>
  <extLst>
    <ext xmlns:x14="http://schemas.microsoft.com/office/spreadsheetml/2009/9/main" uri="{05C60535-1F16-4fd2-B633-F4F36F0B64E0}">
      <x14:sparklineGroups xmlns:xm="http://schemas.microsoft.com/office/excel/2006/main">
        <x14:sparklineGroup displayEmptyCellsAs="gap" high="1" low="1" xr2:uid="{00000000-0003-0000-0500-000001000000}">
          <x14:colorSeries theme="9" tint="-0.249977111117893"/>
          <x14:colorNegative rgb="FFFF0000"/>
          <x14:colorAxis rgb="FF000000"/>
          <x14:colorMarkers rgb="FF0070C0"/>
          <x14:colorFirst rgb="FFFFC000"/>
          <x14:colorLast rgb="FFFFC000"/>
          <x14:colorHigh rgb="FF00B050"/>
          <x14:colorLow rgb="FFFF0000"/>
          <x14:sparklines>
            <x14:sparkline>
              <xm:f>Sheet2!B3:J3</xm:f>
              <xm:sqref>K3</xm:sqref>
            </x14:sparkline>
            <x14:sparkline>
              <xm:f>Sheet2!B4:J4</xm:f>
              <xm:sqref>K4</xm:sqref>
            </x14:sparkline>
            <x14:sparkline>
              <xm:f>Sheet2!B5:J5</xm:f>
              <xm:sqref>K5</xm:sqref>
            </x14:sparkline>
            <x14:sparkline>
              <xm:f>Sheet2!B6:J6</xm:f>
              <xm:sqref>K6</xm:sqref>
            </x14:sparkline>
            <x14:sparkline>
              <xm:f>Sheet2!B7:J7</xm:f>
              <xm:sqref>K7</xm:sqref>
            </x14:sparkline>
            <x14:sparkline>
              <xm:f>Sheet2!B8:J8</xm:f>
              <xm:sqref>K8</xm:sqref>
            </x14:sparkline>
            <x14:sparkline>
              <xm:f>Sheet2!B9:J9</xm:f>
              <xm:sqref>K9</xm:sqref>
            </x14:sparkline>
            <x14:sparkline>
              <xm:f>Sheet2!B10:J10</xm:f>
              <xm:sqref>K10</xm:sqref>
            </x14:sparkline>
            <x14:sparkline>
              <xm:f>Sheet2!B11:J11</xm:f>
              <xm:sqref>K11</xm:sqref>
            </x14:sparkline>
            <x14:sparkline>
              <xm:f>Sheet2!B12:J12</xm:f>
              <xm:sqref>K12</xm:sqref>
            </x14:sparkline>
            <x14:sparkline>
              <xm:f>Sheet2!B13:J13</xm:f>
              <xm:sqref>K13</xm:sqref>
            </x14:sparkline>
            <x14:sparkline>
              <xm:f>Sheet2!B14:J14</xm:f>
              <xm:sqref>K14</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N25"/>
  <sheetViews>
    <sheetView workbookViewId="0">
      <selection activeCell="B14" sqref="B14"/>
    </sheetView>
  </sheetViews>
  <sheetFormatPr defaultColWidth="9" defaultRowHeight="15"/>
  <cols>
    <col min="1" max="1" width="27" customWidth="1"/>
    <col min="2" max="2" width="16.28515625" customWidth="1"/>
    <col min="3" max="3" width="8.7109375" customWidth="1"/>
    <col min="4" max="4" width="11.5703125" customWidth="1"/>
    <col min="5" max="5" width="5" customWidth="1"/>
    <col min="6" max="6" width="12.42578125" customWidth="1"/>
    <col min="7" max="8" width="5" customWidth="1"/>
    <col min="9" max="9" width="6" customWidth="1"/>
    <col min="10" max="10" width="12" customWidth="1"/>
    <col min="11" max="12" width="9.42578125" customWidth="1"/>
    <col min="13" max="13" width="9.5703125" customWidth="1"/>
    <col min="14" max="14" width="11.28515625" customWidth="1"/>
  </cols>
  <sheetData>
    <row r="1" spans="1:14">
      <c r="A1" t="s">
        <v>48</v>
      </c>
      <c r="B1" t="s">
        <v>54</v>
      </c>
    </row>
    <row r="2" spans="1:14">
      <c r="A2" t="s">
        <v>55</v>
      </c>
      <c r="B2">
        <v>9101</v>
      </c>
      <c r="C2">
        <v>9301</v>
      </c>
      <c r="D2">
        <v>9401</v>
      </c>
      <c r="E2">
        <v>9501</v>
      </c>
      <c r="F2">
        <v>9701</v>
      </c>
      <c r="G2">
        <v>9801</v>
      </c>
      <c r="H2">
        <v>9901</v>
      </c>
      <c r="I2">
        <v>10101</v>
      </c>
      <c r="J2">
        <v>10301</v>
      </c>
      <c r="K2">
        <v>10401</v>
      </c>
      <c r="L2">
        <v>10501</v>
      </c>
      <c r="M2">
        <v>10901</v>
      </c>
      <c r="N2" t="s">
        <v>51</v>
      </c>
    </row>
    <row r="3" spans="1:14">
      <c r="A3" s="87">
        <v>2002</v>
      </c>
      <c r="B3" s="80">
        <v>1.5</v>
      </c>
      <c r="C3" s="80">
        <v>1.6</v>
      </c>
      <c r="D3" s="80">
        <v>1.7</v>
      </c>
      <c r="E3" s="80">
        <v>1.75183435913647</v>
      </c>
      <c r="F3" s="80">
        <v>2.2000000000000002</v>
      </c>
      <c r="G3" s="80">
        <v>1.9</v>
      </c>
      <c r="H3" s="80">
        <v>1.52719012003939</v>
      </c>
      <c r="I3" s="80">
        <v>0.916892261196669</v>
      </c>
      <c r="J3" s="80">
        <v>1.1000000000000001</v>
      </c>
      <c r="K3" s="80">
        <v>1.35830937432768</v>
      </c>
      <c r="L3" s="80">
        <v>1.8</v>
      </c>
      <c r="M3" s="80">
        <v>1.8</v>
      </c>
      <c r="N3" s="80">
        <v>1.5961855095583499</v>
      </c>
    </row>
    <row r="4" spans="1:14">
      <c r="A4" s="87">
        <v>2003</v>
      </c>
      <c r="B4" s="80">
        <v>1.4</v>
      </c>
      <c r="C4" s="80">
        <v>1.5</v>
      </c>
      <c r="D4" s="80">
        <v>1.7</v>
      </c>
      <c r="E4" s="80">
        <v>1.6777515387047</v>
      </c>
      <c r="F4" s="80">
        <v>2.1</v>
      </c>
      <c r="G4" s="80">
        <v>1.9</v>
      </c>
      <c r="H4" s="80">
        <v>1.6987485028346301</v>
      </c>
      <c r="I4" s="80">
        <v>0.916892261196669</v>
      </c>
      <c r="J4" s="80">
        <v>1.1000000000000001</v>
      </c>
      <c r="K4" s="80">
        <v>1.35830937432768</v>
      </c>
      <c r="L4" s="80">
        <v>1.9</v>
      </c>
      <c r="M4" s="80">
        <v>1.8</v>
      </c>
      <c r="N4" s="80">
        <v>1.5876418064219699</v>
      </c>
    </row>
    <row r="5" spans="1:14">
      <c r="A5" s="87">
        <v>2004</v>
      </c>
      <c r="B5" s="80">
        <v>1.4</v>
      </c>
      <c r="C5" s="80">
        <v>1.4</v>
      </c>
      <c r="D5" s="80">
        <v>1.9</v>
      </c>
      <c r="E5" s="80">
        <v>1.75183435913647</v>
      </c>
      <c r="F5" s="80">
        <v>2.1</v>
      </c>
      <c r="G5" s="80">
        <v>1.8</v>
      </c>
      <c r="H5" s="80">
        <v>1.5518772457480501</v>
      </c>
      <c r="I5" s="80">
        <v>0.92533839179500399</v>
      </c>
      <c r="J5" s="80">
        <v>1.1000000000000001</v>
      </c>
      <c r="K5" s="80">
        <v>1.4166187486553601</v>
      </c>
      <c r="L5" s="80">
        <v>1.9</v>
      </c>
      <c r="M5" s="80">
        <v>2</v>
      </c>
      <c r="N5" s="80">
        <v>1.6038057287779099</v>
      </c>
    </row>
    <row r="6" spans="1:14">
      <c r="A6" s="87">
        <v>2005</v>
      </c>
      <c r="B6" s="80">
        <v>1.5</v>
      </c>
      <c r="C6" s="80">
        <v>1.5</v>
      </c>
      <c r="D6" s="80">
        <v>2.1</v>
      </c>
      <c r="E6" s="80">
        <v>1.6777515387047</v>
      </c>
      <c r="F6" s="80">
        <v>2.1</v>
      </c>
      <c r="G6" s="80">
        <v>1.9</v>
      </c>
      <c r="H6" s="80">
        <v>1.5765643714567099</v>
      </c>
      <c r="I6" s="80">
        <v>1.01689226119667</v>
      </c>
      <c r="J6" s="80">
        <v>1.2</v>
      </c>
      <c r="K6" s="80">
        <v>1.5166187486553599</v>
      </c>
      <c r="L6" s="80">
        <v>1.8</v>
      </c>
      <c r="M6" s="80">
        <v>2.2000000000000002</v>
      </c>
      <c r="N6" s="80">
        <v>1.67398557666779</v>
      </c>
    </row>
    <row r="7" spans="1:14">
      <c r="A7" s="87">
        <v>2006</v>
      </c>
      <c r="B7" s="80">
        <v>1.7</v>
      </c>
      <c r="C7" s="80">
        <v>1.5</v>
      </c>
      <c r="D7" s="80">
        <v>2.1</v>
      </c>
      <c r="E7" s="80">
        <v>1.5777515387047001</v>
      </c>
      <c r="F7" s="80">
        <v>1.9</v>
      </c>
      <c r="G7" s="80">
        <v>1.9</v>
      </c>
      <c r="H7" s="80">
        <v>1.60125149716537</v>
      </c>
      <c r="I7" s="80">
        <v>1.10844613059833</v>
      </c>
      <c r="J7" s="80">
        <v>1.2</v>
      </c>
      <c r="K7" s="80">
        <v>1.61661874865536</v>
      </c>
      <c r="L7" s="80">
        <v>1.8</v>
      </c>
      <c r="M7" s="80">
        <v>2.2000000000000002</v>
      </c>
      <c r="N7" s="80">
        <v>1.6836723262603099</v>
      </c>
    </row>
    <row r="8" spans="1:14">
      <c r="A8" s="87">
        <v>2007</v>
      </c>
      <c r="B8" s="80">
        <v>1.8</v>
      </c>
      <c r="C8" s="80">
        <v>1.6</v>
      </c>
      <c r="D8" s="80">
        <v>2.2000000000000002</v>
      </c>
      <c r="E8" s="80">
        <v>1.5518343591364701</v>
      </c>
      <c r="F8" s="80">
        <v>1.9</v>
      </c>
      <c r="G8" s="80">
        <v>1.9</v>
      </c>
      <c r="H8" s="80">
        <v>1.5259386228740299</v>
      </c>
      <c r="I8" s="80">
        <v>1.1168922611966701</v>
      </c>
      <c r="J8" s="80">
        <v>1.2</v>
      </c>
      <c r="K8" s="80">
        <v>1.61661874865536</v>
      </c>
      <c r="L8" s="80">
        <v>1.6</v>
      </c>
      <c r="M8" s="80">
        <v>2.1</v>
      </c>
      <c r="N8" s="80">
        <v>1.67594033265521</v>
      </c>
    </row>
    <row r="9" spans="1:14">
      <c r="A9" s="87">
        <v>2008</v>
      </c>
      <c r="B9" s="80">
        <v>2.4809999999999999</v>
      </c>
      <c r="C9" s="80">
        <v>1.671</v>
      </c>
      <c r="D9" s="80">
        <v>2.2509999999999999</v>
      </c>
      <c r="E9" s="80">
        <v>1.61872550623849</v>
      </c>
      <c r="F9" s="80">
        <v>1.929</v>
      </c>
      <c r="G9" s="80">
        <v>1.9755</v>
      </c>
      <c r="H9" s="80">
        <v>1.2504672256084</v>
      </c>
      <c r="I9" s="80">
        <v>1.1455814873163399</v>
      </c>
      <c r="J9" s="80">
        <v>1.246</v>
      </c>
      <c r="K9" s="80">
        <v>1.56179068630327</v>
      </c>
      <c r="L9" s="80">
        <v>1.637</v>
      </c>
      <c r="M9" s="80">
        <v>1.873</v>
      </c>
      <c r="N9" s="80">
        <v>1.7200054087888801</v>
      </c>
    </row>
    <row r="10" spans="1:14">
      <c r="A10" s="87">
        <v>2009</v>
      </c>
      <c r="B10" s="80">
        <v>2.492</v>
      </c>
      <c r="C10" s="80">
        <v>2.3490000000000002</v>
      </c>
      <c r="D10" s="80">
        <v>2.254</v>
      </c>
      <c r="E10" s="80">
        <v>2.0384840458171398</v>
      </c>
      <c r="F10" s="80">
        <v>2.355</v>
      </c>
      <c r="G10" s="80">
        <v>1.9715</v>
      </c>
      <c r="H10" s="80">
        <v>1.2512996158384599</v>
      </c>
      <c r="I10" s="80">
        <v>1.1419193325402699</v>
      </c>
      <c r="J10" s="80">
        <v>1.81</v>
      </c>
      <c r="K10" s="80">
        <v>1.65172534667214</v>
      </c>
      <c r="L10" s="80">
        <v>1.629</v>
      </c>
      <c r="M10" s="80">
        <v>1.613</v>
      </c>
      <c r="N10" s="80">
        <v>1.8797440284056699</v>
      </c>
    </row>
    <row r="11" spans="1:14">
      <c r="A11" s="87">
        <v>2010</v>
      </c>
      <c r="B11" s="80">
        <v>2.6</v>
      </c>
      <c r="C11" s="80"/>
      <c r="D11" s="80">
        <v>2.25</v>
      </c>
      <c r="E11" s="80">
        <v>2.5155146060729998</v>
      </c>
      <c r="F11" s="80">
        <v>2.76</v>
      </c>
      <c r="G11" s="80">
        <v>1.97</v>
      </c>
      <c r="H11" s="80">
        <v>1.30326132744226</v>
      </c>
      <c r="I11" s="80">
        <v>1.1619599395556699</v>
      </c>
      <c r="J11" s="80">
        <v>1.67</v>
      </c>
      <c r="K11" s="80">
        <v>1.68902027225254</v>
      </c>
      <c r="L11" s="80">
        <v>1.55</v>
      </c>
      <c r="M11" s="80">
        <v>1.68</v>
      </c>
      <c r="N11" s="80">
        <v>1.92270510412032</v>
      </c>
    </row>
    <row r="12" spans="1:14">
      <c r="A12" s="87" t="s">
        <v>51</v>
      </c>
      <c r="B12" s="80">
        <v>1.8747777777777801</v>
      </c>
      <c r="C12" s="80">
        <v>1.64</v>
      </c>
      <c r="D12" s="80">
        <v>2.0505555555555599</v>
      </c>
      <c r="E12" s="80">
        <v>1.7957202057391299</v>
      </c>
      <c r="F12" s="80">
        <v>2.1493333333333302</v>
      </c>
      <c r="G12" s="80">
        <v>1.913</v>
      </c>
      <c r="H12" s="80">
        <v>1.4762887254452599</v>
      </c>
      <c r="I12" s="80">
        <v>1.05009048073248</v>
      </c>
      <c r="J12" s="80">
        <v>1.2917777777777799</v>
      </c>
      <c r="K12" s="80">
        <v>1.5317366720560801</v>
      </c>
      <c r="L12" s="80">
        <v>1.7351111111111099</v>
      </c>
      <c r="M12" s="80">
        <v>1.91844444444444</v>
      </c>
      <c r="N12" s="80">
        <v>1.70281798837156</v>
      </c>
    </row>
    <row r="13" spans="1:14">
      <c r="B13" t="s">
        <v>56</v>
      </c>
      <c r="C13" t="s">
        <v>57</v>
      </c>
      <c r="F13" t="s">
        <v>58</v>
      </c>
      <c r="G13" t="s">
        <v>59</v>
      </c>
      <c r="J13" t="s">
        <v>60</v>
      </c>
    </row>
    <row r="14" spans="1:14">
      <c r="A14" cm="1">
        <f t="array" ref="A14:A25">_xlfn.UNIQUE(Table1[Climate_Zone])</f>
        <v>9101</v>
      </c>
      <c r="B14" s="78">
        <f>AVERAGEIF(Table1[Climate_Zone],Calculator!A14,Table1[Actual_Yield (YA)])</f>
        <v>1.8747777777777801</v>
      </c>
      <c r="C14" cm="1">
        <f t="array" ref="C14">_xlfn.XLOOKUP(Zone,_xlfn.ANCHORARRAY(A14),B14:B25)</f>
        <v>2.1493333333333302</v>
      </c>
      <c r="F14">
        <f>AVERAGEIF(Table1[Climate_Zone],Calculator!A14,Table1[Stress_Index])</f>
        <v>0.96629690073435304</v>
      </c>
      <c r="G14" cm="1">
        <f t="array" ref="G14">_xlfn.XLOOKUP(Zone,_xlfn.ANCHORARRAY(A14),F14:F25)</f>
        <v>1.04932167544737</v>
      </c>
      <c r="J14">
        <f>AVERAGEIF(Table1[Climate_Zone],Calculator!A14,Table1[Calculated_Yield_Gap])</f>
        <v>9.5749999999999993</v>
      </c>
      <c r="L14" cm="1">
        <f t="array" ref="L14">_xlfn.XLOOKUP(Zone,_xlfn.ANCHORARRAY(A14),J14:J25)</f>
        <v>13.2062222222222</v>
      </c>
    </row>
    <row r="15" spans="1:14">
      <c r="A15">
        <v>9301</v>
      </c>
      <c r="B15" s="78">
        <f>AVERAGEIF(Table1[Climate_Zone],Calculator!A15,Table1[Actual_Yield (YA)])</f>
        <v>1.64</v>
      </c>
      <c r="F15">
        <f>AVERAGEIF(Table1[Climate_Zone],Calculator!A15,Table1[Stress_Index])</f>
        <v>1.0477183950247499</v>
      </c>
      <c r="J15">
        <f>AVERAGEIF(Table1[Climate_Zone],Calculator!A15,Table1[Calculated_Yield_Gap])</f>
        <v>12.535</v>
      </c>
    </row>
    <row r="16" spans="1:14">
      <c r="A16">
        <v>9401</v>
      </c>
      <c r="B16" s="78">
        <f>AVERAGEIF(Table1[Climate_Zone],Calculator!A16,Table1[Actual_Yield (YA)])</f>
        <v>2.0505555555555599</v>
      </c>
      <c r="F16">
        <f>AVERAGEIF(Table1[Climate_Zone],Calculator!A16,Table1[Stress_Index])</f>
        <v>1.0324475523521699</v>
      </c>
      <c r="J16">
        <f>AVERAGEIF(Table1[Climate_Zone],Calculator!A16,Table1[Calculated_Yield_Gap])</f>
        <v>11.6938888888889</v>
      </c>
    </row>
    <row r="17" spans="1:10">
      <c r="A17">
        <v>9501</v>
      </c>
      <c r="B17" s="78">
        <f>AVERAGEIF(Table1[Climate_Zone],Calculator!A17,Table1[Actual_Yield (YA)])</f>
        <v>1.7957202057391299</v>
      </c>
      <c r="F17">
        <f>AVERAGEIF(Table1[Climate_Zone],Calculator!A17,Table1[Stress_Index])</f>
        <v>1.01292284144557</v>
      </c>
      <c r="J17">
        <f>AVERAGEIF(Table1[Climate_Zone],Calculator!A17,Table1[Calculated_Yield_Gap])</f>
        <v>13.976600877872601</v>
      </c>
    </row>
    <row r="18" spans="1:10">
      <c r="A18">
        <v>9701</v>
      </c>
      <c r="B18" s="78">
        <f>AVERAGEIF(Table1[Climate_Zone],Calculator!A18,Table1[Actual_Yield (YA)])</f>
        <v>2.1493333333333302</v>
      </c>
      <c r="F18">
        <f>AVERAGEIF(Table1[Climate_Zone],Calculator!A18,Table1[Stress_Index])</f>
        <v>1.04932167544737</v>
      </c>
      <c r="J18">
        <f>AVERAGEIF(Table1[Climate_Zone],Calculator!A18,Table1[Calculated_Yield_Gap])</f>
        <v>13.2062222222222</v>
      </c>
    </row>
    <row r="19" spans="1:10">
      <c r="A19">
        <v>9801</v>
      </c>
      <c r="B19" s="78">
        <f>AVERAGEIF(Table1[Climate_Zone],Calculator!A19,Table1[Actual_Yield (YA)])</f>
        <v>1.913</v>
      </c>
      <c r="F19">
        <f>AVERAGEIF(Table1[Climate_Zone],Calculator!A19,Table1[Stress_Index])</f>
        <v>0.99139710055460994</v>
      </c>
      <c r="J19">
        <f>AVERAGEIF(Table1[Climate_Zone],Calculator!A19,Table1[Calculated_Yield_Gap])</f>
        <v>12.842555555555601</v>
      </c>
    </row>
    <row r="20" spans="1:10">
      <c r="A20">
        <v>9901</v>
      </c>
      <c r="B20" s="78">
        <f>AVERAGEIF(Table1[Climate_Zone],Calculator!A20,Table1[Actual_Yield (YA)])</f>
        <v>1.4762887254452599</v>
      </c>
      <c r="F20">
        <f>AVERAGEIF(Table1[Climate_Zone],Calculator!A20,Table1[Stress_Index])</f>
        <v>1.01118980358863</v>
      </c>
      <c r="J20">
        <f>AVERAGEIF(Table1[Climate_Zone],Calculator!A20,Table1[Calculated_Yield_Gap])</f>
        <v>11.4033977348566</v>
      </c>
    </row>
    <row r="21" spans="1:10">
      <c r="A21">
        <v>10101</v>
      </c>
      <c r="B21" s="78">
        <f>AVERAGEIF(Table1[Climate_Zone],Calculator!A21,Table1[Actual_Yield (YA)])</f>
        <v>1.05009048073248</v>
      </c>
      <c r="F21">
        <f>AVERAGEIF(Table1[Climate_Zone],Calculator!A21,Table1[Stress_Index])</f>
        <v>0.99464684364272804</v>
      </c>
      <c r="J21">
        <f>AVERAGEIF(Table1[Climate_Zone],Calculator!A21,Table1[Calculated_Yield_Gap])</f>
        <v>9.8128223501127003</v>
      </c>
    </row>
    <row r="22" spans="1:10">
      <c r="A22">
        <v>10301</v>
      </c>
      <c r="B22" s="78">
        <f>AVERAGEIF(Table1[Climate_Zone],Calculator!A22,Table1[Actual_Yield (YA)])</f>
        <v>1.2917777777777799</v>
      </c>
      <c r="F22">
        <f>AVERAGEIF(Table1[Climate_Zone],Calculator!A22,Table1[Stress_Index])</f>
        <v>0.94974882506971103</v>
      </c>
      <c r="J22">
        <f>AVERAGEIF(Table1[Climate_Zone],Calculator!A22,Table1[Calculated_Yield_Gap])</f>
        <v>13.6415555555556</v>
      </c>
    </row>
    <row r="23" spans="1:10">
      <c r="A23">
        <v>10401</v>
      </c>
      <c r="B23" s="78">
        <f>AVERAGEIF(Table1[Climate_Zone],Calculator!A23,Table1[Actual_Yield (YA)])</f>
        <v>1.5317366720560801</v>
      </c>
      <c r="F23">
        <f>AVERAGEIF(Table1[Climate_Zone],Calculator!A23,Table1[Stress_Index])</f>
        <v>1.03214395812949</v>
      </c>
      <c r="J23">
        <f>AVERAGEIF(Table1[Climate_Zone],Calculator!A23,Table1[Calculated_Yield_Gap])</f>
        <v>13.561282944991</v>
      </c>
    </row>
    <row r="24" spans="1:10">
      <c r="A24">
        <v>10501</v>
      </c>
      <c r="B24" s="78">
        <f>AVERAGEIF(Table1[Climate_Zone],Calculator!A24,Table1[Actual_Yield (YA)])</f>
        <v>1.7351111111111099</v>
      </c>
      <c r="F24">
        <f>AVERAGEIF(Table1[Climate_Zone],Calculator!A24,Table1[Stress_Index])</f>
        <v>0.98117346972276598</v>
      </c>
      <c r="J24">
        <f>AVERAGEIF(Table1[Climate_Zone],Calculator!A24,Table1[Calculated_Yield_Gap])</f>
        <v>13.4871111111111</v>
      </c>
    </row>
    <row r="25" spans="1:10">
      <c r="A25">
        <v>10901</v>
      </c>
      <c r="B25" s="78">
        <f>AVERAGEIF(Table1[Climate_Zone],Calculator!A25,Table1[Actual_Yield (YA)])</f>
        <v>1.91844444444444</v>
      </c>
      <c r="F25">
        <f>AVERAGEIF(Table1[Climate_Zone],Calculator!A25,Table1[Stress_Index])</f>
        <v>0.95017904504873996</v>
      </c>
      <c r="J25">
        <f>AVERAGEIF(Table1[Climate_Zone],Calculator!A25,Table1[Calculated_Yield_Gap])</f>
        <v>12.9704444444444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dimension ref="B1:E13"/>
  <sheetViews>
    <sheetView workbookViewId="0">
      <selection activeCell="D2" sqref="D2"/>
    </sheetView>
  </sheetViews>
  <sheetFormatPr defaultColWidth="9" defaultRowHeight="15"/>
  <cols>
    <col min="5" max="5" width="12.85546875"/>
  </cols>
  <sheetData>
    <row r="1" spans="2:5">
      <c r="B1" t="s">
        <v>61</v>
      </c>
      <c r="D1" t="s">
        <v>62</v>
      </c>
    </row>
    <row r="2" spans="2:5">
      <c r="B2" cm="1">
        <f t="array" ref="B2:B13">_xlfn.UNIQUE(Table1[Climate_Zone])</f>
        <v>9101</v>
      </c>
      <c r="D2" cm="1">
        <f t="array" ref="D2:D10">_xlfn.UNIQUE(Table1[Harvest_Year])</f>
        <v>2002</v>
      </c>
      <c r="E2" cm="1">
        <f t="array" ref="E2">AVERAGE(IF((Table1[Harvest_Year]=Validation_YA_SIchart!D2)*(Table1[Climate_Zone]=Zone),Table1[Stress_Index]))</f>
        <v>1.1671087533156499</v>
      </c>
    </row>
    <row r="3" spans="2:5">
      <c r="B3">
        <v>9301</v>
      </c>
      <c r="D3">
        <v>2003</v>
      </c>
      <c r="E3" cm="1">
        <f t="array" ref="E3">AVERAGE(IF((Table1[Harvest_Year]=Validation_YA_SIchart!D3)*(Table1[Climate_Zone]=Zone),Table1[Stress_Index]))</f>
        <v>1.09034267912772</v>
      </c>
    </row>
    <row r="4" spans="2:5">
      <c r="B4">
        <v>9401</v>
      </c>
      <c r="D4">
        <v>2004</v>
      </c>
      <c r="E4" cm="1">
        <f t="array" ref="E4">AVERAGE(IF((Table1[Harvest_Year]=Validation_YA_SIchart!D4)*(Table1[Climate_Zone]=Zone),Table1[Stress_Index]))</f>
        <v>1.0676156583629901</v>
      </c>
    </row>
    <row r="5" spans="2:5">
      <c r="B5">
        <v>9501</v>
      </c>
      <c r="D5">
        <v>2005</v>
      </c>
      <c r="E5" cm="1">
        <f t="array" ref="E5">AVERAGE(IF((Table1[Harvest_Year]=Validation_YA_SIchart!D5)*(Table1[Climate_Zone]=Zone),Table1[Stress_Index]))</f>
        <v>1.0458167330677299</v>
      </c>
    </row>
    <row r="6" spans="2:5">
      <c r="B6">
        <v>9701</v>
      </c>
      <c r="D6">
        <v>2006</v>
      </c>
      <c r="E6" cm="1">
        <f t="array" ref="E6">AVERAGE(IF((Table1[Harvest_Year]=Validation_YA_SIchart!D6)*(Table1[Climate_Zone]=Zone),Table1[Stress_Index]))</f>
        <v>0.92728160078086597</v>
      </c>
    </row>
    <row r="7" spans="2:5">
      <c r="B7">
        <v>9801</v>
      </c>
      <c r="D7">
        <v>2007</v>
      </c>
      <c r="E7" cm="1">
        <f t="array" ref="E7">AVERAGE(IF((Table1[Harvest_Year]=Validation_YA_SIchart!D7)*(Table1[Climate_Zone]=Zone),Table1[Stress_Index]))</f>
        <v>0.90909090909090795</v>
      </c>
    </row>
    <row r="8" spans="2:5">
      <c r="B8">
        <v>9901</v>
      </c>
      <c r="D8">
        <v>2008</v>
      </c>
      <c r="E8" cm="1">
        <f t="array" ref="E8">AVERAGE(IF((Table1[Harvest_Year]=Validation_YA_SIchart!D8)*(Table1[Climate_Zone]=Zone),Table1[Stress_Index]))</f>
        <v>0.90520882214922604</v>
      </c>
    </row>
    <row r="9" spans="2:5">
      <c r="B9">
        <v>10101</v>
      </c>
      <c r="D9">
        <v>2009</v>
      </c>
      <c r="E9" cm="1">
        <f t="array" ref="E9">AVERAGE(IF((Table1[Harvest_Year]=Validation_YA_SIchart!D9)*(Table1[Climate_Zone]=Zone),Table1[Stress_Index]))</f>
        <v>1.0842541436464099</v>
      </c>
    </row>
    <row r="10" spans="2:5">
      <c r="B10">
        <v>10301</v>
      </c>
      <c r="D10">
        <v>2010</v>
      </c>
      <c r="E10" cm="1">
        <f t="array" ref="E10">AVERAGE(IF((Table1[Harvest_Year]=Validation_YA_SIchart!D10)*(Table1[Climate_Zone]=Zone),Table1[Stress_Index]))</f>
        <v>1.2471757794848699</v>
      </c>
    </row>
    <row r="11" spans="2:5">
      <c r="B11">
        <v>10401</v>
      </c>
    </row>
    <row r="12" spans="2:5">
      <c r="B12">
        <v>10501</v>
      </c>
    </row>
    <row r="13" spans="2:5">
      <c r="B13">
        <v>10901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O114"/>
  <sheetViews>
    <sheetView workbookViewId="0">
      <selection sqref="A1:A1048576"/>
    </sheetView>
  </sheetViews>
  <sheetFormatPr defaultColWidth="9" defaultRowHeight="15"/>
  <cols>
    <col min="1" max="1" width="20.140625" customWidth="1"/>
    <col min="2" max="2" width="17" customWidth="1"/>
    <col min="3" max="3" width="13.7109375" customWidth="1"/>
    <col min="4" max="4" width="17.140625" customWidth="1"/>
    <col min="5" max="5" width="12.5703125" customWidth="1"/>
    <col min="6" max="6" width="21.42578125" customWidth="1"/>
    <col min="7" max="8" width="9" customWidth="1"/>
    <col min="9" max="9" width="20.85546875" customWidth="1"/>
    <col min="10" max="10" width="22.140625" customWidth="1"/>
    <col min="11" max="11" width="23.5703125" customWidth="1"/>
    <col min="12" max="12" width="24" customWidth="1"/>
    <col min="13" max="13" width="22.5703125" customWidth="1"/>
    <col min="14" max="14" width="21" customWidth="1"/>
    <col min="258" max="258" width="13.7109375" customWidth="1"/>
    <col min="259" max="259" width="13.5703125" customWidth="1"/>
    <col min="514" max="514" width="13.7109375" customWidth="1"/>
    <col min="515" max="515" width="13.5703125" customWidth="1"/>
    <col min="770" max="770" width="13.7109375" customWidth="1"/>
    <col min="771" max="771" width="13.5703125" customWidth="1"/>
    <col min="1026" max="1026" width="13.7109375" customWidth="1"/>
    <col min="1027" max="1027" width="13.5703125" customWidth="1"/>
    <col min="1282" max="1282" width="13.7109375" customWidth="1"/>
    <col min="1283" max="1283" width="13.5703125" customWidth="1"/>
    <col min="1538" max="1538" width="13.7109375" customWidth="1"/>
    <col min="1539" max="1539" width="13.5703125" customWidth="1"/>
    <col min="1794" max="1794" width="13.7109375" customWidth="1"/>
    <col min="1795" max="1795" width="13.5703125" customWidth="1"/>
    <col min="2050" max="2050" width="13.7109375" customWidth="1"/>
    <col min="2051" max="2051" width="13.5703125" customWidth="1"/>
    <col min="2306" max="2306" width="13.7109375" customWidth="1"/>
    <col min="2307" max="2307" width="13.5703125" customWidth="1"/>
    <col min="2562" max="2562" width="13.7109375" customWidth="1"/>
    <col min="2563" max="2563" width="13.5703125" customWidth="1"/>
    <col min="2818" max="2818" width="13.7109375" customWidth="1"/>
    <col min="2819" max="2819" width="13.5703125" customWidth="1"/>
    <col min="3074" max="3074" width="13.7109375" customWidth="1"/>
    <col min="3075" max="3075" width="13.5703125" customWidth="1"/>
    <col min="3330" max="3330" width="13.7109375" customWidth="1"/>
    <col min="3331" max="3331" width="13.5703125" customWidth="1"/>
    <col min="3586" max="3586" width="13.7109375" customWidth="1"/>
    <col min="3587" max="3587" width="13.5703125" customWidth="1"/>
    <col min="3842" max="3842" width="13.7109375" customWidth="1"/>
    <col min="3843" max="3843" width="13.5703125" customWidth="1"/>
    <col min="4098" max="4098" width="13.7109375" customWidth="1"/>
    <col min="4099" max="4099" width="13.5703125" customWidth="1"/>
    <col min="4354" max="4354" width="13.7109375" customWidth="1"/>
    <col min="4355" max="4355" width="13.5703125" customWidth="1"/>
    <col min="4610" max="4610" width="13.7109375" customWidth="1"/>
    <col min="4611" max="4611" width="13.5703125" customWidth="1"/>
    <col min="4866" max="4866" width="13.7109375" customWidth="1"/>
    <col min="4867" max="4867" width="13.5703125" customWidth="1"/>
    <col min="5122" max="5122" width="13.7109375" customWidth="1"/>
    <col min="5123" max="5123" width="13.5703125" customWidth="1"/>
    <col min="5378" max="5378" width="13.7109375" customWidth="1"/>
    <col min="5379" max="5379" width="13.5703125" customWidth="1"/>
    <col min="5634" max="5634" width="13.7109375" customWidth="1"/>
    <col min="5635" max="5635" width="13.5703125" customWidth="1"/>
    <col min="5890" max="5890" width="13.7109375" customWidth="1"/>
    <col min="5891" max="5891" width="13.5703125" customWidth="1"/>
    <col min="6146" max="6146" width="13.7109375" customWidth="1"/>
    <col min="6147" max="6147" width="13.5703125" customWidth="1"/>
    <col min="6402" max="6402" width="13.7109375" customWidth="1"/>
    <col min="6403" max="6403" width="13.5703125" customWidth="1"/>
    <col min="6658" max="6658" width="13.7109375" customWidth="1"/>
    <col min="6659" max="6659" width="13.5703125" customWidth="1"/>
    <col min="6914" max="6914" width="13.7109375" customWidth="1"/>
    <col min="6915" max="6915" width="13.5703125" customWidth="1"/>
    <col min="7170" max="7170" width="13.7109375" customWidth="1"/>
    <col min="7171" max="7171" width="13.5703125" customWidth="1"/>
    <col min="7426" max="7426" width="13.7109375" customWidth="1"/>
    <col min="7427" max="7427" width="13.5703125" customWidth="1"/>
    <col min="7682" max="7682" width="13.7109375" customWidth="1"/>
    <col min="7683" max="7683" width="13.5703125" customWidth="1"/>
    <col min="7938" max="7938" width="13.7109375" customWidth="1"/>
    <col min="7939" max="7939" width="13.5703125" customWidth="1"/>
    <col min="8194" max="8194" width="13.7109375" customWidth="1"/>
    <col min="8195" max="8195" width="13.5703125" customWidth="1"/>
    <col min="8450" max="8450" width="13.7109375" customWidth="1"/>
    <col min="8451" max="8451" width="13.5703125" customWidth="1"/>
    <col min="8706" max="8706" width="13.7109375" customWidth="1"/>
    <col min="8707" max="8707" width="13.5703125" customWidth="1"/>
    <col min="8962" max="8962" width="13.7109375" customWidth="1"/>
    <col min="8963" max="8963" width="13.5703125" customWidth="1"/>
    <col min="9218" max="9218" width="13.7109375" customWidth="1"/>
    <col min="9219" max="9219" width="13.5703125" customWidth="1"/>
    <col min="9474" max="9474" width="13.7109375" customWidth="1"/>
    <col min="9475" max="9475" width="13.5703125" customWidth="1"/>
    <col min="9730" max="9730" width="13.7109375" customWidth="1"/>
    <col min="9731" max="9731" width="13.5703125" customWidth="1"/>
    <col min="9986" max="9986" width="13.7109375" customWidth="1"/>
    <col min="9987" max="9987" width="13.5703125" customWidth="1"/>
    <col min="10242" max="10242" width="13.7109375" customWidth="1"/>
    <col min="10243" max="10243" width="13.5703125" customWidth="1"/>
    <col min="10498" max="10498" width="13.7109375" customWidth="1"/>
    <col min="10499" max="10499" width="13.5703125" customWidth="1"/>
    <col min="10754" max="10754" width="13.7109375" customWidth="1"/>
    <col min="10755" max="10755" width="13.5703125" customWidth="1"/>
    <col min="11010" max="11010" width="13.7109375" customWidth="1"/>
    <col min="11011" max="11011" width="13.5703125" customWidth="1"/>
    <col min="11266" max="11266" width="13.7109375" customWidth="1"/>
    <col min="11267" max="11267" width="13.5703125" customWidth="1"/>
    <col min="11522" max="11522" width="13.7109375" customWidth="1"/>
    <col min="11523" max="11523" width="13.5703125" customWidth="1"/>
    <col min="11778" max="11778" width="13.7109375" customWidth="1"/>
    <col min="11779" max="11779" width="13.5703125" customWidth="1"/>
    <col min="12034" max="12034" width="13.7109375" customWidth="1"/>
    <col min="12035" max="12035" width="13.5703125" customWidth="1"/>
    <col min="12290" max="12290" width="13.7109375" customWidth="1"/>
    <col min="12291" max="12291" width="13.5703125" customWidth="1"/>
    <col min="12546" max="12546" width="13.7109375" customWidth="1"/>
    <col min="12547" max="12547" width="13.5703125" customWidth="1"/>
    <col min="12802" max="12802" width="13.7109375" customWidth="1"/>
    <col min="12803" max="12803" width="13.5703125" customWidth="1"/>
    <col min="13058" max="13058" width="13.7109375" customWidth="1"/>
    <col min="13059" max="13059" width="13.5703125" customWidth="1"/>
    <col min="13314" max="13314" width="13.7109375" customWidth="1"/>
    <col min="13315" max="13315" width="13.5703125" customWidth="1"/>
    <col min="13570" max="13570" width="13.7109375" customWidth="1"/>
    <col min="13571" max="13571" width="13.5703125" customWidth="1"/>
    <col min="13826" max="13826" width="13.7109375" customWidth="1"/>
    <col min="13827" max="13827" width="13.5703125" customWidth="1"/>
    <col min="14082" max="14082" width="13.7109375" customWidth="1"/>
    <col min="14083" max="14083" width="13.5703125" customWidth="1"/>
    <col min="14338" max="14338" width="13.7109375" customWidth="1"/>
    <col min="14339" max="14339" width="13.5703125" customWidth="1"/>
    <col min="14594" max="14594" width="13.7109375" customWidth="1"/>
    <col min="14595" max="14595" width="13.5703125" customWidth="1"/>
    <col min="14850" max="14850" width="13.7109375" customWidth="1"/>
    <col min="14851" max="14851" width="13.5703125" customWidth="1"/>
    <col min="15106" max="15106" width="13.7109375" customWidth="1"/>
    <col min="15107" max="15107" width="13.5703125" customWidth="1"/>
    <col min="15362" max="15362" width="13.7109375" customWidth="1"/>
    <col min="15363" max="15363" width="13.5703125" customWidth="1"/>
    <col min="15618" max="15618" width="13.7109375" customWidth="1"/>
    <col min="15619" max="15619" width="13.5703125" customWidth="1"/>
    <col min="15874" max="15874" width="13.7109375" customWidth="1"/>
    <col min="15875" max="15875" width="13.5703125" customWidth="1"/>
    <col min="16130" max="16130" width="13.7109375" customWidth="1"/>
    <col min="16131" max="16131" width="13.5703125" customWidth="1"/>
  </cols>
  <sheetData>
    <row r="1" spans="1:15">
      <c r="A1" t="s">
        <v>49</v>
      </c>
      <c r="B1" t="s">
        <v>63</v>
      </c>
      <c r="C1" t="s">
        <v>50</v>
      </c>
      <c r="D1" t="s">
        <v>64</v>
      </c>
      <c r="E1" t="s">
        <v>42</v>
      </c>
      <c r="F1" t="s">
        <v>65</v>
      </c>
      <c r="G1" t="s">
        <v>44</v>
      </c>
      <c r="H1" t="s">
        <v>45</v>
      </c>
      <c r="I1" t="s">
        <v>17</v>
      </c>
      <c r="J1" t="s">
        <v>66</v>
      </c>
      <c r="K1" t="s">
        <v>67</v>
      </c>
      <c r="L1" t="s">
        <v>68</v>
      </c>
    </row>
    <row r="2" spans="1:15">
      <c r="A2">
        <v>9101</v>
      </c>
      <c r="B2" t="s">
        <v>46</v>
      </c>
      <c r="C2">
        <v>2002</v>
      </c>
      <c r="D2" s="80">
        <v>1.5</v>
      </c>
      <c r="E2">
        <v>0.89100000000000001</v>
      </c>
      <c r="F2" s="80">
        <v>11.1</v>
      </c>
      <c r="G2">
        <v>3.1484098939929299</v>
      </c>
      <c r="H2">
        <v>5.3003533568904597</v>
      </c>
      <c r="I2">
        <f t="shared" ref="I2:I10" si="0">0.169*C2-337.07</f>
        <v>1.26800000000003</v>
      </c>
      <c r="J2" s="78">
        <f t="shared" ref="J2:J33" si="1">D2/I2</f>
        <v>1.1829652996845199</v>
      </c>
      <c r="K2" s="78">
        <f t="shared" ref="K2:K33" si="2">(J2/I2)</f>
        <v>0.932937933505117</v>
      </c>
      <c r="L2">
        <f>IF(OR(Table1[[#This Row],[Actual_Yield (YA)]]="",Table1[[#This Row],[Potential_Yield (YP)]]=""),"",Table1[[#This Row],[Potential_Yield (YP)]]-Table1[[#This Row],[Actual_Yield (YA)]])</f>
        <v>9.6</v>
      </c>
    </row>
    <row r="3" spans="1:15">
      <c r="A3">
        <v>9101</v>
      </c>
      <c r="B3" t="s">
        <v>46</v>
      </c>
      <c r="C3">
        <v>2003</v>
      </c>
      <c r="D3" s="80">
        <v>1.4</v>
      </c>
      <c r="E3">
        <v>9.0109999999999992</v>
      </c>
      <c r="F3" s="80">
        <v>10.6</v>
      </c>
      <c r="G3">
        <v>20.000964760840901</v>
      </c>
      <c r="H3">
        <v>3.1074631744731098</v>
      </c>
      <c r="I3">
        <f t="shared" si="0"/>
        <v>1.43700000000001</v>
      </c>
      <c r="J3" s="78">
        <f t="shared" si="1"/>
        <v>0.97425191370910802</v>
      </c>
      <c r="K3" s="78">
        <f t="shared" si="2"/>
        <v>0.67797627954704298</v>
      </c>
      <c r="L3">
        <f>IF(OR(Table1[[#This Row],[Actual_Yield (YA)]]="",Table1[[#This Row],[Potential_Yield (YP)]]=""),"",Table1[[#This Row],[Potential_Yield (YP)]]-Table1[[#This Row],[Actual_Yield (YA)]])</f>
        <v>9.1999999999999993</v>
      </c>
      <c r="N3" s="73" t="s">
        <v>69</v>
      </c>
      <c r="O3" s="9" t="s">
        <v>70</v>
      </c>
    </row>
    <row r="4" spans="1:15">
      <c r="A4">
        <v>9101</v>
      </c>
      <c r="B4" t="s">
        <v>46</v>
      </c>
      <c r="C4">
        <v>2004</v>
      </c>
      <c r="D4" s="80">
        <v>1.4</v>
      </c>
      <c r="E4">
        <v>9.69</v>
      </c>
      <c r="F4" s="80">
        <v>11.6</v>
      </c>
      <c r="G4">
        <v>23.098654923967899</v>
      </c>
      <c r="H4">
        <v>3.3372669652791598</v>
      </c>
      <c r="I4">
        <f t="shared" si="0"/>
        <v>1.6060000000000501</v>
      </c>
      <c r="J4" s="78">
        <f t="shared" si="1"/>
        <v>0.87173100871728204</v>
      </c>
      <c r="K4" s="78">
        <f t="shared" si="2"/>
        <v>0.54279639397089297</v>
      </c>
      <c r="L4">
        <f>IF(OR(Table1[[#This Row],[Actual_Yield (YA)]]="",Table1[[#This Row],[Potential_Yield (YP)]]=""),"",Table1[[#This Row],[Potential_Yield (YP)]]-Table1[[#This Row],[Actual_Yield (YA)]])</f>
        <v>10.199999999999999</v>
      </c>
      <c r="N4" s="81" t="s">
        <v>71</v>
      </c>
      <c r="O4" s="82">
        <f>MIN(Table1[Actual_Yield (YA)])</f>
        <v>0.916892261196669</v>
      </c>
    </row>
    <row r="5" spans="1:15">
      <c r="A5">
        <v>9101</v>
      </c>
      <c r="B5" t="s">
        <v>46</v>
      </c>
      <c r="C5">
        <v>2005</v>
      </c>
      <c r="D5" s="80">
        <v>1.5</v>
      </c>
      <c r="E5">
        <v>10.254</v>
      </c>
      <c r="F5" s="80">
        <v>10.8</v>
      </c>
      <c r="G5">
        <v>24.498444824598401</v>
      </c>
      <c r="H5">
        <v>3.5837397344351101</v>
      </c>
      <c r="I5">
        <f t="shared" si="0"/>
        <v>1.7750000000000301</v>
      </c>
      <c r="J5" s="78">
        <f t="shared" si="1"/>
        <v>0.84507042253519504</v>
      </c>
      <c r="K5" s="78">
        <f t="shared" si="2"/>
        <v>0.47609601269587498</v>
      </c>
      <c r="L5">
        <f>IF(OR(Table1[[#This Row],[Actual_Yield (YA)]]="",Table1[[#This Row],[Potential_Yield (YP)]]=""),"",Table1[[#This Row],[Potential_Yield (YP)]]-Table1[[#This Row],[Actual_Yield (YA)]])</f>
        <v>9.3000000000000007</v>
      </c>
      <c r="N5" s="83" t="s">
        <v>72</v>
      </c>
      <c r="O5" s="84">
        <f>AVERAGE(Table1[Actual_Yield (YA)])</f>
        <v>1.70281798837156</v>
      </c>
    </row>
    <row r="6" spans="1:15">
      <c r="A6">
        <v>9101</v>
      </c>
      <c r="B6" t="s">
        <v>46</v>
      </c>
      <c r="C6">
        <v>2006</v>
      </c>
      <c r="D6" s="80">
        <v>1.7</v>
      </c>
      <c r="F6" s="80"/>
      <c r="I6">
        <f t="shared" si="0"/>
        <v>1.9440000000000199</v>
      </c>
      <c r="J6" s="78">
        <f t="shared" si="1"/>
        <v>0.87448559670781101</v>
      </c>
      <c r="K6" s="78">
        <f t="shared" si="2"/>
        <v>0.44983826991142201</v>
      </c>
      <c r="L6" t="str">
        <f>IF(OR(Table1[[#This Row],[Actual_Yield (YA)]]="",Table1[[#This Row],[Potential_Yield (YP)]]=""),"",Table1[[#This Row],[Potential_Yield (YP)]]-Table1[[#This Row],[Actual_Yield (YA)]])</f>
        <v/>
      </c>
      <c r="N6" s="83" t="s">
        <v>73</v>
      </c>
      <c r="O6" s="84">
        <f>MAX(Table1[Actual_Yield (YA)])</f>
        <v>2.76</v>
      </c>
    </row>
    <row r="7" spans="1:15">
      <c r="A7">
        <v>9101</v>
      </c>
      <c r="B7" t="s">
        <v>46</v>
      </c>
      <c r="C7">
        <v>2007</v>
      </c>
      <c r="D7" s="80">
        <v>1.8</v>
      </c>
      <c r="F7" s="80"/>
      <c r="I7">
        <f t="shared" si="0"/>
        <v>2.1130000000000599</v>
      </c>
      <c r="J7" s="78">
        <f t="shared" si="1"/>
        <v>0.85186938002837298</v>
      </c>
      <c r="K7" s="78">
        <f t="shared" si="2"/>
        <v>0.40315635590551402</v>
      </c>
      <c r="L7" t="str">
        <f>IF(OR(Table1[[#This Row],[Actual_Yield (YA)]]="",Table1[[#This Row],[Potential_Yield (YP)]]=""),"",Table1[[#This Row],[Potential_Yield (YP)]]-Table1[[#This Row],[Actual_Yield (YA)]])</f>
        <v/>
      </c>
      <c r="N7" s="83" t="s">
        <v>74</v>
      </c>
      <c r="O7" s="84">
        <f>AVERAGE(Table1[Potential_Yield (YP)])</f>
        <v>14.206582940453499</v>
      </c>
    </row>
    <row r="8" spans="1:15">
      <c r="A8">
        <v>9101</v>
      </c>
      <c r="B8" t="s">
        <v>46</v>
      </c>
      <c r="C8">
        <v>2008</v>
      </c>
      <c r="D8" s="80">
        <v>2.4809999999999999</v>
      </c>
      <c r="F8" s="80"/>
      <c r="I8">
        <f t="shared" si="0"/>
        <v>2.28200000000004</v>
      </c>
      <c r="J8" s="78">
        <f t="shared" si="1"/>
        <v>1.0872042068360901</v>
      </c>
      <c r="K8" s="78">
        <f t="shared" si="2"/>
        <v>0.47642603279407197</v>
      </c>
      <c r="L8" t="str">
        <f>IF(OR(Table1[[#This Row],[Actual_Yield (YA)]]="",Table1[[#This Row],[Potential_Yield (YP)]]=""),"",Table1[[#This Row],[Potential_Yield (YP)]]-Table1[[#This Row],[Actual_Yield (YA)]])</f>
        <v/>
      </c>
      <c r="N8" s="85" t="s">
        <v>75</v>
      </c>
      <c r="O8" s="86">
        <f>O7-O5</f>
        <v>12.5037649520819</v>
      </c>
    </row>
    <row r="9" spans="1:15">
      <c r="A9">
        <v>9101</v>
      </c>
      <c r="B9" t="s">
        <v>46</v>
      </c>
      <c r="C9">
        <v>2009</v>
      </c>
      <c r="D9" s="80">
        <v>2.492</v>
      </c>
      <c r="F9" s="80"/>
      <c r="I9">
        <f t="shared" si="0"/>
        <v>2.4510000000000201</v>
      </c>
      <c r="J9" s="78">
        <f t="shared" si="1"/>
        <v>1.01672786617706</v>
      </c>
      <c r="K9" s="78">
        <f t="shared" si="2"/>
        <v>0.41482165082703099</v>
      </c>
      <c r="L9" t="str">
        <f>IF(OR(Table1[[#This Row],[Actual_Yield (YA)]]="",Table1[[#This Row],[Potential_Yield (YP)]]=""),"",Table1[[#This Row],[Potential_Yield (YP)]]-Table1[[#This Row],[Actual_Yield (YA)]])</f>
        <v/>
      </c>
    </row>
    <row r="10" spans="1:15">
      <c r="A10">
        <v>9101</v>
      </c>
      <c r="B10" t="s">
        <v>46</v>
      </c>
      <c r="C10">
        <v>2010</v>
      </c>
      <c r="D10" s="80">
        <v>2.6</v>
      </c>
      <c r="F10" s="80"/>
      <c r="I10">
        <f t="shared" si="0"/>
        <v>2.62</v>
      </c>
      <c r="J10" s="78">
        <f t="shared" si="1"/>
        <v>0.992366412213739</v>
      </c>
      <c r="K10" s="78">
        <f t="shared" si="2"/>
        <v>0.37876580618844902</v>
      </c>
      <c r="L10" t="str">
        <f>IF(OR(Table1[[#This Row],[Actual_Yield (YA)]]="",Table1[[#This Row],[Potential_Yield (YP)]]=""),"",Table1[[#This Row],[Potential_Yield (YP)]]-Table1[[#This Row],[Actual_Yield (YA)]])</f>
        <v/>
      </c>
    </row>
    <row r="11" spans="1:15">
      <c r="A11">
        <v>9301</v>
      </c>
      <c r="B11" t="s">
        <v>46</v>
      </c>
      <c r="C11">
        <v>2002</v>
      </c>
      <c r="D11" s="80">
        <v>1.6</v>
      </c>
      <c r="E11">
        <v>14.319191919191899</v>
      </c>
      <c r="F11" s="80">
        <v>15.1</v>
      </c>
      <c r="G11">
        <v>24.853541588338398</v>
      </c>
      <c r="H11">
        <v>2.7770887327827398</v>
      </c>
      <c r="I11">
        <f t="shared" ref="I11:I18" si="3">0.0797*C11-158.27</f>
        <v>1.2893999999999699</v>
      </c>
      <c r="J11" s="78">
        <f t="shared" si="1"/>
        <v>1.2408872343726001</v>
      </c>
      <c r="K11" s="78">
        <f t="shared" si="2"/>
        <v>0.96237570526805505</v>
      </c>
      <c r="L11">
        <f>IF(OR(Table1[[#This Row],[Actual_Yield (YA)]]="",Table1[[#This Row],[Potential_Yield (YP)]]=""),"",Table1[[#This Row],[Potential_Yield (YP)]]-Table1[[#This Row],[Actual_Yield (YA)]])</f>
        <v>13.5</v>
      </c>
    </row>
    <row r="12" spans="1:15">
      <c r="A12">
        <v>9301</v>
      </c>
      <c r="B12" t="s">
        <v>46</v>
      </c>
      <c r="C12">
        <v>2003</v>
      </c>
      <c r="D12" s="80">
        <v>1.5</v>
      </c>
      <c r="E12">
        <v>7.7272727272727302</v>
      </c>
      <c r="F12" s="80">
        <v>13.9</v>
      </c>
      <c r="G12">
        <v>13.883815102624601</v>
      </c>
      <c r="H12">
        <v>2.69509351992125</v>
      </c>
      <c r="I12">
        <f t="shared" si="3"/>
        <v>1.36909999999997</v>
      </c>
      <c r="J12" s="78">
        <f t="shared" si="1"/>
        <v>1.0956102549120099</v>
      </c>
      <c r="K12" s="78">
        <f t="shared" si="2"/>
        <v>0.800241220445567</v>
      </c>
      <c r="L12">
        <f>IF(OR(Table1[[#This Row],[Actual_Yield (YA)]]="",Table1[[#This Row],[Potential_Yield (YP)]]=""),"",Table1[[#This Row],[Potential_Yield (YP)]]-Table1[[#This Row],[Actual_Yield (YA)]])</f>
        <v>12.4</v>
      </c>
    </row>
    <row r="13" spans="1:15">
      <c r="A13">
        <v>9301</v>
      </c>
      <c r="B13" t="s">
        <v>46</v>
      </c>
      <c r="C13">
        <v>2004</v>
      </c>
      <c r="D13" s="80">
        <v>1.4</v>
      </c>
      <c r="E13">
        <v>11.7909090909091</v>
      </c>
      <c r="F13" s="80">
        <v>14.3</v>
      </c>
      <c r="G13">
        <v>21.312105734267998</v>
      </c>
      <c r="H13">
        <v>2.5305044588105399</v>
      </c>
      <c r="I13">
        <f t="shared" si="3"/>
        <v>1.4487999999999801</v>
      </c>
      <c r="J13" s="78">
        <f t="shared" si="1"/>
        <v>0.96631695196025802</v>
      </c>
      <c r="K13" s="78">
        <f t="shared" si="2"/>
        <v>0.66697746546126002</v>
      </c>
      <c r="L13">
        <f>IF(OR(Table1[[#This Row],[Actual_Yield (YA)]]="",Table1[[#This Row],[Potential_Yield (YP)]]=""),"",Table1[[#This Row],[Potential_Yield (YP)]]-Table1[[#This Row],[Actual_Yield (YA)]])</f>
        <v>12.9</v>
      </c>
    </row>
    <row r="14" spans="1:15">
      <c r="A14">
        <v>9301</v>
      </c>
      <c r="B14" t="s">
        <v>46</v>
      </c>
      <c r="C14">
        <v>2005</v>
      </c>
      <c r="D14" s="80">
        <v>1.5</v>
      </c>
      <c r="E14">
        <v>12.2515151515152</v>
      </c>
      <c r="F14" s="80">
        <v>13.9</v>
      </c>
      <c r="G14">
        <v>21.879131630307199</v>
      </c>
      <c r="H14">
        <v>2.6787460195404602</v>
      </c>
      <c r="I14">
        <f t="shared" si="3"/>
        <v>1.52849999999998</v>
      </c>
      <c r="J14" s="78">
        <f t="shared" si="1"/>
        <v>0.98135426889108301</v>
      </c>
      <c r="K14" s="78">
        <f t="shared" si="2"/>
        <v>0.64203746738050105</v>
      </c>
      <c r="L14">
        <f>IF(OR(Table1[[#This Row],[Actual_Yield (YA)]]="",Table1[[#This Row],[Potential_Yield (YP)]]=""),"",Table1[[#This Row],[Potential_Yield (YP)]]-Table1[[#This Row],[Actual_Yield (YA)]])</f>
        <v>12.4</v>
      </c>
    </row>
    <row r="15" spans="1:15">
      <c r="A15">
        <v>9301</v>
      </c>
      <c r="B15" t="s">
        <v>46</v>
      </c>
      <c r="C15">
        <v>2006</v>
      </c>
      <c r="D15" s="80">
        <v>1.5</v>
      </c>
      <c r="E15">
        <v>13.967676767676799</v>
      </c>
      <c r="F15" s="80">
        <v>14</v>
      </c>
      <c r="G15">
        <v>24.509003300949601</v>
      </c>
      <c r="H15">
        <v>2.6320415028861901</v>
      </c>
      <c r="I15">
        <f t="shared" si="3"/>
        <v>1.6081999999999801</v>
      </c>
      <c r="J15" s="78">
        <f t="shared" si="1"/>
        <v>0.93271981096879497</v>
      </c>
      <c r="K15" s="78">
        <f t="shared" si="2"/>
        <v>0.57997749718244296</v>
      </c>
      <c r="L15">
        <f>IF(OR(Table1[[#This Row],[Actual_Yield (YA)]]="",Table1[[#This Row],[Potential_Yield (YP)]]=""),"",Table1[[#This Row],[Potential_Yield (YP)]]-Table1[[#This Row],[Actual_Yield (YA)]])</f>
        <v>12.5</v>
      </c>
    </row>
    <row r="16" spans="1:15">
      <c r="A16">
        <v>9301</v>
      </c>
      <c r="B16" t="s">
        <v>46</v>
      </c>
      <c r="C16">
        <v>2007</v>
      </c>
      <c r="D16" s="80">
        <v>1.6</v>
      </c>
      <c r="E16">
        <v>13.7121212121212</v>
      </c>
      <c r="F16" s="80">
        <v>14.3</v>
      </c>
      <c r="G16">
        <v>23.021624180516799</v>
      </c>
      <c r="H16">
        <v>2.6862801253730102</v>
      </c>
      <c r="I16">
        <f t="shared" si="3"/>
        <v>1.68789999999998</v>
      </c>
      <c r="J16" s="78">
        <f t="shared" si="1"/>
        <v>0.94792345518100296</v>
      </c>
      <c r="K16" s="78">
        <f t="shared" si="2"/>
        <v>0.56159929805143105</v>
      </c>
      <c r="L16">
        <f>IF(OR(Table1[[#This Row],[Actual_Yield (YA)]]="",Table1[[#This Row],[Potential_Yield (YP)]]=""),"",Table1[[#This Row],[Potential_Yield (YP)]]-Table1[[#This Row],[Actual_Yield (YA)]])</f>
        <v>12.7</v>
      </c>
    </row>
    <row r="17" spans="1:12">
      <c r="A17">
        <v>9301</v>
      </c>
      <c r="B17" t="s">
        <v>46</v>
      </c>
      <c r="C17">
        <v>2008</v>
      </c>
      <c r="D17" s="80">
        <v>1.671</v>
      </c>
      <c r="E17">
        <v>11.358585858585901</v>
      </c>
      <c r="F17" s="80">
        <v>15</v>
      </c>
      <c r="G17">
        <v>18.350039820417599</v>
      </c>
      <c r="H17">
        <v>2.69953644949031</v>
      </c>
      <c r="I17">
        <f t="shared" si="3"/>
        <v>1.7675999999999901</v>
      </c>
      <c r="J17" s="78">
        <f t="shared" si="1"/>
        <v>0.94534962661236299</v>
      </c>
      <c r="K17" s="78">
        <f t="shared" si="2"/>
        <v>0.53482101528194703</v>
      </c>
      <c r="L17">
        <f>IF(OR(Table1[[#This Row],[Actual_Yield (YA)]]="",Table1[[#This Row],[Potential_Yield (YP)]]=""),"",Table1[[#This Row],[Potential_Yield (YP)]]-Table1[[#This Row],[Actual_Yield (YA)]])</f>
        <v>13.329000000000001</v>
      </c>
    </row>
    <row r="18" spans="1:12">
      <c r="A18">
        <v>9301</v>
      </c>
      <c r="B18" t="s">
        <v>46</v>
      </c>
      <c r="C18">
        <v>2009</v>
      </c>
      <c r="D18" s="80">
        <v>2.3490000000000002</v>
      </c>
      <c r="E18">
        <v>11.3272727272727</v>
      </c>
      <c r="F18" s="80">
        <v>12.9</v>
      </c>
      <c r="G18">
        <v>21.0704538449781</v>
      </c>
      <c r="H18">
        <v>4.3694980489597803</v>
      </c>
      <c r="I18">
        <f t="shared" si="3"/>
        <v>1.84729999999999</v>
      </c>
      <c r="J18" s="78">
        <f t="shared" si="1"/>
        <v>1.27158555729985</v>
      </c>
      <c r="K18" s="78">
        <f t="shared" si="2"/>
        <v>0.68834816072097504</v>
      </c>
      <c r="L18">
        <f>IF(OR(Table1[[#This Row],[Actual_Yield (YA)]]="",Table1[[#This Row],[Potential_Yield (YP)]]=""),"",Table1[[#This Row],[Potential_Yield (YP)]]-Table1[[#This Row],[Actual_Yield (YA)]])</f>
        <v>10.551</v>
      </c>
    </row>
    <row r="19" spans="1:12">
      <c r="A19">
        <v>9401</v>
      </c>
      <c r="B19" t="s">
        <v>46</v>
      </c>
      <c r="C19">
        <v>2002</v>
      </c>
      <c r="D19" s="80">
        <v>1.7</v>
      </c>
      <c r="E19">
        <v>12.4</v>
      </c>
      <c r="F19" s="80">
        <v>12.4</v>
      </c>
      <c r="G19">
        <v>19.84</v>
      </c>
      <c r="H19">
        <v>2.72</v>
      </c>
      <c r="I19">
        <f t="shared" ref="I19:I27" si="4">0.0777*C19-153.88</f>
        <v>1.67540000000002</v>
      </c>
      <c r="J19" s="78">
        <f t="shared" si="1"/>
        <v>1.01468306076159</v>
      </c>
      <c r="K19" s="78">
        <f t="shared" si="2"/>
        <v>0.60563630223324505</v>
      </c>
      <c r="L19">
        <f>IF(OR(Table1[[#This Row],[Actual_Yield (YA)]]="",Table1[[#This Row],[Potential_Yield (YP)]]=""),"",Table1[[#This Row],[Potential_Yield (YP)]]-Table1[[#This Row],[Actual_Yield (YA)]])</f>
        <v>10.7</v>
      </c>
    </row>
    <row r="20" spans="1:12">
      <c r="A20">
        <v>9401</v>
      </c>
      <c r="B20" t="s">
        <v>46</v>
      </c>
      <c r="C20">
        <v>2003</v>
      </c>
      <c r="D20" s="80">
        <v>1.7</v>
      </c>
      <c r="E20">
        <v>12.9</v>
      </c>
      <c r="F20" s="80">
        <v>12.9</v>
      </c>
      <c r="G20">
        <v>22.5040680810697</v>
      </c>
      <c r="H20">
        <v>2.9656523827766299</v>
      </c>
      <c r="I20">
        <f t="shared" si="4"/>
        <v>1.7531000000000201</v>
      </c>
      <c r="J20" s="78">
        <f t="shared" si="1"/>
        <v>0.96971079801493498</v>
      </c>
      <c r="K20" s="78">
        <f t="shared" si="2"/>
        <v>0.55314060693338996</v>
      </c>
      <c r="L20">
        <f>IF(OR(Table1[[#This Row],[Actual_Yield (YA)]]="",Table1[[#This Row],[Potential_Yield (YP)]]=""),"",Table1[[#This Row],[Potential_Yield (YP)]]-Table1[[#This Row],[Actual_Yield (YA)]])</f>
        <v>11.2</v>
      </c>
    </row>
    <row r="21" spans="1:12">
      <c r="A21">
        <v>9401</v>
      </c>
      <c r="B21" t="s">
        <v>46</v>
      </c>
      <c r="C21">
        <v>2004</v>
      </c>
      <c r="D21" s="80">
        <v>1.9</v>
      </c>
      <c r="E21">
        <v>14.034000000000001</v>
      </c>
      <c r="F21" s="80">
        <v>14.1</v>
      </c>
      <c r="G21">
        <v>23.0977301387137</v>
      </c>
      <c r="H21">
        <v>3.12709756758986</v>
      </c>
      <c r="I21">
        <f t="shared" si="4"/>
        <v>1.83080000000001</v>
      </c>
      <c r="J21" s="78">
        <f t="shared" si="1"/>
        <v>1.03779768407253</v>
      </c>
      <c r="K21" s="78">
        <f t="shared" si="2"/>
        <v>0.56685475424542497</v>
      </c>
      <c r="L21">
        <f>IF(OR(Table1[[#This Row],[Actual_Yield (YA)]]="",Table1[[#This Row],[Potential_Yield (YP)]]=""),"",Table1[[#This Row],[Potential_Yield (YP)]]-Table1[[#This Row],[Actual_Yield (YA)]])</f>
        <v>12.2</v>
      </c>
    </row>
    <row r="22" spans="1:12">
      <c r="A22">
        <v>9401</v>
      </c>
      <c r="B22" t="s">
        <v>46</v>
      </c>
      <c r="C22">
        <v>2005</v>
      </c>
      <c r="D22" s="80">
        <v>2.1</v>
      </c>
      <c r="E22">
        <v>13.3</v>
      </c>
      <c r="F22" s="80">
        <v>13.3</v>
      </c>
      <c r="G22">
        <v>22.542372881355899</v>
      </c>
      <c r="H22">
        <v>3.5593220338983</v>
      </c>
      <c r="I22">
        <f t="shared" si="4"/>
        <v>1.9085000000000001</v>
      </c>
      <c r="J22" s="78">
        <f t="shared" si="1"/>
        <v>1.1003405816085901</v>
      </c>
      <c r="K22" s="78">
        <f t="shared" si="2"/>
        <v>0.57654733120701596</v>
      </c>
      <c r="L22">
        <f>IF(OR(Table1[[#This Row],[Actual_Yield (YA)]]="",Table1[[#This Row],[Potential_Yield (YP)]]=""),"",Table1[[#This Row],[Potential_Yield (YP)]]-Table1[[#This Row],[Actual_Yield (YA)]])</f>
        <v>11.2</v>
      </c>
    </row>
    <row r="23" spans="1:12">
      <c r="A23">
        <v>9401</v>
      </c>
      <c r="B23" t="s">
        <v>46</v>
      </c>
      <c r="C23">
        <v>2006</v>
      </c>
      <c r="D23" s="80">
        <v>2.1</v>
      </c>
      <c r="E23">
        <v>14.2</v>
      </c>
      <c r="F23" s="80">
        <v>14.2</v>
      </c>
      <c r="G23">
        <v>24.956063268892802</v>
      </c>
      <c r="H23">
        <v>3.6906854130052702</v>
      </c>
      <c r="I23">
        <f t="shared" si="4"/>
        <v>1.9862000000000299</v>
      </c>
      <c r="J23" s="78">
        <f t="shared" si="1"/>
        <v>1.0572953378310199</v>
      </c>
      <c r="K23" s="78">
        <f t="shared" si="2"/>
        <v>0.53232068161867296</v>
      </c>
      <c r="L23">
        <f>IF(OR(Table1[[#This Row],[Actual_Yield (YA)]]="",Table1[[#This Row],[Potential_Yield (YP)]]=""),"",Table1[[#This Row],[Potential_Yield (YP)]]-Table1[[#This Row],[Actual_Yield (YA)]])</f>
        <v>12.1</v>
      </c>
    </row>
    <row r="24" spans="1:12">
      <c r="A24">
        <v>9401</v>
      </c>
      <c r="B24" t="s">
        <v>46</v>
      </c>
      <c r="C24">
        <v>2007</v>
      </c>
      <c r="D24" s="80">
        <v>2.2000000000000002</v>
      </c>
      <c r="E24">
        <v>14.18</v>
      </c>
      <c r="F24" s="80">
        <v>14.4</v>
      </c>
      <c r="G24">
        <v>23.0788590908267</v>
      </c>
      <c r="H24">
        <v>3.5806410437107701</v>
      </c>
      <c r="I24">
        <f t="shared" si="4"/>
        <v>2.0639000000000198</v>
      </c>
      <c r="J24" s="78">
        <f t="shared" si="1"/>
        <v>1.0659431173990901</v>
      </c>
      <c r="K24" s="78">
        <f t="shared" si="2"/>
        <v>0.51647033160476796</v>
      </c>
      <c r="L24">
        <f>IF(OR(Table1[[#This Row],[Actual_Yield (YA)]]="",Table1[[#This Row],[Potential_Yield (YP)]]=""),"",Table1[[#This Row],[Potential_Yield (YP)]]-Table1[[#This Row],[Actual_Yield (YA)]])</f>
        <v>12.2</v>
      </c>
    </row>
    <row r="25" spans="1:12">
      <c r="A25">
        <v>9401</v>
      </c>
      <c r="B25" t="s">
        <v>46</v>
      </c>
      <c r="C25">
        <v>2008</v>
      </c>
      <c r="D25" s="80">
        <v>2.2509999999999999</v>
      </c>
      <c r="E25">
        <v>14.6</v>
      </c>
      <c r="F25" s="80">
        <v>14.6</v>
      </c>
      <c r="G25">
        <v>24.446205385903902</v>
      </c>
      <c r="H25">
        <v>3.7690690632650399</v>
      </c>
      <c r="I25">
        <f t="shared" si="4"/>
        <v>2.1416000000000102</v>
      </c>
      <c r="J25" s="78">
        <f t="shared" si="1"/>
        <v>1.0510833022039501</v>
      </c>
      <c r="K25" s="78">
        <f t="shared" si="2"/>
        <v>0.49079347319945299</v>
      </c>
      <c r="L25">
        <f>IF(OR(Table1[[#This Row],[Actual_Yield (YA)]]="",Table1[[#This Row],[Potential_Yield (YP)]]=""),"",Table1[[#This Row],[Potential_Yield (YP)]]-Table1[[#This Row],[Actual_Yield (YA)]])</f>
        <v>12.349</v>
      </c>
    </row>
    <row r="26" spans="1:12">
      <c r="A26">
        <v>9401</v>
      </c>
      <c r="B26" t="s">
        <v>46</v>
      </c>
      <c r="C26">
        <v>2009</v>
      </c>
      <c r="D26" s="80">
        <v>2.254</v>
      </c>
      <c r="E26">
        <v>12.510999999999999</v>
      </c>
      <c r="F26" s="80">
        <v>14.9</v>
      </c>
      <c r="G26">
        <v>21.474112786052199</v>
      </c>
      <c r="H26">
        <v>3.8688074670099599</v>
      </c>
      <c r="I26">
        <f t="shared" si="4"/>
        <v>2.2193000000000001</v>
      </c>
      <c r="J26" s="78">
        <f t="shared" si="1"/>
        <v>1.0156355607623999</v>
      </c>
      <c r="K26" s="78">
        <f t="shared" si="2"/>
        <v>0.45763779604487898</v>
      </c>
      <c r="L26">
        <f>IF(OR(Table1[[#This Row],[Actual_Yield (YA)]]="",Table1[[#This Row],[Potential_Yield (YP)]]=""),"",Table1[[#This Row],[Potential_Yield (YP)]]-Table1[[#This Row],[Actual_Yield (YA)]])</f>
        <v>12.646000000000001</v>
      </c>
    </row>
    <row r="27" spans="1:12">
      <c r="A27">
        <v>9401</v>
      </c>
      <c r="B27" t="s">
        <v>46</v>
      </c>
      <c r="C27">
        <v>2010</v>
      </c>
      <c r="D27" s="80">
        <v>2.25</v>
      </c>
      <c r="E27">
        <v>12.768000000000001</v>
      </c>
      <c r="F27" s="80">
        <v>12.9</v>
      </c>
      <c r="G27">
        <v>23.6710025558199</v>
      </c>
      <c r="H27">
        <v>4.1713467849776702</v>
      </c>
      <c r="I27">
        <f t="shared" si="4"/>
        <v>2.2970000000000299</v>
      </c>
      <c r="J27" s="78">
        <f t="shared" si="1"/>
        <v>0.97953852851544398</v>
      </c>
      <c r="K27" s="78">
        <f t="shared" si="2"/>
        <v>0.42644254615386701</v>
      </c>
      <c r="L27">
        <f>IF(OR(Table1[[#This Row],[Actual_Yield (YA)]]="",Table1[[#This Row],[Potential_Yield (YP)]]=""),"",Table1[[#This Row],[Potential_Yield (YP)]]-Table1[[#This Row],[Actual_Yield (YA)]])</f>
        <v>10.65</v>
      </c>
    </row>
    <row r="28" spans="1:12">
      <c r="A28">
        <v>9501</v>
      </c>
      <c r="B28" t="s">
        <v>46</v>
      </c>
      <c r="C28">
        <v>2002</v>
      </c>
      <c r="D28" s="80">
        <v>1.75183435913647</v>
      </c>
      <c r="E28">
        <v>15.7346960371487</v>
      </c>
      <c r="F28" s="80">
        <v>15.8963312817271</v>
      </c>
      <c r="G28">
        <v>28.087090965274299</v>
      </c>
      <c r="H28">
        <v>3.1270976499953602</v>
      </c>
      <c r="I28">
        <f t="shared" ref="I28:I36" si="5">0.0624*C28-123.4</f>
        <v>1.5247999999999799</v>
      </c>
      <c r="J28" s="78">
        <f t="shared" si="1"/>
        <v>1.14889451674743</v>
      </c>
      <c r="K28" s="78">
        <f t="shared" si="2"/>
        <v>0.75347226964024505</v>
      </c>
      <c r="L28">
        <f>IF(OR(Table1[[#This Row],[Actual_Yield (YA)]]="",Table1[[#This Row],[Potential_Yield (YP)]]=""),"",Table1[[#This Row],[Potential_Yield (YP)]]-Table1[[#This Row],[Actual_Yield (YA)]])</f>
        <v>14.1444969225906</v>
      </c>
    </row>
    <row r="29" spans="1:12">
      <c r="A29">
        <v>9501</v>
      </c>
      <c r="B29" t="s">
        <v>46</v>
      </c>
      <c r="C29">
        <v>2003</v>
      </c>
      <c r="D29" s="80">
        <v>1.6777515387047</v>
      </c>
      <c r="E29">
        <v>15.8069908816873</v>
      </c>
      <c r="F29" s="80">
        <v>16.503668718272898</v>
      </c>
      <c r="G29">
        <v>29.1079570107471</v>
      </c>
      <c r="H29">
        <v>3.0895140023082099</v>
      </c>
      <c r="I29">
        <f t="shared" si="5"/>
        <v>1.58719999999998</v>
      </c>
      <c r="J29" s="78">
        <f t="shared" si="1"/>
        <v>1.0570511206557001</v>
      </c>
      <c r="K29" s="78">
        <f t="shared" si="2"/>
        <v>0.66598482904215395</v>
      </c>
      <c r="L29">
        <f>IF(OR(Table1[[#This Row],[Actual_Yield (YA)]]="",Table1[[#This Row],[Potential_Yield (YP)]]=""),"",Table1[[#This Row],[Potential_Yield (YP)]]-Table1[[#This Row],[Actual_Yield (YA)]])</f>
        <v>14.825917179568201</v>
      </c>
    </row>
    <row r="30" spans="1:12">
      <c r="A30">
        <v>9501</v>
      </c>
      <c r="B30" t="s">
        <v>46</v>
      </c>
      <c r="C30">
        <v>2004</v>
      </c>
      <c r="D30" s="80">
        <v>1.75183435913647</v>
      </c>
      <c r="E30">
        <v>15.8846695820775</v>
      </c>
      <c r="F30" s="80">
        <v>15.9924264117964</v>
      </c>
      <c r="G30">
        <v>30.9376191669534</v>
      </c>
      <c r="H30">
        <v>3.41194281483188</v>
      </c>
      <c r="I30">
        <f t="shared" si="5"/>
        <v>1.64959999999999</v>
      </c>
      <c r="J30" s="78">
        <f t="shared" si="1"/>
        <v>1.0619752419595501</v>
      </c>
      <c r="K30" s="78">
        <f t="shared" si="2"/>
        <v>0.64377742601816101</v>
      </c>
      <c r="L30">
        <f>IF(OR(Table1[[#This Row],[Actual_Yield (YA)]]="",Table1[[#This Row],[Potential_Yield (YP)]]=""),"",Table1[[#This Row],[Potential_Yield (YP)]]-Table1[[#This Row],[Actual_Yield (YA)]])</f>
        <v>14.240592052659901</v>
      </c>
    </row>
    <row r="31" spans="1:12">
      <c r="A31">
        <v>9501</v>
      </c>
      <c r="B31" t="s">
        <v>46</v>
      </c>
      <c r="C31">
        <v>2005</v>
      </c>
      <c r="D31" s="80">
        <v>1.6777515387047</v>
      </c>
      <c r="E31">
        <v>15.526096412534599</v>
      </c>
      <c r="F31" s="80">
        <v>16.251834359136499</v>
      </c>
      <c r="G31">
        <v>28.6663283426664</v>
      </c>
      <c r="H31">
        <v>3.0976863216625699</v>
      </c>
      <c r="I31">
        <f t="shared" si="5"/>
        <v>1.71199999999999</v>
      </c>
      <c r="J31" s="78">
        <f t="shared" si="1"/>
        <v>0.97999505765462103</v>
      </c>
      <c r="K31" s="78">
        <f t="shared" si="2"/>
        <v>0.57242701965807696</v>
      </c>
      <c r="L31">
        <f>IF(OR(Table1[[#This Row],[Actual_Yield (YA)]]="",Table1[[#This Row],[Potential_Yield (YP)]]=""),"",Table1[[#This Row],[Potential_Yield (YP)]]-Table1[[#This Row],[Actual_Yield (YA)]])</f>
        <v>14.5740828204318</v>
      </c>
    </row>
    <row r="32" spans="1:12">
      <c r="A32">
        <v>9501</v>
      </c>
      <c r="B32" t="s">
        <v>46</v>
      </c>
      <c r="C32">
        <v>2006</v>
      </c>
      <c r="D32" s="80">
        <v>1.5777515387047001</v>
      </c>
      <c r="E32">
        <v>15.2299876543001</v>
      </c>
      <c r="F32" s="80">
        <v>16.074082820431801</v>
      </c>
      <c r="G32">
        <v>29.7718563545458</v>
      </c>
      <c r="H32">
        <v>3.0842173506435802</v>
      </c>
      <c r="I32">
        <f t="shared" si="5"/>
        <v>1.77439999999999</v>
      </c>
      <c r="J32" s="78">
        <f t="shared" si="1"/>
        <v>0.88917467239895898</v>
      </c>
      <c r="K32" s="78">
        <f t="shared" si="2"/>
        <v>0.50111286767299701</v>
      </c>
      <c r="L32">
        <f>IF(OR(Table1[[#This Row],[Actual_Yield (YA)]]="",Table1[[#This Row],[Potential_Yield (YP)]]=""),"",Table1[[#This Row],[Potential_Yield (YP)]]-Table1[[#This Row],[Actual_Yield (YA)]])</f>
        <v>14.4963312817271</v>
      </c>
    </row>
    <row r="33" spans="1:12">
      <c r="A33">
        <v>9501</v>
      </c>
      <c r="B33" t="s">
        <v>46</v>
      </c>
      <c r="C33">
        <v>2007</v>
      </c>
      <c r="D33" s="80">
        <v>1.5518343591364701</v>
      </c>
      <c r="E33">
        <v>11.256911516473799</v>
      </c>
      <c r="F33" s="80">
        <v>14.0885215418658</v>
      </c>
      <c r="G33">
        <v>22.473990033494999</v>
      </c>
      <c r="H33">
        <v>3.0981774947621501</v>
      </c>
      <c r="I33">
        <f t="shared" si="5"/>
        <v>1.83679999999998</v>
      </c>
      <c r="J33" s="78">
        <f t="shared" si="1"/>
        <v>0.84485755615008995</v>
      </c>
      <c r="K33" s="78">
        <f t="shared" si="2"/>
        <v>0.45996164860088101</v>
      </c>
      <c r="L33">
        <f>IF(OR(Table1[[#This Row],[Actual_Yield (YA)]]="",Table1[[#This Row],[Potential_Yield (YP)]]=""),"",Table1[[#This Row],[Potential_Yield (YP)]]-Table1[[#This Row],[Actual_Yield (YA)]])</f>
        <v>12.536687182729301</v>
      </c>
    </row>
    <row r="34" spans="1:12">
      <c r="A34">
        <v>9501</v>
      </c>
      <c r="B34" t="s">
        <v>46</v>
      </c>
      <c r="C34">
        <v>2008</v>
      </c>
      <c r="D34" s="80">
        <v>1.61872550623849</v>
      </c>
      <c r="E34">
        <v>15.1654695676526</v>
      </c>
      <c r="F34" s="80">
        <v>15.2552669257517</v>
      </c>
      <c r="G34">
        <v>29.295784290541</v>
      </c>
      <c r="H34">
        <v>3.1269610904438299</v>
      </c>
      <c r="I34">
        <f t="shared" si="5"/>
        <v>1.89919999999999</v>
      </c>
      <c r="J34" s="78">
        <f t="shared" ref="J34:J65" si="6">D34/I34</f>
        <v>0.85231966419465899</v>
      </c>
      <c r="K34" s="78">
        <f t="shared" ref="K34:K65" si="7">(J34/I34)</f>
        <v>0.44877825621033202</v>
      </c>
      <c r="L34">
        <f>IF(OR(Table1[[#This Row],[Actual_Yield (YA)]]="",Table1[[#This Row],[Potential_Yield (YP)]]=""),"",Table1[[#This Row],[Potential_Yield (YP)]]-Table1[[#This Row],[Actual_Yield (YA)]])</f>
        <v>13.6365414195132</v>
      </c>
    </row>
    <row r="35" spans="1:12">
      <c r="A35">
        <v>9501</v>
      </c>
      <c r="B35" t="s">
        <v>46</v>
      </c>
      <c r="C35">
        <v>2009</v>
      </c>
      <c r="D35" s="80">
        <v>2.0384840458171398</v>
      </c>
      <c r="E35">
        <v>14.2938325594028</v>
      </c>
      <c r="F35" s="80">
        <v>15.9146748730917</v>
      </c>
      <c r="G35">
        <v>26.538881120271899</v>
      </c>
      <c r="H35">
        <v>3.7847851884849901</v>
      </c>
      <c r="I35">
        <f t="shared" si="5"/>
        <v>1.96159999999999</v>
      </c>
      <c r="J35" s="78">
        <f t="shared" si="6"/>
        <v>1.0391945584304401</v>
      </c>
      <c r="K35" s="78">
        <f t="shared" si="7"/>
        <v>0.52976884096168697</v>
      </c>
      <c r="L35">
        <f>IF(OR(Table1[[#This Row],[Actual_Yield (YA)]]="",Table1[[#This Row],[Potential_Yield (YP)]]=""),"",Table1[[#This Row],[Potential_Yield (YP)]]-Table1[[#This Row],[Actual_Yield (YA)]])</f>
        <v>13.8761908272746</v>
      </c>
    </row>
    <row r="36" spans="1:12">
      <c r="A36">
        <v>9501</v>
      </c>
      <c r="B36" t="s">
        <v>46</v>
      </c>
      <c r="C36">
        <v>2010</v>
      </c>
      <c r="D36" s="80">
        <v>2.5155146060729998</v>
      </c>
      <c r="E36">
        <v>9.4682642261511294</v>
      </c>
      <c r="F36" s="80">
        <v>15.9740828204318</v>
      </c>
      <c r="G36">
        <v>19.047497881934799</v>
      </c>
      <c r="H36">
        <v>5.0605114080797797</v>
      </c>
      <c r="I36">
        <f t="shared" si="5"/>
        <v>2.0239999999999898</v>
      </c>
      <c r="J36" s="78">
        <f t="shared" si="6"/>
        <v>1.2428431848186801</v>
      </c>
      <c r="K36" s="78">
        <f t="shared" si="7"/>
        <v>0.61405295692623096</v>
      </c>
      <c r="L36">
        <f>IF(OR(Table1[[#This Row],[Actual_Yield (YA)]]="",Table1[[#This Row],[Potential_Yield (YP)]]=""),"",Table1[[#This Row],[Potential_Yield (YP)]]-Table1[[#This Row],[Actual_Yield (YA)]])</f>
        <v>13.458568214358801</v>
      </c>
    </row>
    <row r="37" spans="1:12">
      <c r="A37">
        <v>9701</v>
      </c>
      <c r="B37" t="s">
        <v>46</v>
      </c>
      <c r="C37">
        <v>2002</v>
      </c>
      <c r="D37" s="80">
        <v>2.2000000000000002</v>
      </c>
      <c r="E37">
        <v>0</v>
      </c>
      <c r="F37" s="80">
        <v>15.1</v>
      </c>
      <c r="G37">
        <v>0</v>
      </c>
      <c r="I37">
        <f t="shared" ref="I37:I45" si="8">0.041*C37-80.197</f>
        <v>1.88500000000001</v>
      </c>
      <c r="J37" s="78">
        <f t="shared" si="6"/>
        <v>1.1671087533156499</v>
      </c>
      <c r="K37" s="78">
        <f t="shared" si="7"/>
        <v>0.61915583730272905</v>
      </c>
      <c r="L37">
        <f>IF(OR(Table1[[#This Row],[Actual_Yield (YA)]]="",Table1[[#This Row],[Potential_Yield (YP)]]=""),"",Table1[[#This Row],[Potential_Yield (YP)]]-Table1[[#This Row],[Actual_Yield (YA)]])</f>
        <v>12.9</v>
      </c>
    </row>
    <row r="38" spans="1:12">
      <c r="A38">
        <v>9701</v>
      </c>
      <c r="B38" t="s">
        <v>46</v>
      </c>
      <c r="C38">
        <v>2003</v>
      </c>
      <c r="D38" s="80">
        <v>2.1</v>
      </c>
      <c r="E38">
        <v>0</v>
      </c>
      <c r="F38" s="80">
        <v>14.9</v>
      </c>
      <c r="G38">
        <v>0</v>
      </c>
      <c r="I38">
        <f t="shared" si="8"/>
        <v>1.9259999999999999</v>
      </c>
      <c r="J38" s="78">
        <f t="shared" si="6"/>
        <v>1.09034267912772</v>
      </c>
      <c r="K38" s="78">
        <f t="shared" si="7"/>
        <v>0.56611769425115499</v>
      </c>
      <c r="L38">
        <f>IF(OR(Table1[[#This Row],[Actual_Yield (YA)]]="",Table1[[#This Row],[Potential_Yield (YP)]]=""),"",Table1[[#This Row],[Potential_Yield (YP)]]-Table1[[#This Row],[Actual_Yield (YA)]])</f>
        <v>12.8</v>
      </c>
    </row>
    <row r="39" spans="1:12">
      <c r="A39">
        <v>9701</v>
      </c>
      <c r="B39" t="s">
        <v>46</v>
      </c>
      <c r="C39">
        <v>2004</v>
      </c>
      <c r="D39" s="80">
        <v>2.1</v>
      </c>
      <c r="E39">
        <v>8.077</v>
      </c>
      <c r="F39" s="80">
        <v>15.4</v>
      </c>
      <c r="G39">
        <v>19.102299045041001</v>
      </c>
      <c r="H39">
        <v>4.9665504512301704</v>
      </c>
      <c r="I39">
        <f t="shared" si="8"/>
        <v>1.9670000000000001</v>
      </c>
      <c r="J39" s="78">
        <f t="shared" si="6"/>
        <v>1.0676156583629901</v>
      </c>
      <c r="K39" s="78">
        <f t="shared" si="7"/>
        <v>0.54276342570563796</v>
      </c>
      <c r="L39">
        <f>IF(OR(Table1[[#This Row],[Actual_Yield (YA)]]="",Table1[[#This Row],[Potential_Yield (YP)]]=""),"",Table1[[#This Row],[Potential_Yield (YP)]]-Table1[[#This Row],[Actual_Yield (YA)]])</f>
        <v>13.3</v>
      </c>
    </row>
    <row r="40" spans="1:12">
      <c r="A40">
        <v>9701</v>
      </c>
      <c r="B40" t="s">
        <v>46</v>
      </c>
      <c r="C40">
        <v>2005</v>
      </c>
      <c r="D40" s="80">
        <v>2.1</v>
      </c>
      <c r="E40">
        <v>2.6179999999999999</v>
      </c>
      <c r="F40" s="80">
        <v>14</v>
      </c>
      <c r="G40">
        <v>6.0923175647525403</v>
      </c>
      <c r="H40">
        <v>4.8868857471277103</v>
      </c>
      <c r="I40">
        <f t="shared" si="8"/>
        <v>2.008</v>
      </c>
      <c r="J40" s="78">
        <f t="shared" si="6"/>
        <v>1.0458167330677299</v>
      </c>
      <c r="K40" s="78">
        <f t="shared" si="7"/>
        <v>0.52082506626879199</v>
      </c>
      <c r="L40">
        <f>IF(OR(Table1[[#This Row],[Actual_Yield (YA)]]="",Table1[[#This Row],[Potential_Yield (YP)]]=""),"",Table1[[#This Row],[Potential_Yield (YP)]]-Table1[[#This Row],[Actual_Yield (YA)]])</f>
        <v>11.9</v>
      </c>
    </row>
    <row r="41" spans="1:12">
      <c r="A41">
        <v>9701</v>
      </c>
      <c r="B41" t="s">
        <v>46</v>
      </c>
      <c r="C41">
        <v>2006</v>
      </c>
      <c r="D41" s="80">
        <v>1.9</v>
      </c>
      <c r="E41">
        <v>11.885</v>
      </c>
      <c r="F41" s="80">
        <v>15.3</v>
      </c>
      <c r="G41">
        <v>25.486618986466802</v>
      </c>
      <c r="H41">
        <v>4.0744279406215398</v>
      </c>
      <c r="I41">
        <f t="shared" si="8"/>
        <v>2.0490000000000101</v>
      </c>
      <c r="J41" s="78">
        <f t="shared" si="6"/>
        <v>0.92728160078086597</v>
      </c>
      <c r="K41" s="78">
        <f t="shared" si="7"/>
        <v>0.45255324586669698</v>
      </c>
      <c r="L41">
        <f>IF(OR(Table1[[#This Row],[Actual_Yield (YA)]]="",Table1[[#This Row],[Potential_Yield (YP)]]=""),"",Table1[[#This Row],[Potential_Yield (YP)]]-Table1[[#This Row],[Actual_Yield (YA)]])</f>
        <v>13.4</v>
      </c>
    </row>
    <row r="42" spans="1:12">
      <c r="A42">
        <v>9701</v>
      </c>
      <c r="B42" t="s">
        <v>46</v>
      </c>
      <c r="C42">
        <v>2007</v>
      </c>
      <c r="D42" s="80">
        <v>1.9</v>
      </c>
      <c r="E42">
        <v>3.274</v>
      </c>
      <c r="F42" s="80">
        <v>14.2</v>
      </c>
      <c r="G42">
        <v>8.5281461649053192</v>
      </c>
      <c r="H42">
        <v>4.9491379698595299</v>
      </c>
      <c r="I42">
        <f t="shared" si="8"/>
        <v>2.09</v>
      </c>
      <c r="J42" s="78">
        <f t="shared" si="6"/>
        <v>0.90909090909090795</v>
      </c>
      <c r="K42" s="78">
        <f t="shared" si="7"/>
        <v>0.43497172683775398</v>
      </c>
      <c r="L42">
        <f>IF(OR(Table1[[#This Row],[Actual_Yield (YA)]]="",Table1[[#This Row],[Potential_Yield (YP)]]=""),"",Table1[[#This Row],[Potential_Yield (YP)]]-Table1[[#This Row],[Actual_Yield (YA)]])</f>
        <v>12.3</v>
      </c>
    </row>
    <row r="43" spans="1:12">
      <c r="A43">
        <v>9701</v>
      </c>
      <c r="B43" t="s">
        <v>46</v>
      </c>
      <c r="C43">
        <v>2008</v>
      </c>
      <c r="D43" s="80">
        <v>1.929</v>
      </c>
      <c r="E43">
        <v>6.6470000000000002</v>
      </c>
      <c r="F43" s="80">
        <v>16.7</v>
      </c>
      <c r="G43">
        <v>14.024902277930799</v>
      </c>
      <c r="H43">
        <v>4.0701123054202801</v>
      </c>
      <c r="I43">
        <f t="shared" si="8"/>
        <v>2.1309999999999998</v>
      </c>
      <c r="J43" s="78">
        <f t="shared" si="6"/>
        <v>0.90520882214922604</v>
      </c>
      <c r="K43" s="78">
        <f t="shared" si="7"/>
        <v>0.42478123986354999</v>
      </c>
      <c r="L43">
        <f>IF(OR(Table1[[#This Row],[Actual_Yield (YA)]]="",Table1[[#This Row],[Potential_Yield (YP)]]=""),"",Table1[[#This Row],[Potential_Yield (YP)]]-Table1[[#This Row],[Actual_Yield (YA)]])</f>
        <v>14.771000000000001</v>
      </c>
    </row>
    <row r="44" spans="1:12">
      <c r="A44">
        <v>9701</v>
      </c>
      <c r="B44" t="s">
        <v>46</v>
      </c>
      <c r="C44">
        <v>2009</v>
      </c>
      <c r="D44" s="80">
        <v>2.355</v>
      </c>
      <c r="E44">
        <v>11.946999999999999</v>
      </c>
      <c r="F44" s="80">
        <v>17.3</v>
      </c>
      <c r="G44">
        <v>22.843674739132201</v>
      </c>
      <c r="H44">
        <v>4.5029592375204199</v>
      </c>
      <c r="I44">
        <f t="shared" si="8"/>
        <v>2.1720000000000002</v>
      </c>
      <c r="J44" s="78">
        <f t="shared" si="6"/>
        <v>1.0842541436464099</v>
      </c>
      <c r="K44" s="78">
        <f t="shared" si="7"/>
        <v>0.49919619873223398</v>
      </c>
      <c r="L44">
        <f>IF(OR(Table1[[#This Row],[Actual_Yield (YA)]]="",Table1[[#This Row],[Potential_Yield (YP)]]=""),"",Table1[[#This Row],[Potential_Yield (YP)]]-Table1[[#This Row],[Actual_Yield (YA)]])</f>
        <v>14.945</v>
      </c>
    </row>
    <row r="45" spans="1:12">
      <c r="A45">
        <v>9701</v>
      </c>
      <c r="B45" t="s">
        <v>46</v>
      </c>
      <c r="C45">
        <v>2010</v>
      </c>
      <c r="D45" s="80">
        <v>2.76</v>
      </c>
      <c r="E45">
        <v>2.2050000000000001</v>
      </c>
      <c r="F45" s="80">
        <v>15.3</v>
      </c>
      <c r="G45">
        <v>5.8488063660477501</v>
      </c>
      <c r="H45">
        <v>7.3209549071618003</v>
      </c>
      <c r="I45">
        <f t="shared" si="8"/>
        <v>2.2129999999999899</v>
      </c>
      <c r="J45" s="78">
        <f t="shared" si="6"/>
        <v>1.2471757794848699</v>
      </c>
      <c r="K45" s="78">
        <f t="shared" si="7"/>
        <v>0.56356790758466702</v>
      </c>
      <c r="L45">
        <f>IF(OR(Table1[[#This Row],[Actual_Yield (YA)]]="",Table1[[#This Row],[Potential_Yield (YP)]]=""),"",Table1[[#This Row],[Potential_Yield (YP)]]-Table1[[#This Row],[Actual_Yield (YA)]])</f>
        <v>12.54</v>
      </c>
    </row>
    <row r="46" spans="1:12">
      <c r="A46">
        <v>9801</v>
      </c>
      <c r="B46" t="s">
        <v>46</v>
      </c>
      <c r="C46">
        <v>2002</v>
      </c>
      <c r="D46" s="80">
        <v>1.9</v>
      </c>
      <c r="E46">
        <v>13.516999999999999</v>
      </c>
      <c r="F46" s="80">
        <v>14.9</v>
      </c>
      <c r="G46">
        <v>25.129538295559701</v>
      </c>
      <c r="H46">
        <v>3.5323017505040601</v>
      </c>
      <c r="I46">
        <f t="shared" ref="I46:I54" si="9">0.0141*C46-26.355</f>
        <v>1.8732</v>
      </c>
      <c r="J46" s="78">
        <f t="shared" si="6"/>
        <v>1.0143070681187301</v>
      </c>
      <c r="K46" s="78">
        <f t="shared" si="7"/>
        <v>0.541483593913478</v>
      </c>
      <c r="L46">
        <f>IF(OR(Table1[[#This Row],[Actual_Yield (YA)]]="",Table1[[#This Row],[Potential_Yield (YP)]]=""),"",Table1[[#This Row],[Potential_Yield (YP)]]-Table1[[#This Row],[Actual_Yield (YA)]])</f>
        <v>13</v>
      </c>
    </row>
    <row r="47" spans="1:12">
      <c r="A47">
        <v>9801</v>
      </c>
      <c r="B47" t="s">
        <v>46</v>
      </c>
      <c r="C47">
        <v>2003</v>
      </c>
      <c r="D47" s="80">
        <v>1.9</v>
      </c>
      <c r="E47">
        <v>13.106</v>
      </c>
      <c r="F47" s="80">
        <v>14</v>
      </c>
      <c r="G47">
        <v>29.739930322926401</v>
      </c>
      <c r="H47">
        <v>4.3114502986082899</v>
      </c>
      <c r="I47">
        <f t="shared" si="9"/>
        <v>1.8873</v>
      </c>
      <c r="J47" s="78">
        <f t="shared" si="6"/>
        <v>1.00672918984793</v>
      </c>
      <c r="K47" s="78">
        <f t="shared" si="7"/>
        <v>0.53342297983782705</v>
      </c>
      <c r="L47">
        <f>IF(OR(Table1[[#This Row],[Actual_Yield (YA)]]="",Table1[[#This Row],[Potential_Yield (YP)]]=""),"",Table1[[#This Row],[Potential_Yield (YP)]]-Table1[[#This Row],[Actual_Yield (YA)]])</f>
        <v>12.1</v>
      </c>
    </row>
    <row r="48" spans="1:12">
      <c r="A48">
        <v>9801</v>
      </c>
      <c r="B48" t="s">
        <v>46</v>
      </c>
      <c r="C48">
        <v>2004</v>
      </c>
      <c r="D48" s="80">
        <v>1.8</v>
      </c>
      <c r="E48">
        <v>6.4859999999999998</v>
      </c>
      <c r="F48" s="80">
        <v>14.5</v>
      </c>
      <c r="G48">
        <v>12.828064040744099</v>
      </c>
      <c r="H48">
        <v>3.5600547754146299</v>
      </c>
      <c r="I48">
        <f t="shared" si="9"/>
        <v>1.9014</v>
      </c>
      <c r="J48" s="78">
        <f t="shared" si="6"/>
        <v>0.94667087409277395</v>
      </c>
      <c r="K48" s="78">
        <f t="shared" si="7"/>
        <v>0.49788096880865401</v>
      </c>
      <c r="L48">
        <f>IF(OR(Table1[[#This Row],[Actual_Yield (YA)]]="",Table1[[#This Row],[Potential_Yield (YP)]]=""),"",Table1[[#This Row],[Potential_Yield (YP)]]-Table1[[#This Row],[Actual_Yield (YA)]])</f>
        <v>12.7</v>
      </c>
    </row>
    <row r="49" spans="1:12">
      <c r="A49">
        <v>9801</v>
      </c>
      <c r="B49" t="s">
        <v>46</v>
      </c>
      <c r="C49">
        <v>2005</v>
      </c>
      <c r="D49" s="80">
        <v>1.9</v>
      </c>
      <c r="E49">
        <v>12.637</v>
      </c>
      <c r="F49" s="80">
        <v>13.7</v>
      </c>
      <c r="G49">
        <v>23.432421907011999</v>
      </c>
      <c r="H49">
        <v>3.5231147917482599</v>
      </c>
      <c r="I49">
        <f t="shared" si="9"/>
        <v>1.9155</v>
      </c>
      <c r="J49" s="78">
        <f t="shared" si="6"/>
        <v>0.991908117984861</v>
      </c>
      <c r="K49" s="78">
        <f t="shared" si="7"/>
        <v>0.51783248132856297</v>
      </c>
      <c r="L49">
        <f>IF(OR(Table1[[#This Row],[Actual_Yield (YA)]]="",Table1[[#This Row],[Potential_Yield (YP)]]=""),"",Table1[[#This Row],[Potential_Yield (YP)]]-Table1[[#This Row],[Actual_Yield (YA)]])</f>
        <v>11.8</v>
      </c>
    </row>
    <row r="50" spans="1:12">
      <c r="A50">
        <v>9801</v>
      </c>
      <c r="B50" t="s">
        <v>46</v>
      </c>
      <c r="C50">
        <v>2006</v>
      </c>
      <c r="D50" s="80">
        <v>1.9</v>
      </c>
      <c r="E50">
        <v>12.77</v>
      </c>
      <c r="F50" s="80">
        <v>15.8</v>
      </c>
      <c r="G50">
        <v>25.7669389560218</v>
      </c>
      <c r="H50">
        <v>3.8337653889147498</v>
      </c>
      <c r="I50">
        <f t="shared" si="9"/>
        <v>1.9296</v>
      </c>
      <c r="J50" s="78">
        <f t="shared" si="6"/>
        <v>0.98466003316749595</v>
      </c>
      <c r="K50" s="78">
        <f t="shared" si="7"/>
        <v>0.51029230574600704</v>
      </c>
      <c r="L50">
        <f>IF(OR(Table1[[#This Row],[Actual_Yield (YA)]]="",Table1[[#This Row],[Potential_Yield (YP)]]=""),"",Table1[[#This Row],[Potential_Yield (YP)]]-Table1[[#This Row],[Actual_Yield (YA)]])</f>
        <v>13.9</v>
      </c>
    </row>
    <row r="51" spans="1:12">
      <c r="A51">
        <v>9801</v>
      </c>
      <c r="B51" t="s">
        <v>46</v>
      </c>
      <c r="C51">
        <v>2007</v>
      </c>
      <c r="D51" s="80">
        <v>1.9</v>
      </c>
      <c r="E51">
        <v>14.352</v>
      </c>
      <c r="F51" s="80">
        <v>14.4</v>
      </c>
      <c r="G51">
        <v>24.737865516719499</v>
      </c>
      <c r="H51">
        <v>3.2749403903126502</v>
      </c>
      <c r="I51">
        <f t="shared" si="9"/>
        <v>1.9437</v>
      </c>
      <c r="J51" s="78">
        <f t="shared" si="6"/>
        <v>0.97751710654936497</v>
      </c>
      <c r="K51" s="78">
        <f t="shared" si="7"/>
        <v>0.50291562820875901</v>
      </c>
      <c r="L51">
        <f>IF(OR(Table1[[#This Row],[Actual_Yield (YA)]]="",Table1[[#This Row],[Potential_Yield (YP)]]=""),"",Table1[[#This Row],[Potential_Yield (YP)]]-Table1[[#This Row],[Actual_Yield (YA)]])</f>
        <v>12.5</v>
      </c>
    </row>
    <row r="52" spans="1:12">
      <c r="A52">
        <v>9801</v>
      </c>
      <c r="B52" t="s">
        <v>46</v>
      </c>
      <c r="C52">
        <v>2008</v>
      </c>
      <c r="D52" s="80">
        <v>1.9755</v>
      </c>
      <c r="E52">
        <v>12.106</v>
      </c>
      <c r="F52" s="80">
        <v>14.7</v>
      </c>
      <c r="G52">
        <v>23.583863185641299</v>
      </c>
      <c r="H52">
        <v>3.8484984076684499</v>
      </c>
      <c r="I52">
        <f t="shared" si="9"/>
        <v>1.9578</v>
      </c>
      <c r="J52" s="78">
        <f t="shared" si="6"/>
        <v>1.0090407600367799</v>
      </c>
      <c r="K52" s="78">
        <f t="shared" si="7"/>
        <v>0.51539521914229103</v>
      </c>
      <c r="L52">
        <f>IF(OR(Table1[[#This Row],[Actual_Yield (YA)]]="",Table1[[#This Row],[Potential_Yield (YP)]]=""),"",Table1[[#This Row],[Potential_Yield (YP)]]-Table1[[#This Row],[Actual_Yield (YA)]])</f>
        <v>12.724500000000001</v>
      </c>
    </row>
    <row r="53" spans="1:12">
      <c r="A53">
        <v>9801</v>
      </c>
      <c r="B53" t="s">
        <v>46</v>
      </c>
      <c r="C53">
        <v>2009</v>
      </c>
      <c r="D53" s="80">
        <v>1.9715</v>
      </c>
      <c r="E53">
        <v>12.536</v>
      </c>
      <c r="F53" s="80">
        <v>16</v>
      </c>
      <c r="G53">
        <v>22.738105027256999</v>
      </c>
      <c r="H53">
        <v>3.5759551739978601</v>
      </c>
      <c r="I53">
        <f t="shared" si="9"/>
        <v>1.9719</v>
      </c>
      <c r="J53" s="78">
        <f t="shared" si="6"/>
        <v>0.99979714995689495</v>
      </c>
      <c r="K53" s="78">
        <f t="shared" si="7"/>
        <v>0.50702223741411701</v>
      </c>
      <c r="L53">
        <f>IF(OR(Table1[[#This Row],[Actual_Yield (YA)]]="",Table1[[#This Row],[Potential_Yield (YP)]]=""),"",Table1[[#This Row],[Potential_Yield (YP)]]-Table1[[#This Row],[Actual_Yield (YA)]])</f>
        <v>14.028499999999999</v>
      </c>
    </row>
    <row r="54" spans="1:12">
      <c r="A54">
        <v>9801</v>
      </c>
      <c r="B54" t="s">
        <v>46</v>
      </c>
      <c r="C54">
        <v>2010</v>
      </c>
      <c r="D54" s="80">
        <v>1.97</v>
      </c>
      <c r="E54">
        <v>14.352</v>
      </c>
      <c r="F54" s="80">
        <v>14.8</v>
      </c>
      <c r="G54">
        <v>28.0141286768275</v>
      </c>
      <c r="H54">
        <v>3.8453061241186002</v>
      </c>
      <c r="I54">
        <f t="shared" si="9"/>
        <v>1.986</v>
      </c>
      <c r="J54" s="78">
        <f t="shared" si="6"/>
        <v>0.99194360523665603</v>
      </c>
      <c r="K54" s="78">
        <f t="shared" si="7"/>
        <v>0.49946807917253599</v>
      </c>
      <c r="L54">
        <f>IF(OR(Table1[[#This Row],[Actual_Yield (YA)]]="",Table1[[#This Row],[Potential_Yield (YP)]]=""),"",Table1[[#This Row],[Potential_Yield (YP)]]-Table1[[#This Row],[Actual_Yield (YA)]])</f>
        <v>12.83</v>
      </c>
    </row>
    <row r="55" spans="1:12">
      <c r="A55">
        <v>9901</v>
      </c>
      <c r="B55" t="s">
        <v>46</v>
      </c>
      <c r="C55">
        <v>2002</v>
      </c>
      <c r="D55" s="80">
        <v>1.52719012003939</v>
      </c>
      <c r="E55">
        <v>12.798289042080301</v>
      </c>
      <c r="F55" s="80">
        <v>12.8753128742913</v>
      </c>
      <c r="G55">
        <v>26.930766267816502</v>
      </c>
      <c r="H55">
        <v>3.2135858187036299</v>
      </c>
      <c r="I55">
        <f t="shared" ref="I55:I63" si="10">-0.0482*C55+98.149</f>
        <v>1.6526000000000101</v>
      </c>
      <c r="J55" s="78">
        <f t="shared" si="6"/>
        <v>0.92411359072938604</v>
      </c>
      <c r="K55" s="78">
        <f t="shared" si="7"/>
        <v>0.55918769861393103</v>
      </c>
      <c r="L55">
        <f>IF(OR(Table1[[#This Row],[Actual_Yield (YA)]]="",Table1[[#This Row],[Potential_Yield (YP)]]=""),"",Table1[[#This Row],[Potential_Yield (YP)]]-Table1[[#This Row],[Actual_Yield (YA)]])</f>
        <v>11.3481227542519</v>
      </c>
    </row>
    <row r="56" spans="1:12">
      <c r="A56">
        <v>9901</v>
      </c>
      <c r="B56" t="s">
        <v>46</v>
      </c>
      <c r="C56">
        <v>2003</v>
      </c>
      <c r="D56" s="80">
        <v>1.6987485028346301</v>
      </c>
      <c r="E56">
        <v>12.0784731998057</v>
      </c>
      <c r="F56" s="80">
        <v>12.319681137047199</v>
      </c>
      <c r="G56">
        <v>26.0618368426159</v>
      </c>
      <c r="H56">
        <v>3.6654058493276001</v>
      </c>
      <c r="I56">
        <f t="shared" si="10"/>
        <v>1.6044</v>
      </c>
      <c r="J56" s="78">
        <f t="shared" si="6"/>
        <v>1.0588060975035101</v>
      </c>
      <c r="K56" s="78">
        <f t="shared" si="7"/>
        <v>0.65993897874813701</v>
      </c>
      <c r="L56">
        <f>IF(OR(Table1[[#This Row],[Actual_Yield (YA)]]="",Table1[[#This Row],[Potential_Yield (YP)]]=""),"",Table1[[#This Row],[Potential_Yield (YP)]]-Table1[[#This Row],[Actual_Yield (YA)]])</f>
        <v>10.6209326342126</v>
      </c>
    </row>
    <row r="57" spans="1:12">
      <c r="A57">
        <v>9901</v>
      </c>
      <c r="B57" t="s">
        <v>46</v>
      </c>
      <c r="C57">
        <v>2004</v>
      </c>
      <c r="D57" s="80">
        <v>1.5518772457480501</v>
      </c>
      <c r="E57">
        <v>11.9901422905965</v>
      </c>
      <c r="F57" s="80">
        <v>12.0506257485827</v>
      </c>
      <c r="G57">
        <v>28.7343471556675</v>
      </c>
      <c r="H57">
        <v>3.7190700862055599</v>
      </c>
      <c r="I57">
        <f t="shared" si="10"/>
        <v>1.5562</v>
      </c>
      <c r="J57" s="78">
        <f t="shared" si="6"/>
        <v>0.99722223733970305</v>
      </c>
      <c r="K57" s="78">
        <f t="shared" si="7"/>
        <v>0.64080596153431502</v>
      </c>
      <c r="L57">
        <f>IF(OR(Table1[[#This Row],[Actual_Yield (YA)]]="",Table1[[#This Row],[Potential_Yield (YP)]]=""),"",Table1[[#This Row],[Potential_Yield (YP)]]-Table1[[#This Row],[Actual_Yield (YA)]])</f>
        <v>10.4987485028346</v>
      </c>
    </row>
    <row r="58" spans="1:12">
      <c r="A58">
        <v>9901</v>
      </c>
      <c r="B58" t="s">
        <v>46</v>
      </c>
      <c r="C58">
        <v>2005</v>
      </c>
      <c r="D58" s="80">
        <v>1.5765643714567099</v>
      </c>
      <c r="E58">
        <v>11.6955563173724</v>
      </c>
      <c r="F58" s="80">
        <v>11.7987485028346</v>
      </c>
      <c r="G58">
        <v>24.3771501536249</v>
      </c>
      <c r="H58">
        <v>3.2860468854114102</v>
      </c>
      <c r="I58">
        <f t="shared" si="10"/>
        <v>1.508</v>
      </c>
      <c r="J58" s="78">
        <f t="shared" si="6"/>
        <v>1.0454670898254099</v>
      </c>
      <c r="K58" s="78">
        <f t="shared" si="7"/>
        <v>0.69328056354470202</v>
      </c>
      <c r="L58">
        <f>IF(OR(Table1[[#This Row],[Actual_Yield (YA)]]="",Table1[[#This Row],[Potential_Yield (YP)]]=""),"",Table1[[#This Row],[Potential_Yield (YP)]]-Table1[[#This Row],[Actual_Yield (YA)]])</f>
        <v>10.222184131377899</v>
      </c>
    </row>
    <row r="59" spans="1:12">
      <c r="A59">
        <v>9901</v>
      </c>
      <c r="B59" t="s">
        <v>46</v>
      </c>
      <c r="C59">
        <v>2006</v>
      </c>
      <c r="D59" s="80">
        <v>1.60125149716537</v>
      </c>
      <c r="E59">
        <v>12.6772707034681</v>
      </c>
      <c r="F59" s="80">
        <v>12.9456197599212</v>
      </c>
      <c r="G59">
        <v>26.1406812138212</v>
      </c>
      <c r="H59">
        <v>3.3017994101129999</v>
      </c>
      <c r="I59">
        <f t="shared" si="10"/>
        <v>1.4598</v>
      </c>
      <c r="J59" s="78">
        <f t="shared" si="6"/>
        <v>1.09689786077913</v>
      </c>
      <c r="K59" s="78">
        <f t="shared" si="7"/>
        <v>0.75140283653865303</v>
      </c>
      <c r="L59">
        <f>IF(OR(Table1[[#This Row],[Actual_Yield (YA)]]="",Table1[[#This Row],[Potential_Yield (YP)]]=""),"",Table1[[#This Row],[Potential_Yield (YP)]]-Table1[[#This Row],[Actual_Yield (YA)]])</f>
        <v>11.3443682627558</v>
      </c>
    </row>
    <row r="60" spans="1:12">
      <c r="A60">
        <v>9901</v>
      </c>
      <c r="B60" t="s">
        <v>46</v>
      </c>
      <c r="C60">
        <v>2007</v>
      </c>
      <c r="D60" s="80">
        <v>1.5259386228740299</v>
      </c>
      <c r="E60">
        <v>12.7118669612201</v>
      </c>
      <c r="F60" s="80">
        <v>12.8493742514173</v>
      </c>
      <c r="G60">
        <v>27.7321232742941</v>
      </c>
      <c r="H60">
        <v>3.3289774135968</v>
      </c>
      <c r="I60">
        <f t="shared" si="10"/>
        <v>1.41160000000001</v>
      </c>
      <c r="J60" s="78">
        <f t="shared" si="6"/>
        <v>1.08099930778834</v>
      </c>
      <c r="K60" s="78">
        <f t="shared" si="7"/>
        <v>0.76579718602177405</v>
      </c>
      <c r="L60">
        <f>IF(OR(Table1[[#This Row],[Actual_Yield (YA)]]="",Table1[[#This Row],[Potential_Yield (YP)]]=""),"",Table1[[#This Row],[Potential_Yield (YP)]]-Table1[[#This Row],[Actual_Yield (YA)]])</f>
        <v>11.323435628543301</v>
      </c>
    </row>
    <row r="61" spans="1:12">
      <c r="A61">
        <v>9901</v>
      </c>
      <c r="B61" t="s">
        <v>46</v>
      </c>
      <c r="C61">
        <v>2008</v>
      </c>
      <c r="D61" s="80">
        <v>1.2504672256084</v>
      </c>
      <c r="E61">
        <v>13.299591961885501</v>
      </c>
      <c r="F61" s="80">
        <v>13.602502994330701</v>
      </c>
      <c r="G61">
        <v>26.728235305130799</v>
      </c>
      <c r="H61">
        <v>2.5130682462439302</v>
      </c>
      <c r="I61">
        <f t="shared" si="10"/>
        <v>1.3633999999999999</v>
      </c>
      <c r="J61" s="78">
        <f t="shared" si="6"/>
        <v>0.91716827461376105</v>
      </c>
      <c r="K61" s="78">
        <f t="shared" si="7"/>
        <v>0.67270667053965205</v>
      </c>
      <c r="L61">
        <f>IF(OR(Table1[[#This Row],[Actual_Yield (YA)]]="",Table1[[#This Row],[Potential_Yield (YP)]]=""),"",Table1[[#This Row],[Potential_Yield (YP)]]-Table1[[#This Row],[Actual_Yield (YA)]])</f>
        <v>12.352035768722301</v>
      </c>
    </row>
    <row r="62" spans="1:12">
      <c r="A62">
        <v>9901</v>
      </c>
      <c r="B62" t="s">
        <v>46</v>
      </c>
      <c r="C62">
        <v>2009</v>
      </c>
      <c r="D62" s="80">
        <v>1.2512996158384599</v>
      </c>
      <c r="E62">
        <v>13.6876294208218</v>
      </c>
      <c r="F62" s="80">
        <v>13.923435628543301</v>
      </c>
      <c r="G62">
        <v>28.711621199320401</v>
      </c>
      <c r="H62">
        <v>2.6247671873813698</v>
      </c>
      <c r="I62">
        <f t="shared" si="10"/>
        <v>1.3151999999999999</v>
      </c>
      <c r="J62" s="78">
        <f t="shared" si="6"/>
        <v>0.95141394148301095</v>
      </c>
      <c r="K62" s="78">
        <f t="shared" si="7"/>
        <v>0.72339867813489001</v>
      </c>
      <c r="L62">
        <f>IF(OR(Table1[[#This Row],[Actual_Yield (YA)]]="",Table1[[#This Row],[Potential_Yield (YP)]]=""),"",Table1[[#This Row],[Potential_Yield (YP)]]-Table1[[#This Row],[Actual_Yield (YA)]])</f>
        <v>12.672136012704801</v>
      </c>
    </row>
    <row r="63" spans="1:12">
      <c r="A63">
        <v>9901</v>
      </c>
      <c r="B63" t="s">
        <v>46</v>
      </c>
      <c r="C63">
        <v>2010</v>
      </c>
      <c r="D63" s="80">
        <v>1.30326132744226</v>
      </c>
      <c r="E63">
        <v>12.668536303601901</v>
      </c>
      <c r="F63" s="80">
        <v>13.5518772457481</v>
      </c>
      <c r="G63">
        <v>27.219667985556999</v>
      </c>
      <c r="H63">
        <v>2.8001925227390898</v>
      </c>
      <c r="I63">
        <f t="shared" si="10"/>
        <v>1.2669999999999999</v>
      </c>
      <c r="J63" s="78">
        <f t="shared" si="6"/>
        <v>1.0286198322354101</v>
      </c>
      <c r="K63" s="78">
        <f t="shared" si="7"/>
        <v>0.81185464264831397</v>
      </c>
      <c r="L63">
        <f>IF(OR(Table1[[#This Row],[Actual_Yield (YA)]]="",Table1[[#This Row],[Potential_Yield (YP)]]=""),"",Table1[[#This Row],[Potential_Yield (YP)]]-Table1[[#This Row],[Actual_Yield (YA)]])</f>
        <v>12.2486159183058</v>
      </c>
    </row>
    <row r="64" spans="1:12">
      <c r="A64">
        <v>10101</v>
      </c>
      <c r="B64" t="s">
        <v>46</v>
      </c>
      <c r="C64">
        <v>2002</v>
      </c>
      <c r="D64" s="80">
        <v>0.916892261196669</v>
      </c>
      <c r="E64">
        <v>3.3894083207407601</v>
      </c>
      <c r="F64" s="80">
        <v>10.876015175385</v>
      </c>
      <c r="G64">
        <v>9.1143330236581495</v>
      </c>
      <c r="H64">
        <v>2.4655811942820098</v>
      </c>
      <c r="I64">
        <f t="shared" ref="I64:I72" si="11">0.0366*C64-72.364</f>
        <v>0.90919999999999801</v>
      </c>
      <c r="J64" s="78">
        <f t="shared" si="6"/>
        <v>1.0084604720596899</v>
      </c>
      <c r="K64" s="78">
        <f t="shared" si="7"/>
        <v>1.10917341845545</v>
      </c>
      <c r="L64">
        <f>IF(OR(Table1[[#This Row],[Actual_Yield (YA)]]="",Table1[[#This Row],[Potential_Yield (YP)]]=""),"",Table1[[#This Row],[Potential_Yield (YP)]]-Table1[[#This Row],[Actual_Yield (YA)]])</f>
        <v>9.9591229141883293</v>
      </c>
    </row>
    <row r="65" spans="1:12">
      <c r="A65">
        <v>10101</v>
      </c>
      <c r="B65" t="s">
        <v>46</v>
      </c>
      <c r="C65">
        <v>2003</v>
      </c>
      <c r="D65" s="80">
        <v>0.916892261196669</v>
      </c>
      <c r="E65">
        <v>6.6944173873902804</v>
      </c>
      <c r="F65" s="80">
        <v>10.974661608205</v>
      </c>
      <c r="G65">
        <v>16.498482445218599</v>
      </c>
      <c r="H65">
        <v>2.25969341320189</v>
      </c>
      <c r="I65">
        <f t="shared" si="11"/>
        <v>0.94579999999999098</v>
      </c>
      <c r="J65" s="78">
        <f t="shared" si="6"/>
        <v>0.96943567476916603</v>
      </c>
      <c r="K65" s="78">
        <f t="shared" si="7"/>
        <v>1.02499014037764</v>
      </c>
      <c r="L65">
        <f>IF(OR(Table1[[#This Row],[Actual_Yield (YA)]]="",Table1[[#This Row],[Potential_Yield (YP)]]=""),"",Table1[[#This Row],[Potential_Yield (YP)]]-Table1[[#This Row],[Actual_Yield (YA)]])</f>
        <v>10.0577693470083</v>
      </c>
    </row>
    <row r="66" spans="1:12">
      <c r="A66">
        <v>10101</v>
      </c>
      <c r="B66" t="s">
        <v>46</v>
      </c>
      <c r="C66">
        <v>2004</v>
      </c>
      <c r="D66" s="80">
        <v>0.92533839179500399</v>
      </c>
      <c r="E66">
        <v>4.5487922065395603</v>
      </c>
      <c r="F66" s="80">
        <v>10.9675690447867</v>
      </c>
      <c r="G66">
        <v>12.198619075744499</v>
      </c>
      <c r="H66">
        <v>2.4815049897072199</v>
      </c>
      <c r="I66">
        <f t="shared" si="11"/>
        <v>0.98239999999999805</v>
      </c>
      <c r="J66" s="78">
        <f t="shared" ref="J66:J97" si="12">D66/I66</f>
        <v>0.94191611542651199</v>
      </c>
      <c r="K66" s="78">
        <f t="shared" ref="K66:K97" si="13">(J66/I66)</f>
        <v>0.958790834106793</v>
      </c>
      <c r="L66">
        <f>IF(OR(Table1[[#This Row],[Actual_Yield (YA)]]="",Table1[[#This Row],[Potential_Yield (YP)]]=""),"",Table1[[#This Row],[Potential_Yield (YP)]]-Table1[[#This Row],[Actual_Yield (YA)]])</f>
        <v>10.0422306529917</v>
      </c>
    </row>
    <row r="67" spans="1:12">
      <c r="A67">
        <v>10101</v>
      </c>
      <c r="B67" t="s">
        <v>46</v>
      </c>
      <c r="C67">
        <v>2005</v>
      </c>
      <c r="D67" s="80">
        <v>1.01689226119667</v>
      </c>
      <c r="E67">
        <v>7.7027748127190296</v>
      </c>
      <c r="F67" s="80">
        <v>11.1915538694017</v>
      </c>
      <c r="G67">
        <v>17.207493887957199</v>
      </c>
      <c r="H67">
        <v>2.2716706374901698</v>
      </c>
      <c r="I67">
        <f t="shared" si="11"/>
        <v>1.0189999999999899</v>
      </c>
      <c r="J67" s="78">
        <f t="shared" si="12"/>
        <v>0.99793156152765305</v>
      </c>
      <c r="K67" s="78">
        <f t="shared" si="13"/>
        <v>0.979324397966302</v>
      </c>
      <c r="L67">
        <f>IF(OR(Table1[[#This Row],[Actual_Yield (YA)]]="",Table1[[#This Row],[Potential_Yield (YP)]]=""),"",Table1[[#This Row],[Potential_Yield (YP)]]-Table1[[#This Row],[Actual_Yield (YA)]])</f>
        <v>10.174661608205</v>
      </c>
    </row>
    <row r="68" spans="1:12">
      <c r="A68">
        <v>10101</v>
      </c>
      <c r="B68" t="s">
        <v>46</v>
      </c>
      <c r="C68">
        <v>2006</v>
      </c>
      <c r="D68" s="80">
        <v>1.10844613059833</v>
      </c>
      <c r="E68">
        <v>2.7045013021252</v>
      </c>
      <c r="F68" s="80">
        <v>10.667569044786701</v>
      </c>
      <c r="G68">
        <v>6.7998261906984503</v>
      </c>
      <c r="H68">
        <v>2.7869245335168298</v>
      </c>
      <c r="I68">
        <f t="shared" si="11"/>
        <v>1.0556000000000001</v>
      </c>
      <c r="J68" s="78">
        <f t="shared" si="12"/>
        <v>1.0500626474027399</v>
      </c>
      <c r="K68" s="78">
        <f t="shared" si="13"/>
        <v>0.99475430788437003</v>
      </c>
      <c r="L68">
        <f>IF(OR(Table1[[#This Row],[Actual_Yield (YA)]]="",Table1[[#This Row],[Potential_Yield (YP)]]=""),"",Table1[[#This Row],[Potential_Yield (YP)]]-Table1[[#This Row],[Actual_Yield (YA)]])</f>
        <v>9.5591229141883698</v>
      </c>
    </row>
    <row r="69" spans="1:12">
      <c r="A69">
        <v>10101</v>
      </c>
      <c r="B69" t="s">
        <v>46</v>
      </c>
      <c r="C69">
        <v>2007</v>
      </c>
      <c r="D69" s="80">
        <v>1.1168922611966701</v>
      </c>
      <c r="E69">
        <v>3.1366355657010598</v>
      </c>
      <c r="F69" s="80">
        <v>10.3084461305983</v>
      </c>
      <c r="G69">
        <v>7.7034694320183101</v>
      </c>
      <c r="H69">
        <v>2.74304910875526</v>
      </c>
      <c r="I69">
        <f t="shared" si="11"/>
        <v>1.0921999999999901</v>
      </c>
      <c r="J69" s="78">
        <f t="shared" si="12"/>
        <v>1.0226078201764099</v>
      </c>
      <c r="K69" s="78">
        <f t="shared" si="13"/>
        <v>0.93628256745689598</v>
      </c>
      <c r="L69">
        <f>IF(OR(Table1[[#This Row],[Actual_Yield (YA)]]="",Table1[[#This Row],[Potential_Yield (YP)]]=""),"",Table1[[#This Row],[Potential_Yield (YP)]]-Table1[[#This Row],[Actual_Yield (YA)]])</f>
        <v>9.1915538694016305</v>
      </c>
    </row>
    <row r="70" spans="1:12">
      <c r="A70">
        <v>10101</v>
      </c>
      <c r="B70" t="s">
        <v>46</v>
      </c>
      <c r="C70">
        <v>2008</v>
      </c>
      <c r="D70" s="80">
        <v>1.1455814873163399</v>
      </c>
      <c r="E70">
        <v>6.8927303797061397</v>
      </c>
      <c r="F70" s="80">
        <v>10.998646432819999</v>
      </c>
      <c r="G70">
        <v>16.070330804792601</v>
      </c>
      <c r="H70">
        <v>2.67091159103262</v>
      </c>
      <c r="I70">
        <f t="shared" si="11"/>
        <v>1.1288</v>
      </c>
      <c r="J70" s="78">
        <f t="shared" si="12"/>
        <v>1.01486666133623</v>
      </c>
      <c r="K70" s="78">
        <f t="shared" si="13"/>
        <v>0.89906685093571603</v>
      </c>
      <c r="L70">
        <f>IF(OR(Table1[[#This Row],[Actual_Yield (YA)]]="",Table1[[#This Row],[Potential_Yield (YP)]]=""),"",Table1[[#This Row],[Potential_Yield (YP)]]-Table1[[#This Row],[Actual_Yield (YA)]])</f>
        <v>9.8530649455036592</v>
      </c>
    </row>
    <row r="71" spans="1:12">
      <c r="A71">
        <v>10101</v>
      </c>
      <c r="B71" t="s">
        <v>46</v>
      </c>
      <c r="C71">
        <v>2009</v>
      </c>
      <c r="D71" s="80">
        <v>1.1419193325402699</v>
      </c>
      <c r="E71">
        <v>4.5601401472526799</v>
      </c>
      <c r="F71" s="80">
        <v>10.183107738803299</v>
      </c>
      <c r="G71">
        <v>11.8731160148449</v>
      </c>
      <c r="H71">
        <v>2.9731850945443501</v>
      </c>
      <c r="I71">
        <f t="shared" si="11"/>
        <v>1.16539999999999</v>
      </c>
      <c r="J71" s="78">
        <f t="shared" si="12"/>
        <v>0.97985183845913704</v>
      </c>
      <c r="K71" s="78">
        <f t="shared" si="13"/>
        <v>0.84078585761038704</v>
      </c>
      <c r="L71">
        <f>IF(OR(Table1[[#This Row],[Actual_Yield (YA)]]="",Table1[[#This Row],[Potential_Yield (YP)]]=""),"",Table1[[#This Row],[Potential_Yield (YP)]]-Table1[[#This Row],[Actual_Yield (YA)]])</f>
        <v>9.0411884062630303</v>
      </c>
    </row>
    <row r="72" spans="1:12">
      <c r="A72">
        <v>10101</v>
      </c>
      <c r="B72" t="s">
        <v>46</v>
      </c>
      <c r="C72">
        <v>2010</v>
      </c>
      <c r="D72" s="80">
        <v>1.1619599395556699</v>
      </c>
      <c r="E72">
        <v>6.6712171816223496</v>
      </c>
      <c r="F72" s="80">
        <v>11.598646432820001</v>
      </c>
      <c r="G72">
        <v>15.6173672741775</v>
      </c>
      <c r="H72">
        <v>2.72015655312677</v>
      </c>
      <c r="I72">
        <f t="shared" si="11"/>
        <v>1.202</v>
      </c>
      <c r="J72" s="78">
        <f t="shared" si="12"/>
        <v>0.96668880162701498</v>
      </c>
      <c r="K72" s="78">
        <f t="shared" si="13"/>
        <v>0.80423361200250898</v>
      </c>
      <c r="L72">
        <f>IF(OR(Table1[[#This Row],[Actual_Yield (YA)]]="",Table1[[#This Row],[Potential_Yield (YP)]]=""),"",Table1[[#This Row],[Potential_Yield (YP)]]-Table1[[#This Row],[Actual_Yield (YA)]])</f>
        <v>10.4366864932643</v>
      </c>
    </row>
    <row r="73" spans="1:12">
      <c r="A73">
        <v>10301</v>
      </c>
      <c r="B73" t="s">
        <v>46</v>
      </c>
      <c r="C73">
        <v>2002</v>
      </c>
      <c r="D73" s="80">
        <v>1.1000000000000001</v>
      </c>
      <c r="E73">
        <v>5.7850000000000001</v>
      </c>
      <c r="F73" s="80">
        <v>16.2</v>
      </c>
      <c r="G73">
        <v>13.106617593856599</v>
      </c>
      <c r="H73">
        <v>2.4921831206987402</v>
      </c>
      <c r="I73">
        <f t="shared" ref="I73:I81" si="14">0.0784*C73-155.91</f>
        <v>1.04679999999999</v>
      </c>
      <c r="J73" s="78">
        <f t="shared" si="12"/>
        <v>1.0508215513947401</v>
      </c>
      <c r="K73" s="78">
        <f t="shared" si="13"/>
        <v>1.0038417571596701</v>
      </c>
      <c r="L73">
        <f>IF(OR(Table1[[#This Row],[Actual_Yield (YA)]]="",Table1[[#This Row],[Potential_Yield (YP)]]=""),"",Table1[[#This Row],[Potential_Yield (YP)]]-Table1[[#This Row],[Actual_Yield (YA)]])</f>
        <v>15.1</v>
      </c>
    </row>
    <row r="74" spans="1:12">
      <c r="A74">
        <v>10301</v>
      </c>
      <c r="B74" t="s">
        <v>46</v>
      </c>
      <c r="C74">
        <v>2003</v>
      </c>
      <c r="D74" s="80">
        <v>1.1000000000000001</v>
      </c>
      <c r="E74">
        <v>0</v>
      </c>
      <c r="F74" s="80">
        <v>14.1</v>
      </c>
      <c r="G74">
        <v>0</v>
      </c>
      <c r="I74">
        <f t="shared" si="14"/>
        <v>1.12520000000001</v>
      </c>
      <c r="J74" s="78">
        <f t="shared" si="12"/>
        <v>0.97760398151439198</v>
      </c>
      <c r="K74" s="78">
        <f t="shared" si="13"/>
        <v>0.86882685879344601</v>
      </c>
      <c r="L74">
        <f>IF(OR(Table1[[#This Row],[Actual_Yield (YA)]]="",Table1[[#This Row],[Potential_Yield (YP)]]=""),"",Table1[[#This Row],[Potential_Yield (YP)]]-Table1[[#This Row],[Actual_Yield (YA)]])</f>
        <v>13</v>
      </c>
    </row>
    <row r="75" spans="1:12">
      <c r="A75">
        <v>10301</v>
      </c>
      <c r="B75" t="s">
        <v>46</v>
      </c>
      <c r="C75">
        <v>2004</v>
      </c>
      <c r="D75" s="80">
        <v>1.1000000000000001</v>
      </c>
      <c r="E75">
        <v>13.311</v>
      </c>
      <c r="F75" s="80">
        <v>14.6</v>
      </c>
      <c r="G75">
        <v>23.154483297143699</v>
      </c>
      <c r="H75">
        <v>1.91344990059786</v>
      </c>
      <c r="I75">
        <f t="shared" si="14"/>
        <v>1.20359999999999</v>
      </c>
      <c r="J75" s="78">
        <f t="shared" si="12"/>
        <v>0.91392489199069904</v>
      </c>
      <c r="K75" s="78">
        <f t="shared" si="13"/>
        <v>0.75932609836382803</v>
      </c>
      <c r="L75">
        <f>IF(OR(Table1[[#This Row],[Actual_Yield (YA)]]="",Table1[[#This Row],[Potential_Yield (YP)]]=""),"",Table1[[#This Row],[Potential_Yield (YP)]]-Table1[[#This Row],[Actual_Yield (YA)]])</f>
        <v>13.5</v>
      </c>
    </row>
    <row r="76" spans="1:12">
      <c r="A76">
        <v>10301</v>
      </c>
      <c r="B76" t="s">
        <v>46</v>
      </c>
      <c r="C76">
        <v>2005</v>
      </c>
      <c r="D76" s="80">
        <v>1.2</v>
      </c>
      <c r="E76">
        <v>13.71</v>
      </c>
      <c r="F76" s="80">
        <v>15.1</v>
      </c>
      <c r="G76">
        <v>25.673884978758799</v>
      </c>
      <c r="H76">
        <v>2.2471671753837001</v>
      </c>
      <c r="I76">
        <f t="shared" si="14"/>
        <v>1.28200000000001</v>
      </c>
      <c r="J76" s="78">
        <f t="shared" si="12"/>
        <v>0.936037441497652</v>
      </c>
      <c r="K76" s="78">
        <f t="shared" si="13"/>
        <v>0.73013840990455903</v>
      </c>
      <c r="L76">
        <f>IF(OR(Table1[[#This Row],[Actual_Yield (YA)]]="",Table1[[#This Row],[Potential_Yield (YP)]]=""),"",Table1[[#This Row],[Potential_Yield (YP)]]-Table1[[#This Row],[Actual_Yield (YA)]])</f>
        <v>13.9</v>
      </c>
    </row>
    <row r="77" spans="1:12">
      <c r="A77">
        <v>10301</v>
      </c>
      <c r="B77" t="s">
        <v>46</v>
      </c>
      <c r="C77">
        <v>2006</v>
      </c>
      <c r="D77" s="80">
        <v>1.2</v>
      </c>
      <c r="E77">
        <v>0</v>
      </c>
      <c r="F77" s="80">
        <v>13.6</v>
      </c>
      <c r="G77">
        <v>0</v>
      </c>
      <c r="I77">
        <f t="shared" si="14"/>
        <v>1.3604000000000001</v>
      </c>
      <c r="J77" s="78">
        <f t="shared" si="12"/>
        <v>0.88209350191120395</v>
      </c>
      <c r="K77" s="78">
        <f t="shared" si="13"/>
        <v>0.64840745509497499</v>
      </c>
      <c r="L77">
        <f>IF(OR(Table1[[#This Row],[Actual_Yield (YA)]]="",Table1[[#This Row],[Potential_Yield (YP)]]=""),"",Table1[[#This Row],[Potential_Yield (YP)]]-Table1[[#This Row],[Actual_Yield (YA)]])</f>
        <v>12.4</v>
      </c>
    </row>
    <row r="78" spans="1:12">
      <c r="A78">
        <v>10301</v>
      </c>
      <c r="B78" t="s">
        <v>46</v>
      </c>
      <c r="C78">
        <v>2007</v>
      </c>
      <c r="D78" s="80">
        <v>1.2</v>
      </c>
      <c r="E78">
        <v>0.19800000000000001</v>
      </c>
      <c r="F78" s="80">
        <v>15.4</v>
      </c>
      <c r="G78">
        <v>0.38899803536345801</v>
      </c>
      <c r="H78">
        <v>2.3575638506876202</v>
      </c>
      <c r="I78">
        <f t="shared" si="14"/>
        <v>1.4387999999999901</v>
      </c>
      <c r="J78" s="78">
        <f t="shared" si="12"/>
        <v>0.83402835696414501</v>
      </c>
      <c r="K78" s="78">
        <f t="shared" si="13"/>
        <v>0.57966941685025897</v>
      </c>
      <c r="L78">
        <f>IF(OR(Table1[[#This Row],[Actual_Yield (YA)]]="",Table1[[#This Row],[Potential_Yield (YP)]]=""),"",Table1[[#This Row],[Potential_Yield (YP)]]-Table1[[#This Row],[Actual_Yield (YA)]])</f>
        <v>14.2</v>
      </c>
    </row>
    <row r="79" spans="1:12">
      <c r="A79">
        <v>10301</v>
      </c>
      <c r="B79" t="s">
        <v>46</v>
      </c>
      <c r="C79">
        <v>2008</v>
      </c>
      <c r="D79" s="80">
        <v>1.246</v>
      </c>
      <c r="E79">
        <v>10.15</v>
      </c>
      <c r="F79" s="80">
        <v>15.8</v>
      </c>
      <c r="G79">
        <v>18.192583870171401</v>
      </c>
      <c r="H79">
        <v>2.2332965026831002</v>
      </c>
      <c r="I79">
        <f t="shared" si="14"/>
        <v>1.5172000000000001</v>
      </c>
      <c r="J79" s="78">
        <f t="shared" si="12"/>
        <v>0.82124967044555597</v>
      </c>
      <c r="K79" s="78">
        <f t="shared" si="13"/>
        <v>0.54129295441969105</v>
      </c>
      <c r="L79">
        <f>IF(OR(Table1[[#This Row],[Actual_Yield (YA)]]="",Table1[[#This Row],[Potential_Yield (YP)]]=""),"",Table1[[#This Row],[Potential_Yield (YP)]]-Table1[[#This Row],[Actual_Yield (YA)]])</f>
        <v>14.554</v>
      </c>
    </row>
    <row r="80" spans="1:12">
      <c r="A80">
        <v>10301</v>
      </c>
      <c r="B80" t="s">
        <v>46</v>
      </c>
      <c r="C80">
        <v>2009</v>
      </c>
      <c r="D80" s="80">
        <v>1.81</v>
      </c>
      <c r="E80">
        <v>13.45</v>
      </c>
      <c r="F80" s="80">
        <v>13.8</v>
      </c>
      <c r="G80">
        <v>24.578889848870201</v>
      </c>
      <c r="H80">
        <v>3.3076424257587398</v>
      </c>
      <c r="I80">
        <f t="shared" si="14"/>
        <v>1.5955999999999899</v>
      </c>
      <c r="J80" s="78">
        <f t="shared" si="12"/>
        <v>1.13436951616947</v>
      </c>
      <c r="K80" s="78">
        <f t="shared" si="13"/>
        <v>0.71093602166550496</v>
      </c>
      <c r="L80">
        <f>IF(OR(Table1[[#This Row],[Actual_Yield (YA)]]="",Table1[[#This Row],[Potential_Yield (YP)]]=""),"",Table1[[#This Row],[Potential_Yield (YP)]]-Table1[[#This Row],[Actual_Yield (YA)]])</f>
        <v>11.99</v>
      </c>
    </row>
    <row r="81" spans="1:12">
      <c r="A81">
        <v>10301</v>
      </c>
      <c r="B81" t="s">
        <v>46</v>
      </c>
      <c r="C81">
        <v>2010</v>
      </c>
      <c r="D81" s="80">
        <v>1.67</v>
      </c>
      <c r="E81">
        <v>9.4979999999999993</v>
      </c>
      <c r="F81" s="80">
        <v>15.8</v>
      </c>
      <c r="G81">
        <v>19.635887825357599</v>
      </c>
      <c r="H81">
        <v>3.4525092301902598</v>
      </c>
      <c r="I81">
        <f t="shared" si="14"/>
        <v>1.6740000000000099</v>
      </c>
      <c r="J81" s="78">
        <f t="shared" si="12"/>
        <v>0.99761051373954202</v>
      </c>
      <c r="K81" s="78">
        <f t="shared" si="13"/>
        <v>0.59594415396627098</v>
      </c>
      <c r="L81">
        <f>IF(OR(Table1[[#This Row],[Actual_Yield (YA)]]="",Table1[[#This Row],[Potential_Yield (YP)]]=""),"",Table1[[#This Row],[Potential_Yield (YP)]]-Table1[[#This Row],[Actual_Yield (YA)]])</f>
        <v>14.13</v>
      </c>
    </row>
    <row r="82" spans="1:12">
      <c r="A82">
        <v>10401</v>
      </c>
      <c r="B82" t="s">
        <v>46</v>
      </c>
      <c r="C82">
        <v>2002</v>
      </c>
      <c r="D82" s="80">
        <v>1.35830937432768</v>
      </c>
      <c r="E82">
        <v>12.554616878700701</v>
      </c>
      <c r="F82" s="80">
        <v>14.493660153728801</v>
      </c>
      <c r="G82">
        <v>23.170460740504701</v>
      </c>
      <c r="H82">
        <v>2.50685897749005</v>
      </c>
      <c r="I82">
        <f t="shared" ref="I82:I90" si="15">0.0432*C82-85.175</f>
        <v>1.3114000000000099</v>
      </c>
      <c r="J82" s="78">
        <f t="shared" si="12"/>
        <v>1.035770454726</v>
      </c>
      <c r="K82" s="78">
        <f t="shared" si="13"/>
        <v>0.789820386400788</v>
      </c>
      <c r="L82">
        <f>IF(OR(Table1[[#This Row],[Actual_Yield (YA)]]="",Table1[[#This Row],[Potential_Yield (YP)]]=""),"",Table1[[#This Row],[Potential_Yield (YP)]]-Table1[[#This Row],[Actual_Yield (YA)]])</f>
        <v>13.135350779401101</v>
      </c>
    </row>
    <row r="83" spans="1:12">
      <c r="A83">
        <v>10401</v>
      </c>
      <c r="B83" t="s">
        <v>46</v>
      </c>
      <c r="C83">
        <v>2003</v>
      </c>
      <c r="D83" s="80">
        <v>1.35830937432768</v>
      </c>
      <c r="E83">
        <v>9.8297655723854405</v>
      </c>
      <c r="F83" s="80">
        <v>14.856196092237299</v>
      </c>
      <c r="G83">
        <v>17.679343271503399</v>
      </c>
      <c r="H83">
        <v>2.4429898679478401</v>
      </c>
      <c r="I83">
        <f t="shared" si="15"/>
        <v>1.3546</v>
      </c>
      <c r="J83" s="78">
        <f t="shared" si="12"/>
        <v>1.0027383539994601</v>
      </c>
      <c r="K83" s="78">
        <f t="shared" si="13"/>
        <v>0.74024682858368596</v>
      </c>
      <c r="L83">
        <f>IF(OR(Table1[[#This Row],[Actual_Yield (YA)]]="",Table1[[#This Row],[Potential_Yield (YP)]]=""),"",Table1[[#This Row],[Potential_Yield (YP)]]-Table1[[#This Row],[Actual_Yield (YA)]])</f>
        <v>13.4978867179096</v>
      </c>
    </row>
    <row r="84" spans="1:12">
      <c r="A84">
        <v>10401</v>
      </c>
      <c r="B84" t="s">
        <v>46</v>
      </c>
      <c r="C84">
        <v>2004</v>
      </c>
      <c r="D84" s="80">
        <v>1.4166187486553601</v>
      </c>
      <c r="E84">
        <v>8.0567960330005892</v>
      </c>
      <c r="F84" s="80">
        <v>15.5229585949266</v>
      </c>
      <c r="G84">
        <v>17.7919125002499</v>
      </c>
      <c r="H84">
        <v>3.1283349757214598</v>
      </c>
      <c r="I84">
        <f t="shared" si="15"/>
        <v>1.3977999999999999</v>
      </c>
      <c r="J84" s="78">
        <f t="shared" si="12"/>
        <v>1.0134631196561401</v>
      </c>
      <c r="K84" s="78">
        <f t="shared" si="13"/>
        <v>0.72504157937912395</v>
      </c>
      <c r="L84">
        <f>IF(OR(Table1[[#This Row],[Actual_Yield (YA)]]="",Table1[[#This Row],[Potential_Yield (YP)]]=""),"",Table1[[#This Row],[Potential_Yield (YP)]]-Table1[[#This Row],[Actual_Yield (YA)]])</f>
        <v>14.106339846271201</v>
      </c>
    </row>
    <row r="85" spans="1:12">
      <c r="A85">
        <v>10401</v>
      </c>
      <c r="B85" t="s">
        <v>46</v>
      </c>
      <c r="C85">
        <v>2005</v>
      </c>
      <c r="D85" s="80">
        <v>1.5166187486553599</v>
      </c>
      <c r="E85">
        <v>5.4076045348506003</v>
      </c>
      <c r="F85" s="80">
        <v>14.377041405073401</v>
      </c>
      <c r="G85">
        <v>12.4620304294798</v>
      </c>
      <c r="H85">
        <v>3.4951056191065999</v>
      </c>
      <c r="I85">
        <f t="shared" si="15"/>
        <v>1.4410000000000001</v>
      </c>
      <c r="J85" s="78">
        <f t="shared" si="12"/>
        <v>1.0524765778316101</v>
      </c>
      <c r="K85" s="78">
        <f t="shared" si="13"/>
        <v>0.73037930453269495</v>
      </c>
      <c r="L85">
        <f>IF(OR(Table1[[#This Row],[Actual_Yield (YA)]]="",Table1[[#This Row],[Potential_Yield (YP)]]=""),"",Table1[[#This Row],[Potential_Yield (YP)]]-Table1[[#This Row],[Actual_Yield (YA)]])</f>
        <v>12.860422656418001</v>
      </c>
    </row>
    <row r="86" spans="1:12">
      <c r="A86">
        <v>10401</v>
      </c>
      <c r="B86" t="s">
        <v>46</v>
      </c>
      <c r="C86">
        <v>2006</v>
      </c>
      <c r="D86" s="80">
        <v>1.61661874865536</v>
      </c>
      <c r="E86">
        <v>4.89488279151802</v>
      </c>
      <c r="F86" s="80">
        <v>15.877041405073401</v>
      </c>
      <c r="G86">
        <v>11.1427824748411</v>
      </c>
      <c r="H86">
        <v>3.6800944635959301</v>
      </c>
      <c r="I86">
        <f t="shared" si="15"/>
        <v>1.4842</v>
      </c>
      <c r="J86" s="78">
        <f t="shared" si="12"/>
        <v>1.0892189385900499</v>
      </c>
      <c r="K86" s="78">
        <f t="shared" si="13"/>
        <v>0.73387612086649601</v>
      </c>
      <c r="L86">
        <f>IF(OR(Table1[[#This Row],[Actual_Yield (YA)]]="",Table1[[#This Row],[Potential_Yield (YP)]]=""),"",Table1[[#This Row],[Potential_Yield (YP)]]-Table1[[#This Row],[Actual_Yield (YA)]])</f>
        <v>14.260422656417999</v>
      </c>
    </row>
    <row r="87" spans="1:12">
      <c r="A87">
        <v>10401</v>
      </c>
      <c r="B87" t="s">
        <v>46</v>
      </c>
      <c r="C87">
        <v>2007</v>
      </c>
      <c r="D87" s="80">
        <v>1.61661874865536</v>
      </c>
      <c r="E87">
        <v>7.5486443433993102</v>
      </c>
      <c r="F87" s="80">
        <v>14.8123921844746</v>
      </c>
      <c r="G87">
        <v>13.322984367478799</v>
      </c>
      <c r="H87">
        <v>2.85325223135488</v>
      </c>
      <c r="I87">
        <f t="shared" si="15"/>
        <v>1.5274000000000101</v>
      </c>
      <c r="J87" s="78">
        <f t="shared" si="12"/>
        <v>1.0584121701292</v>
      </c>
      <c r="K87" s="78">
        <f t="shared" si="13"/>
        <v>0.692950222685081</v>
      </c>
      <c r="L87">
        <f>IF(OR(Table1[[#This Row],[Actual_Yield (YA)]]="",Table1[[#This Row],[Potential_Yield (YP)]]=""),"",Table1[[#This Row],[Potential_Yield (YP)]]-Table1[[#This Row],[Actual_Yield (YA)]])</f>
        <v>13.1957734358192</v>
      </c>
    </row>
    <row r="88" spans="1:12">
      <c r="A88">
        <v>10401</v>
      </c>
      <c r="B88" t="s">
        <v>46</v>
      </c>
      <c r="C88">
        <v>2008</v>
      </c>
      <c r="D88" s="80">
        <v>1.56179068630327</v>
      </c>
      <c r="E88">
        <v>2.6413324445892901</v>
      </c>
      <c r="F88" s="80">
        <v>15.3812679692542</v>
      </c>
      <c r="G88">
        <v>5.3969991524917997</v>
      </c>
      <c r="H88">
        <v>3.1911859590468898</v>
      </c>
      <c r="I88">
        <f t="shared" si="15"/>
        <v>1.57060000000001</v>
      </c>
      <c r="J88" s="78">
        <f t="shared" si="12"/>
        <v>0.99439111569034599</v>
      </c>
      <c r="K88" s="78">
        <f t="shared" si="13"/>
        <v>0.63312817756929696</v>
      </c>
      <c r="L88">
        <f>IF(OR(Table1[[#This Row],[Actual_Yield (YA)]]="",Table1[[#This Row],[Potential_Yield (YP)]]=""),"",Table1[[#This Row],[Potential_Yield (YP)]]-Table1[[#This Row],[Actual_Yield (YA)]])</f>
        <v>13.819477282950899</v>
      </c>
    </row>
    <row r="89" spans="1:12">
      <c r="A89">
        <v>10401</v>
      </c>
      <c r="B89" t="s">
        <v>46</v>
      </c>
      <c r="C89">
        <v>2009</v>
      </c>
      <c r="D89" s="80">
        <v>1.65172534667214</v>
      </c>
      <c r="E89">
        <v>11.7365270905721</v>
      </c>
      <c r="F89" s="80">
        <v>15.058309374327701</v>
      </c>
      <c r="G89">
        <v>21.841229971884999</v>
      </c>
      <c r="H89">
        <v>3.0737979701028602</v>
      </c>
      <c r="I89">
        <f t="shared" si="15"/>
        <v>1.6138000000000099</v>
      </c>
      <c r="J89" s="78">
        <f t="shared" si="12"/>
        <v>1.02350064857611</v>
      </c>
      <c r="K89" s="78">
        <f t="shared" si="13"/>
        <v>0.63421777703315396</v>
      </c>
      <c r="L89">
        <f>IF(OR(Table1[[#This Row],[Actual_Yield (YA)]]="",Table1[[#This Row],[Potential_Yield (YP)]]=""),"",Table1[[#This Row],[Potential_Yield (YP)]]-Table1[[#This Row],[Actual_Yield (YA)]])</f>
        <v>13.406584027655599</v>
      </c>
    </row>
    <row r="90" spans="1:12">
      <c r="A90">
        <v>10401</v>
      </c>
      <c r="B90" t="s">
        <v>46</v>
      </c>
      <c r="C90">
        <v>2010</v>
      </c>
      <c r="D90" s="80">
        <v>1.68902027225254</v>
      </c>
      <c r="E90">
        <v>12.922066634405001</v>
      </c>
      <c r="F90" s="80">
        <v>15.458309374327699</v>
      </c>
      <c r="G90">
        <v>26.523794958843901</v>
      </c>
      <c r="H90">
        <v>3.4668779112529</v>
      </c>
      <c r="I90">
        <f t="shared" si="15"/>
        <v>1.65700000000001</v>
      </c>
      <c r="J90" s="78">
        <f t="shared" si="12"/>
        <v>1.01932424396652</v>
      </c>
      <c r="K90" s="78">
        <f t="shared" si="13"/>
        <v>0.61516248881503699</v>
      </c>
      <c r="L90">
        <f>IF(OR(Table1[[#This Row],[Actual_Yield (YA)]]="",Table1[[#This Row],[Potential_Yield (YP)]]=""),"",Table1[[#This Row],[Potential_Yield (YP)]]-Table1[[#This Row],[Actual_Yield (YA)]])</f>
        <v>13.7692891020752</v>
      </c>
    </row>
    <row r="91" spans="1:12">
      <c r="A91">
        <v>10501</v>
      </c>
      <c r="B91" t="s">
        <v>46</v>
      </c>
      <c r="C91">
        <v>2002</v>
      </c>
      <c r="D91" s="80">
        <v>1.8</v>
      </c>
      <c r="E91">
        <v>8.7230000000000008</v>
      </c>
      <c r="F91" s="80">
        <v>14.7</v>
      </c>
      <c r="G91">
        <v>19.0921054957747</v>
      </c>
      <c r="H91">
        <v>3.9396755579954799</v>
      </c>
      <c r="I91">
        <f t="shared" ref="I91:I99" si="16">-0.0423*C91+86.622</f>
        <v>1.93740000000001</v>
      </c>
      <c r="J91" s="78">
        <f t="shared" si="12"/>
        <v>0.92908021059150903</v>
      </c>
      <c r="K91" s="78">
        <f t="shared" si="13"/>
        <v>0.47955002095153498</v>
      </c>
      <c r="L91">
        <f>IF(OR(Table1[[#This Row],[Actual_Yield (YA)]]="",Table1[[#This Row],[Potential_Yield (YP)]]=""),"",Table1[[#This Row],[Potential_Yield (YP)]]-Table1[[#This Row],[Actual_Yield (YA)]])</f>
        <v>12.9</v>
      </c>
    </row>
    <row r="92" spans="1:12">
      <c r="A92">
        <v>10501</v>
      </c>
      <c r="B92" t="s">
        <v>46</v>
      </c>
      <c r="C92">
        <v>2003</v>
      </c>
      <c r="D92" s="80">
        <v>1.9</v>
      </c>
      <c r="E92">
        <v>11.762</v>
      </c>
      <c r="F92" s="80">
        <v>14.6</v>
      </c>
      <c r="G92">
        <v>20.876311569301301</v>
      </c>
      <c r="H92">
        <v>3.3722999474300601</v>
      </c>
      <c r="I92">
        <f t="shared" si="16"/>
        <v>1.8951</v>
      </c>
      <c r="J92" s="78">
        <f t="shared" si="12"/>
        <v>1.0025856155348001</v>
      </c>
      <c r="K92" s="78">
        <f t="shared" si="13"/>
        <v>0.52904100867226</v>
      </c>
      <c r="L92">
        <f>IF(OR(Table1[[#This Row],[Actual_Yield (YA)]]="",Table1[[#This Row],[Potential_Yield (YP)]]=""),"",Table1[[#This Row],[Potential_Yield (YP)]]-Table1[[#This Row],[Actual_Yield (YA)]])</f>
        <v>12.7</v>
      </c>
    </row>
    <row r="93" spans="1:12">
      <c r="A93">
        <v>10501</v>
      </c>
      <c r="B93" t="s">
        <v>46</v>
      </c>
      <c r="C93">
        <v>2004</v>
      </c>
      <c r="D93" s="80">
        <v>1.9</v>
      </c>
      <c r="E93">
        <v>13.959</v>
      </c>
      <c r="F93" s="80">
        <v>14.8</v>
      </c>
      <c r="G93">
        <v>24.114735525549399</v>
      </c>
      <c r="H93">
        <v>3.2823266350414699</v>
      </c>
      <c r="I93">
        <f t="shared" si="16"/>
        <v>1.8528</v>
      </c>
      <c r="J93" s="78">
        <f t="shared" si="12"/>
        <v>1.02547495682211</v>
      </c>
      <c r="K93" s="78">
        <f t="shared" si="13"/>
        <v>0.55347309845752601</v>
      </c>
      <c r="L93">
        <f>IF(OR(Table1[[#This Row],[Actual_Yield (YA)]]="",Table1[[#This Row],[Potential_Yield (YP)]]=""),"",Table1[[#This Row],[Potential_Yield (YP)]]-Table1[[#This Row],[Actual_Yield (YA)]])</f>
        <v>12.9</v>
      </c>
    </row>
    <row r="94" spans="1:12">
      <c r="A94">
        <v>10501</v>
      </c>
      <c r="B94" t="s">
        <v>46</v>
      </c>
      <c r="C94">
        <v>2005</v>
      </c>
      <c r="D94" s="80">
        <v>1.8</v>
      </c>
      <c r="E94">
        <v>10.81</v>
      </c>
      <c r="F94" s="80">
        <v>14.9</v>
      </c>
      <c r="G94">
        <v>22.4932175009126</v>
      </c>
      <c r="H94">
        <v>3.7454016190233701</v>
      </c>
      <c r="I94">
        <f t="shared" si="16"/>
        <v>1.8105</v>
      </c>
      <c r="J94" s="78">
        <f t="shared" si="12"/>
        <v>0.99420049710024605</v>
      </c>
      <c r="K94" s="78">
        <f t="shared" si="13"/>
        <v>0.54913034913020897</v>
      </c>
      <c r="L94">
        <f>IF(OR(Table1[[#This Row],[Actual_Yield (YA)]]="",Table1[[#This Row],[Potential_Yield (YP)]]=""),"",Table1[[#This Row],[Potential_Yield (YP)]]-Table1[[#This Row],[Actual_Yield (YA)]])</f>
        <v>13.1</v>
      </c>
    </row>
    <row r="95" spans="1:12">
      <c r="A95">
        <v>10501</v>
      </c>
      <c r="B95" t="s">
        <v>46</v>
      </c>
      <c r="C95">
        <v>2006</v>
      </c>
      <c r="D95" s="80">
        <v>1.8</v>
      </c>
      <c r="E95">
        <v>11.468999999999999</v>
      </c>
      <c r="F95" s="80">
        <v>15.2</v>
      </c>
      <c r="G95">
        <v>22.432933891347499</v>
      </c>
      <c r="H95">
        <v>3.5207324966802198</v>
      </c>
      <c r="I95">
        <f t="shared" si="16"/>
        <v>1.76820000000001</v>
      </c>
      <c r="J95" s="78">
        <f t="shared" si="12"/>
        <v>1.017984390906</v>
      </c>
      <c r="K95" s="78">
        <f t="shared" si="13"/>
        <v>0.575717900071258</v>
      </c>
      <c r="L95">
        <f>IF(OR(Table1[[#This Row],[Actual_Yield (YA)]]="",Table1[[#This Row],[Potential_Yield (YP)]]=""),"",Table1[[#This Row],[Potential_Yield (YP)]]-Table1[[#This Row],[Actual_Yield (YA)]])</f>
        <v>13.4</v>
      </c>
    </row>
    <row r="96" spans="1:12">
      <c r="A96">
        <v>10501</v>
      </c>
      <c r="B96" t="s">
        <v>46</v>
      </c>
      <c r="C96">
        <v>2007</v>
      </c>
      <c r="D96" s="80">
        <v>1.6</v>
      </c>
      <c r="E96">
        <v>14.691000000000001</v>
      </c>
      <c r="F96" s="80">
        <v>15.3</v>
      </c>
      <c r="G96">
        <v>25.520899972892401</v>
      </c>
      <c r="H96">
        <v>2.7794867576494302</v>
      </c>
      <c r="I96">
        <f t="shared" si="16"/>
        <v>1.72590000000001</v>
      </c>
      <c r="J96" s="78">
        <f t="shared" si="12"/>
        <v>0.92705255229155303</v>
      </c>
      <c r="K96" s="78">
        <f t="shared" si="13"/>
        <v>0.53714152169392604</v>
      </c>
      <c r="L96">
        <f>IF(OR(Table1[[#This Row],[Actual_Yield (YA)]]="",Table1[[#This Row],[Potential_Yield (YP)]]=""),"",Table1[[#This Row],[Potential_Yield (YP)]]-Table1[[#This Row],[Actual_Yield (YA)]])</f>
        <v>13.7</v>
      </c>
    </row>
    <row r="97" spans="1:12">
      <c r="A97">
        <v>10501</v>
      </c>
      <c r="B97" t="s">
        <v>46</v>
      </c>
      <c r="C97">
        <v>2008</v>
      </c>
      <c r="D97" s="80">
        <v>1.637</v>
      </c>
      <c r="E97">
        <v>14.513999999999999</v>
      </c>
      <c r="F97" s="80">
        <v>15.4</v>
      </c>
      <c r="G97">
        <v>24.763664580785299</v>
      </c>
      <c r="H97">
        <v>2.7930356151815801</v>
      </c>
      <c r="I97">
        <f t="shared" si="16"/>
        <v>1.6836</v>
      </c>
      <c r="J97" s="78">
        <f t="shared" si="12"/>
        <v>0.97232121644096103</v>
      </c>
      <c r="K97" s="78">
        <f t="shared" si="13"/>
        <v>0.57752507510154505</v>
      </c>
      <c r="L97">
        <f>IF(OR(Table1[[#This Row],[Actual_Yield (YA)]]="",Table1[[#This Row],[Potential_Yield (YP)]]=""),"",Table1[[#This Row],[Potential_Yield (YP)]]-Table1[[#This Row],[Actual_Yield (YA)]])</f>
        <v>13.763</v>
      </c>
    </row>
    <row r="98" spans="1:12">
      <c r="A98">
        <v>10501</v>
      </c>
      <c r="B98" t="s">
        <v>46</v>
      </c>
      <c r="C98">
        <v>2009</v>
      </c>
      <c r="D98" s="80">
        <v>1.629</v>
      </c>
      <c r="E98">
        <v>9.7690000000000001</v>
      </c>
      <c r="F98" s="80">
        <v>16.100000000000001</v>
      </c>
      <c r="G98">
        <v>16.917573226991401</v>
      </c>
      <c r="H98">
        <v>2.8210386720001002</v>
      </c>
      <c r="I98">
        <f t="shared" si="16"/>
        <v>1.6413</v>
      </c>
      <c r="J98" s="78">
        <f t="shared" ref="J98:J108" si="17">D98/I98</f>
        <v>0.99250594041308604</v>
      </c>
      <c r="K98" s="78">
        <f t="shared" ref="K98:K108" si="18">(J98/I98)</f>
        <v>0.60470720795289501</v>
      </c>
      <c r="L98">
        <f>IF(OR(Table1[[#This Row],[Actual_Yield (YA)]]="",Table1[[#This Row],[Potential_Yield (YP)]]=""),"",Table1[[#This Row],[Potential_Yield (YP)]]-Table1[[#This Row],[Actual_Yield (YA)]])</f>
        <v>14.471</v>
      </c>
    </row>
    <row r="99" spans="1:12">
      <c r="A99">
        <v>10501</v>
      </c>
      <c r="B99" t="s">
        <v>46</v>
      </c>
      <c r="C99">
        <v>2010</v>
      </c>
      <c r="D99" s="80">
        <v>1.55</v>
      </c>
      <c r="E99">
        <v>12.269</v>
      </c>
      <c r="F99" s="80">
        <v>16</v>
      </c>
      <c r="G99">
        <v>23.596306854589901</v>
      </c>
      <c r="H99">
        <v>2.9810315123167599</v>
      </c>
      <c r="I99">
        <f t="shared" si="16"/>
        <v>1.599</v>
      </c>
      <c r="J99" s="78">
        <f t="shared" si="17"/>
        <v>0.96935584740462599</v>
      </c>
      <c r="K99" s="78">
        <f t="shared" si="18"/>
        <v>0.60622629606292899</v>
      </c>
      <c r="L99">
        <f>IF(OR(Table1[[#This Row],[Actual_Yield (YA)]]="",Table1[[#This Row],[Potential_Yield (YP)]]=""),"",Table1[[#This Row],[Potential_Yield (YP)]]-Table1[[#This Row],[Actual_Yield (YA)]])</f>
        <v>14.45</v>
      </c>
    </row>
    <row r="100" spans="1:12">
      <c r="A100">
        <v>10901</v>
      </c>
      <c r="B100" t="s">
        <v>46</v>
      </c>
      <c r="C100">
        <v>2002</v>
      </c>
      <c r="D100" s="80">
        <v>1.8</v>
      </c>
      <c r="E100">
        <v>9.9369999999999994</v>
      </c>
      <c r="F100" s="80">
        <v>15.2</v>
      </c>
      <c r="G100">
        <v>21.786558827796298</v>
      </c>
      <c r="H100">
        <v>3.94644318104391</v>
      </c>
      <c r="I100">
        <f t="shared" ref="I100:I108" si="19">-0.0232*C100+48.558</f>
        <v>2.1116000000000001</v>
      </c>
      <c r="J100" s="78">
        <f t="shared" si="17"/>
        <v>0.85243417313885095</v>
      </c>
      <c r="K100" s="78">
        <f t="shared" si="18"/>
        <v>0.40369112196384199</v>
      </c>
      <c r="L100">
        <f>IF(OR(Table1[[#This Row],[Actual_Yield (YA)]]="",Table1[[#This Row],[Potential_Yield (YP)]]=""),"",Table1[[#This Row],[Potential_Yield (YP)]]-Table1[[#This Row],[Actual_Yield (YA)]])</f>
        <v>13.4</v>
      </c>
    </row>
    <row r="101" spans="1:12">
      <c r="A101">
        <v>10901</v>
      </c>
      <c r="B101" t="s">
        <v>46</v>
      </c>
      <c r="C101">
        <v>2003</v>
      </c>
      <c r="D101" s="80">
        <v>1.8</v>
      </c>
      <c r="E101">
        <v>8.5259999999999998</v>
      </c>
      <c r="F101" s="80">
        <v>15.2</v>
      </c>
      <c r="G101">
        <v>18.604127655065099</v>
      </c>
      <c r="H101">
        <v>3.9276835302741202</v>
      </c>
      <c r="I101">
        <f t="shared" si="19"/>
        <v>2.0884</v>
      </c>
      <c r="J101" s="78">
        <f t="shared" si="17"/>
        <v>0.86190384983719603</v>
      </c>
      <c r="K101" s="78">
        <f t="shared" si="18"/>
        <v>0.412710136868989</v>
      </c>
      <c r="L101">
        <f>IF(OR(Table1[[#This Row],[Actual_Yield (YA)]]="",Table1[[#This Row],[Potential_Yield (YP)]]=""),"",Table1[[#This Row],[Potential_Yield (YP)]]-Table1[[#This Row],[Actual_Yield (YA)]])</f>
        <v>13.4</v>
      </c>
    </row>
    <row r="102" spans="1:12">
      <c r="A102">
        <v>10901</v>
      </c>
      <c r="B102" t="s">
        <v>46</v>
      </c>
      <c r="C102">
        <v>2004</v>
      </c>
      <c r="D102" s="80">
        <v>2</v>
      </c>
      <c r="E102">
        <v>11.55</v>
      </c>
      <c r="F102" s="80">
        <v>15.4</v>
      </c>
      <c r="G102">
        <v>23.782860236616099</v>
      </c>
      <c r="H102">
        <v>4.1182441968166303</v>
      </c>
      <c r="I102">
        <f t="shared" si="19"/>
        <v>2.0651999999999999</v>
      </c>
      <c r="J102" s="78">
        <f t="shared" si="17"/>
        <v>0.96842920782490605</v>
      </c>
      <c r="K102" s="78">
        <f t="shared" si="18"/>
        <v>0.468927565284187</v>
      </c>
      <c r="L102">
        <f>IF(OR(Table1[[#This Row],[Actual_Yield (YA)]]="",Table1[[#This Row],[Potential_Yield (YP)]]=""),"",Table1[[#This Row],[Potential_Yield (YP)]]-Table1[[#This Row],[Actual_Yield (YA)]])</f>
        <v>13.4</v>
      </c>
    </row>
    <row r="103" spans="1:12">
      <c r="A103">
        <v>10901</v>
      </c>
      <c r="B103" t="s">
        <v>46</v>
      </c>
      <c r="C103">
        <v>2005</v>
      </c>
      <c r="D103" s="80">
        <v>2.2000000000000002</v>
      </c>
      <c r="E103">
        <v>4.7619999999999996</v>
      </c>
      <c r="F103" s="80">
        <v>14.7</v>
      </c>
      <c r="G103">
        <v>14.4876260471941</v>
      </c>
      <c r="H103">
        <v>6.6931493708162701</v>
      </c>
      <c r="I103">
        <f t="shared" si="19"/>
        <v>2.0419999999999998</v>
      </c>
      <c r="J103" s="78">
        <f t="shared" si="17"/>
        <v>1.07737512242899</v>
      </c>
      <c r="K103" s="78">
        <f t="shared" si="18"/>
        <v>0.52760779746767394</v>
      </c>
      <c r="L103">
        <f>IF(OR(Table1[[#This Row],[Actual_Yield (YA)]]="",Table1[[#This Row],[Potential_Yield (YP)]]=""),"",Table1[[#This Row],[Potential_Yield (YP)]]-Table1[[#This Row],[Actual_Yield (YA)]])</f>
        <v>12.5</v>
      </c>
    </row>
    <row r="104" spans="1:12">
      <c r="A104">
        <v>10901</v>
      </c>
      <c r="B104" t="s">
        <v>46</v>
      </c>
      <c r="C104">
        <v>2006</v>
      </c>
      <c r="D104" s="80">
        <v>2.2000000000000002</v>
      </c>
      <c r="E104">
        <v>13.069000000000001</v>
      </c>
      <c r="F104" s="80">
        <v>16.7</v>
      </c>
      <c r="G104">
        <v>26.115622155083098</v>
      </c>
      <c r="H104">
        <v>4.3962329743042901</v>
      </c>
      <c r="I104">
        <f t="shared" si="19"/>
        <v>2.0188000000000099</v>
      </c>
      <c r="J104" s="78">
        <f t="shared" si="17"/>
        <v>1.08975629086586</v>
      </c>
      <c r="K104" s="78">
        <f t="shared" si="18"/>
        <v>0.53980398794623297</v>
      </c>
      <c r="L104">
        <f>IF(OR(Table1[[#This Row],[Actual_Yield (YA)]]="",Table1[[#This Row],[Potential_Yield (YP)]]=""),"",Table1[[#This Row],[Potential_Yield (YP)]]-Table1[[#This Row],[Actual_Yield (YA)]])</f>
        <v>14.5</v>
      </c>
    </row>
    <row r="105" spans="1:12">
      <c r="A105">
        <v>10901</v>
      </c>
      <c r="B105" t="s">
        <v>46</v>
      </c>
      <c r="C105">
        <v>2007</v>
      </c>
      <c r="D105" s="80">
        <v>2.1</v>
      </c>
      <c r="E105">
        <v>3.1920000000000002</v>
      </c>
      <c r="F105" s="80">
        <v>14.4</v>
      </c>
      <c r="G105">
        <v>7.2204588760408202</v>
      </c>
      <c r="H105">
        <v>4.7503018921321196</v>
      </c>
      <c r="I105">
        <f t="shared" si="19"/>
        <v>1.9956</v>
      </c>
      <c r="J105" s="78">
        <f t="shared" si="17"/>
        <v>1.05231509320505</v>
      </c>
      <c r="K105" s="78">
        <f t="shared" si="18"/>
        <v>0.52731764542245296</v>
      </c>
      <c r="L105">
        <f>IF(OR(Table1[[#This Row],[Actual_Yield (YA)]]="",Table1[[#This Row],[Potential_Yield (YP)]]=""),"",Table1[[#This Row],[Potential_Yield (YP)]]-Table1[[#This Row],[Actual_Yield (YA)]])</f>
        <v>12.3</v>
      </c>
    </row>
    <row r="106" spans="1:12">
      <c r="A106">
        <v>10901</v>
      </c>
      <c r="B106" t="s">
        <v>46</v>
      </c>
      <c r="C106">
        <v>2008</v>
      </c>
      <c r="D106" s="80">
        <v>1.873</v>
      </c>
      <c r="E106">
        <v>3.794</v>
      </c>
      <c r="F106" s="80">
        <v>14.2</v>
      </c>
      <c r="G106">
        <v>7.4526734488303301</v>
      </c>
      <c r="H106">
        <v>3.6791927700735898</v>
      </c>
      <c r="I106">
        <f t="shared" si="19"/>
        <v>1.9723999999999999</v>
      </c>
      <c r="J106" s="78">
        <f t="shared" si="17"/>
        <v>0.94960454268910999</v>
      </c>
      <c r="K106" s="78">
        <f t="shared" si="18"/>
        <v>0.48144622930901898</v>
      </c>
      <c r="L106">
        <f>IF(OR(Table1[[#This Row],[Actual_Yield (YA)]]="",Table1[[#This Row],[Potential_Yield (YP)]]=""),"",Table1[[#This Row],[Potential_Yield (YP)]]-Table1[[#This Row],[Actual_Yield (YA)]])</f>
        <v>12.327</v>
      </c>
    </row>
    <row r="107" spans="1:12">
      <c r="A107">
        <v>10901</v>
      </c>
      <c r="B107" t="s">
        <v>46</v>
      </c>
      <c r="C107">
        <v>2009</v>
      </c>
      <c r="D107" s="80">
        <v>1.613</v>
      </c>
      <c r="E107">
        <v>12.204000000000001</v>
      </c>
      <c r="F107" s="80">
        <v>14.2</v>
      </c>
      <c r="G107">
        <v>28.881242402167501</v>
      </c>
      <c r="H107">
        <v>3.81722746596986</v>
      </c>
      <c r="I107">
        <f t="shared" si="19"/>
        <v>1.9492</v>
      </c>
      <c r="J107" s="78">
        <f t="shared" si="17"/>
        <v>0.82751898214651998</v>
      </c>
      <c r="K107" s="78">
        <f t="shared" si="18"/>
        <v>0.42454288023113002</v>
      </c>
      <c r="L107">
        <f>IF(OR(Table1[[#This Row],[Actual_Yield (YA)]]="",Table1[[#This Row],[Potential_Yield (YP)]]=""),"",Table1[[#This Row],[Potential_Yield (YP)]]-Table1[[#This Row],[Actual_Yield (YA)]])</f>
        <v>12.587</v>
      </c>
    </row>
    <row r="108" spans="1:12">
      <c r="A108">
        <v>10901</v>
      </c>
      <c r="B108" t="s">
        <v>46</v>
      </c>
      <c r="C108">
        <v>2010</v>
      </c>
      <c r="D108" s="80">
        <v>1.68</v>
      </c>
      <c r="E108">
        <v>11.51</v>
      </c>
      <c r="F108" s="80">
        <v>14</v>
      </c>
      <c r="G108">
        <v>29.2676735047534</v>
      </c>
      <c r="H108">
        <v>4.2719106418753903</v>
      </c>
      <c r="I108">
        <f t="shared" si="19"/>
        <v>1.9259999999999999</v>
      </c>
      <c r="J108" s="78">
        <f t="shared" si="17"/>
        <v>0.87227414330218001</v>
      </c>
      <c r="K108" s="78">
        <f t="shared" si="18"/>
        <v>0.45289415540092398</v>
      </c>
      <c r="L108">
        <f>IF(OR(Table1[[#This Row],[Actual_Yield (YA)]]="",Table1[[#This Row],[Potential_Yield (YP)]]=""),"",Table1[[#This Row],[Potential_Yield (YP)]]-Table1[[#This Row],[Actual_Yield (YA)]])</f>
        <v>12.32</v>
      </c>
    </row>
    <row r="114" spans="2:2">
      <c r="B114" t="s">
        <v>47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dimension ref="B2:C11"/>
  <sheetViews>
    <sheetView workbookViewId="0">
      <selection activeCell="C4" sqref="C4"/>
    </sheetView>
  </sheetViews>
  <sheetFormatPr defaultColWidth="9" defaultRowHeight="15"/>
  <cols>
    <col min="2" max="2" width="12.7109375" customWidth="1"/>
    <col min="3" max="3" width="19.7109375" customWidth="1"/>
  </cols>
  <sheetData>
    <row r="2" spans="2:3">
      <c r="B2" t="s">
        <v>76</v>
      </c>
      <c r="C2" t="s">
        <v>77</v>
      </c>
    </row>
    <row r="3" spans="2:3">
      <c r="B3" cm="1">
        <f t="array" ref="B3:B11">_xlfn.UNIQUE('Yield_Sensitivity (2)'!C91:C108)</f>
        <v>2002</v>
      </c>
      <c r="C3" cm="1">
        <f t="array" ref="C3">AVERAGE(IF((Table1[Harvest_Year]=Validation_year_YAChart!B3)*(Table1[Climate_Zone]=Zone),Table1[Actual_Yield (YA)]))</f>
        <v>2.2000000000000002</v>
      </c>
    </row>
    <row r="4" spans="2:3">
      <c r="B4">
        <v>2003</v>
      </c>
      <c r="C4" cm="1">
        <f t="array" ref="C4">AVERAGE(IF((Table1[Harvest_Year]=Validation_year_YAChart!B4)*(Table1[Climate_Zone]=Zone),Table1[Actual_Yield (YA)]))</f>
        <v>2.1</v>
      </c>
    </row>
    <row r="5" spans="2:3">
      <c r="B5">
        <v>2004</v>
      </c>
      <c r="C5" cm="1">
        <f t="array" ref="C5">AVERAGE(IF((Table1[Harvest_Year]=Validation_year_YAChart!B5)*(Table1[Climate_Zone]=Zone),Table1[Actual_Yield (YA)]))</f>
        <v>2.1</v>
      </c>
    </row>
    <row r="6" spans="2:3">
      <c r="B6">
        <v>2005</v>
      </c>
      <c r="C6" cm="1">
        <f t="array" ref="C6">AVERAGE(IF((Table1[Harvest_Year]=Validation_year_YAChart!B6)*(Table1[Climate_Zone]=Zone),Table1[Actual_Yield (YA)]))</f>
        <v>2.1</v>
      </c>
    </row>
    <row r="7" spans="2:3">
      <c r="B7">
        <v>2006</v>
      </c>
      <c r="C7" cm="1">
        <f t="array" ref="C7">AVERAGE(IF((Table1[Harvest_Year]=Validation_year_YAChart!B7)*(Table1[Climate_Zone]=Zone),Table1[Actual_Yield (YA)]))</f>
        <v>1.9</v>
      </c>
    </row>
    <row r="8" spans="2:3">
      <c r="B8">
        <v>2007</v>
      </c>
      <c r="C8" cm="1">
        <f t="array" ref="C8">AVERAGE(IF((Table1[Harvest_Year]=Validation_year_YAChart!B8)*(Table1[Climate_Zone]=Zone),Table1[Actual_Yield (YA)]))</f>
        <v>1.9</v>
      </c>
    </row>
    <row r="9" spans="2:3">
      <c r="B9">
        <v>2008</v>
      </c>
      <c r="C9" cm="1">
        <f t="array" ref="C9">AVERAGE(IF((Table1[Harvest_Year]=Validation_year_YAChart!B9)*(Table1[Climate_Zone]=Zone),Table1[Actual_Yield (YA)]))</f>
        <v>1.929</v>
      </c>
    </row>
    <row r="10" spans="2:3">
      <c r="B10">
        <v>2009</v>
      </c>
      <c r="C10" cm="1">
        <f t="array" ref="C10">AVERAGE(IF((Table1[Harvest_Year]=Validation_year_YAChart!B10)*(Table1[Climate_Zone]=Zone),Table1[Actual_Yield (YA)]))</f>
        <v>2.355</v>
      </c>
    </row>
    <row r="11" spans="2:3">
      <c r="B11">
        <v>2010</v>
      </c>
      <c r="C11" cm="1">
        <f t="array" ref="C11">AVERAGE(IF((Table1[Harvest_Year]=Validation_year_YAChart!B11)*(Table1[Climate_Zone]=Zone),Table1[Actual_Yield (YA)]))</f>
        <v>2.76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dimension ref="B1:R20"/>
  <sheetViews>
    <sheetView showGridLines="0" showRowColHeaders="0" workbookViewId="0">
      <selection activeCell="H21" sqref="H21"/>
    </sheetView>
  </sheetViews>
  <sheetFormatPr defaultColWidth="9" defaultRowHeight="15"/>
  <cols>
    <col min="3" max="3" width="20.28515625" customWidth="1"/>
    <col min="5" max="5" width="21.28515625" customWidth="1"/>
    <col min="7" max="7" width="24" customWidth="1"/>
    <col min="8" max="8" width="25.140625" customWidth="1"/>
    <col min="13" max="13" width="12.42578125" customWidth="1"/>
  </cols>
  <sheetData>
    <row r="1" spans="2:18" ht="18.75">
      <c r="B1" s="75" t="s">
        <v>78</v>
      </c>
      <c r="C1" s="75"/>
      <c r="D1" s="75"/>
      <c r="E1" s="75"/>
      <c r="F1" s="75"/>
      <c r="G1" s="75"/>
      <c r="H1" s="75"/>
      <c r="I1" s="75"/>
      <c r="J1" s="75"/>
      <c r="K1" s="75"/>
      <c r="L1" s="75"/>
      <c r="M1" s="75"/>
      <c r="N1" s="75"/>
      <c r="O1" s="75"/>
      <c r="P1" s="75"/>
      <c r="Q1" s="75"/>
      <c r="R1" s="75"/>
    </row>
    <row r="2" spans="2:18">
      <c r="G2" s="76" t="s">
        <v>79</v>
      </c>
      <c r="K2" s="79"/>
    </row>
    <row r="3" spans="2:18">
      <c r="G3" s="77">
        <v>9701</v>
      </c>
    </row>
    <row r="6" spans="2:18">
      <c r="L6" t="s">
        <v>80</v>
      </c>
    </row>
    <row r="7" spans="2:18">
      <c r="L7">
        <v>2002</v>
      </c>
    </row>
    <row r="14" spans="2:18">
      <c r="O14" t="s">
        <v>81</v>
      </c>
    </row>
    <row r="18" spans="3:13">
      <c r="C18" s="7"/>
      <c r="M18" s="7"/>
    </row>
    <row r="19" spans="3:13">
      <c r="C19" s="78"/>
      <c r="M19" s="78"/>
    </row>
    <row r="20" spans="3:13">
      <c r="G20" s="78"/>
    </row>
  </sheetData>
  <pageMargins left="0.7" right="0.7" top="0.75" bottom="0.75" header="0.3" footer="0.3"/>
  <pageSetup orientation="portrait"/>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Validation_YA_SIchart!$B$2:$B$13</xm:f>
          </x14:formula1>
          <xm:sqref>G3</xm:sqref>
        </x14:dataValidation>
        <x14:dataValidation type="list" allowBlank="1" showInputMessage="1" showErrorMessage="1" xr:uid="{00000000-0002-0000-0A00-000001000000}">
          <x14:formula1>
            <xm:f>Validation_year_YAChart!$B$3:$B$11</xm:f>
          </x14:formula1>
          <xm:sqref>L7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dimension ref="A3:K24"/>
  <sheetViews>
    <sheetView workbookViewId="0">
      <selection activeCell="K4" sqref="K4:K16"/>
    </sheetView>
  </sheetViews>
  <sheetFormatPr defaultColWidth="9.140625" defaultRowHeight="15"/>
  <cols>
    <col min="1" max="1" width="24.42578125"/>
    <col min="2" max="10" width="15.5703125"/>
    <col min="11" max="11" width="12.85546875"/>
    <col min="12" max="12" width="16.28515625"/>
    <col min="13" max="13" width="11.85546875"/>
    <col min="14" max="14" width="12.85546875"/>
  </cols>
  <sheetData>
    <row r="3" spans="1:11">
      <c r="A3" t="s">
        <v>82</v>
      </c>
      <c r="B3" t="s">
        <v>50</v>
      </c>
    </row>
    <row r="4" spans="1:11">
      <c r="A4" t="s">
        <v>49</v>
      </c>
      <c r="B4">
        <v>2002</v>
      </c>
      <c r="C4">
        <v>2003</v>
      </c>
      <c r="D4">
        <v>2004</v>
      </c>
      <c r="E4">
        <v>2005</v>
      </c>
      <c r="F4">
        <v>2006</v>
      </c>
      <c r="G4">
        <v>2007</v>
      </c>
      <c r="H4">
        <v>2008</v>
      </c>
      <c r="I4">
        <v>2009</v>
      </c>
      <c r="J4">
        <v>2010</v>
      </c>
      <c r="K4" t="s">
        <v>51</v>
      </c>
    </row>
    <row r="5" spans="1:11">
      <c r="A5" s="71">
        <v>9101</v>
      </c>
      <c r="B5" s="23">
        <v>1.1829652996845199</v>
      </c>
      <c r="C5" s="23">
        <v>0.97425191370910802</v>
      </c>
      <c r="D5" s="23">
        <v>0.87173100871728204</v>
      </c>
      <c r="E5" s="23">
        <v>0.84507042253519504</v>
      </c>
      <c r="F5" s="23">
        <v>0.87448559670781101</v>
      </c>
      <c r="G5" s="23">
        <v>0.85186938002837298</v>
      </c>
      <c r="H5" s="23">
        <v>1.0872042068360901</v>
      </c>
      <c r="I5" s="23">
        <v>1.01672786617706</v>
      </c>
      <c r="J5" s="23">
        <v>0.992366412213739</v>
      </c>
      <c r="K5" s="23">
        <v>0.96629690073435304</v>
      </c>
    </row>
    <row r="6" spans="1:11">
      <c r="A6" s="71">
        <v>9301</v>
      </c>
      <c r="B6" s="23">
        <v>1.2408872343726001</v>
      </c>
      <c r="C6" s="23">
        <v>1.0956102549120099</v>
      </c>
      <c r="D6" s="23">
        <v>0.96631695196025802</v>
      </c>
      <c r="E6" s="23">
        <v>0.98135426889108301</v>
      </c>
      <c r="F6" s="23">
        <v>0.93271981096879497</v>
      </c>
      <c r="G6" s="23">
        <v>0.94792345518100296</v>
      </c>
      <c r="H6" s="23">
        <v>0.94534962661236299</v>
      </c>
      <c r="I6" s="23">
        <v>1.27158555729985</v>
      </c>
      <c r="J6" s="23"/>
      <c r="K6" s="23">
        <v>1.0477183950247499</v>
      </c>
    </row>
    <row r="7" spans="1:11">
      <c r="A7" s="71">
        <v>9401</v>
      </c>
      <c r="B7" s="23">
        <v>1.01468306076159</v>
      </c>
      <c r="C7" s="23">
        <v>0.96971079801493498</v>
      </c>
      <c r="D7" s="23">
        <v>1.03779768407253</v>
      </c>
      <c r="E7" s="23">
        <v>1.1003405816085901</v>
      </c>
      <c r="F7" s="23">
        <v>1.0572953378310199</v>
      </c>
      <c r="G7" s="23">
        <v>1.0659431173990901</v>
      </c>
      <c r="H7" s="23">
        <v>1.0510833022039501</v>
      </c>
      <c r="I7" s="23">
        <v>1.0156355607623999</v>
      </c>
      <c r="J7" s="23">
        <v>0.97953852851544398</v>
      </c>
      <c r="K7" s="23">
        <v>1.0324475523521699</v>
      </c>
    </row>
    <row r="8" spans="1:11">
      <c r="A8" s="71">
        <v>9501</v>
      </c>
      <c r="B8" s="23">
        <v>1.14889451674743</v>
      </c>
      <c r="C8" s="23">
        <v>1.0570511206557001</v>
      </c>
      <c r="D8" s="23">
        <v>1.0619752419595501</v>
      </c>
      <c r="E8" s="23">
        <v>0.97999505765462103</v>
      </c>
      <c r="F8" s="23">
        <v>0.88917467239895898</v>
      </c>
      <c r="G8" s="23">
        <v>0.84485755615008995</v>
      </c>
      <c r="H8" s="23">
        <v>0.85231966419465899</v>
      </c>
      <c r="I8" s="23">
        <v>1.0391945584304401</v>
      </c>
      <c r="J8" s="23">
        <v>1.2428431848186801</v>
      </c>
      <c r="K8" s="23">
        <v>1.01292284144557</v>
      </c>
    </row>
    <row r="9" spans="1:11">
      <c r="A9" s="71">
        <v>9701</v>
      </c>
      <c r="B9" s="23">
        <v>1.1671087533156499</v>
      </c>
      <c r="C9" s="23">
        <v>1.09034267912772</v>
      </c>
      <c r="D9" s="23">
        <v>1.0676156583629901</v>
      </c>
      <c r="E9" s="23">
        <v>1.0458167330677299</v>
      </c>
      <c r="F9" s="23">
        <v>0.92728160078086597</v>
      </c>
      <c r="G9" s="23">
        <v>0.90909090909090795</v>
      </c>
      <c r="H9" s="23">
        <v>0.90520882214922604</v>
      </c>
      <c r="I9" s="23">
        <v>1.0842541436464099</v>
      </c>
      <c r="J9" s="23">
        <v>1.2471757794848699</v>
      </c>
      <c r="K9" s="23">
        <v>1.04932167544737</v>
      </c>
    </row>
    <row r="10" spans="1:11">
      <c r="A10" s="71">
        <v>9801</v>
      </c>
      <c r="B10" s="23">
        <v>1.0143070681187301</v>
      </c>
      <c r="C10" s="23">
        <v>1.00672918984793</v>
      </c>
      <c r="D10" s="23">
        <v>0.94667087409277395</v>
      </c>
      <c r="E10" s="23">
        <v>0.991908117984861</v>
      </c>
      <c r="F10" s="23">
        <v>0.98466003316749595</v>
      </c>
      <c r="G10" s="23">
        <v>0.97751710654936497</v>
      </c>
      <c r="H10" s="23">
        <v>1.0090407600367799</v>
      </c>
      <c r="I10" s="23">
        <v>0.99979714995689495</v>
      </c>
      <c r="J10" s="23">
        <v>0.99194360523665603</v>
      </c>
      <c r="K10" s="23">
        <v>0.99139710055460994</v>
      </c>
    </row>
    <row r="11" spans="1:11">
      <c r="A11" s="71">
        <v>9901</v>
      </c>
      <c r="B11" s="23">
        <v>0.92411359072938604</v>
      </c>
      <c r="C11" s="23">
        <v>1.0588060975035101</v>
      </c>
      <c r="D11" s="23">
        <v>0.99722223733970305</v>
      </c>
      <c r="E11" s="23">
        <v>1.0454670898254099</v>
      </c>
      <c r="F11" s="23">
        <v>1.09689786077913</v>
      </c>
      <c r="G11" s="23">
        <v>1.08099930778834</v>
      </c>
      <c r="H11" s="23">
        <v>0.91716827461376105</v>
      </c>
      <c r="I11" s="23">
        <v>0.95141394148301095</v>
      </c>
      <c r="J11" s="23">
        <v>1.0286198322354101</v>
      </c>
      <c r="K11" s="23">
        <v>1.01118980358863</v>
      </c>
    </row>
    <row r="12" spans="1:11">
      <c r="A12" s="71">
        <v>10101</v>
      </c>
      <c r="B12" s="23">
        <v>1.0084604720596899</v>
      </c>
      <c r="C12" s="23">
        <v>0.96943567476916603</v>
      </c>
      <c r="D12" s="23">
        <v>0.94191611542651199</v>
      </c>
      <c r="E12" s="23">
        <v>0.99793156152765305</v>
      </c>
      <c r="F12" s="23">
        <v>1.0500626474027399</v>
      </c>
      <c r="G12" s="23">
        <v>1.0226078201764099</v>
      </c>
      <c r="H12" s="23">
        <v>1.01486666133623</v>
      </c>
      <c r="I12" s="23">
        <v>0.97985183845913704</v>
      </c>
      <c r="J12" s="23">
        <v>0.96668880162701498</v>
      </c>
      <c r="K12" s="23">
        <v>0.99464684364272804</v>
      </c>
    </row>
    <row r="13" spans="1:11">
      <c r="A13" s="71">
        <v>10301</v>
      </c>
      <c r="B13" s="23">
        <v>1.0508215513947401</v>
      </c>
      <c r="C13" s="23">
        <v>0.97760398151439198</v>
      </c>
      <c r="D13" s="23">
        <v>0.91392489199069904</v>
      </c>
      <c r="E13" s="23">
        <v>0.936037441497652</v>
      </c>
      <c r="F13" s="23">
        <v>0.88209350191120395</v>
      </c>
      <c r="G13" s="23">
        <v>0.83402835696414501</v>
      </c>
      <c r="H13" s="23">
        <v>0.82124967044555597</v>
      </c>
      <c r="I13" s="23">
        <v>1.13436951616947</v>
      </c>
      <c r="J13" s="23">
        <v>0.99761051373954202</v>
      </c>
      <c r="K13" s="23">
        <v>0.94974882506971103</v>
      </c>
    </row>
    <row r="14" spans="1:11">
      <c r="A14" s="71">
        <v>10401</v>
      </c>
      <c r="B14" s="23">
        <v>1.035770454726</v>
      </c>
      <c r="C14" s="23">
        <v>1.0027383539994601</v>
      </c>
      <c r="D14" s="23">
        <v>1.0134631196561401</v>
      </c>
      <c r="E14" s="23">
        <v>1.0524765778316201</v>
      </c>
      <c r="F14" s="23">
        <v>1.0892189385900499</v>
      </c>
      <c r="G14" s="23">
        <v>1.0584121701292</v>
      </c>
      <c r="H14" s="23">
        <v>0.99439111569034599</v>
      </c>
      <c r="I14" s="23">
        <v>1.02350064857611</v>
      </c>
      <c r="J14" s="23">
        <v>1.01932424396652</v>
      </c>
      <c r="K14" s="23">
        <v>1.03214395812949</v>
      </c>
    </row>
    <row r="15" spans="1:11">
      <c r="A15" s="71">
        <v>10501</v>
      </c>
      <c r="B15" s="23">
        <v>0.92908021059150903</v>
      </c>
      <c r="C15" s="23">
        <v>1.0025856155348001</v>
      </c>
      <c r="D15" s="23">
        <v>1.02547495682211</v>
      </c>
      <c r="E15" s="23">
        <v>0.99420049710024605</v>
      </c>
      <c r="F15" s="23">
        <v>1.017984390906</v>
      </c>
      <c r="G15" s="23">
        <v>0.92705255229155303</v>
      </c>
      <c r="H15" s="23">
        <v>0.97232121644096103</v>
      </c>
      <c r="I15" s="23">
        <v>0.99250594041308704</v>
      </c>
      <c r="J15" s="23">
        <v>0.96935584740462599</v>
      </c>
      <c r="K15" s="23">
        <v>0.98117346972276598</v>
      </c>
    </row>
    <row r="16" spans="1:11">
      <c r="A16" s="71">
        <v>10901</v>
      </c>
      <c r="B16" s="23">
        <v>0.85243417313885095</v>
      </c>
      <c r="C16" s="23">
        <v>0.86190384983719603</v>
      </c>
      <c r="D16" s="23">
        <v>0.96842920782490605</v>
      </c>
      <c r="E16" s="23">
        <v>1.07737512242899</v>
      </c>
      <c r="F16" s="23">
        <v>1.08975629086586</v>
      </c>
      <c r="G16" s="23">
        <v>1.05231509320505</v>
      </c>
      <c r="H16" s="23">
        <v>0.94960454268910999</v>
      </c>
      <c r="I16" s="23">
        <v>0.82751898214651998</v>
      </c>
      <c r="J16" s="23">
        <v>0.87227414330218001</v>
      </c>
      <c r="K16" s="23">
        <v>0.95017904504873996</v>
      </c>
    </row>
    <row r="17" spans="1:11">
      <c r="A17" t="s">
        <v>51</v>
      </c>
      <c r="B17" s="72">
        <v>1.0474605321367201</v>
      </c>
      <c r="C17" s="72">
        <v>1.0055641274521601</v>
      </c>
      <c r="D17" s="72">
        <v>0.98437816235212094</v>
      </c>
      <c r="E17" s="72">
        <v>1.00399778932947</v>
      </c>
      <c r="F17" s="72">
        <v>0.99096922352582795</v>
      </c>
      <c r="G17" s="72">
        <v>0.96438473541279401</v>
      </c>
      <c r="H17" s="72">
        <v>0.95998398860408596</v>
      </c>
      <c r="I17" s="72">
        <v>1.0280296419600301</v>
      </c>
      <c r="J17" s="72">
        <v>1.0279764447767901</v>
      </c>
      <c r="K17" s="72">
        <v>1.00116784394227</v>
      </c>
    </row>
    <row r="19" spans="1:11">
      <c r="B19" s="7" t="s">
        <v>83</v>
      </c>
      <c r="C19" t="s">
        <v>84</v>
      </c>
    </row>
    <row r="20" spans="1:11">
      <c r="C20" s="7" t="s">
        <v>85</v>
      </c>
    </row>
    <row r="21" spans="1:11">
      <c r="B21" s="73" t="s">
        <v>86</v>
      </c>
      <c r="C21" s="9" t="s">
        <v>87</v>
      </c>
    </row>
    <row r="22" spans="1:11">
      <c r="B22" s="10" t="s">
        <v>88</v>
      </c>
      <c r="C22" s="64" t="s">
        <v>89</v>
      </c>
    </row>
    <row r="23" spans="1:11">
      <c r="B23" s="13" t="s">
        <v>90</v>
      </c>
      <c r="C23" s="74" t="s">
        <v>91</v>
      </c>
    </row>
    <row r="24" spans="1:11">
      <c r="B24" s="16" t="s">
        <v>92</v>
      </c>
      <c r="C24" s="68" t="s">
        <v>93</v>
      </c>
    </row>
  </sheetData>
  <conditionalFormatting sqref="B5:J16">
    <cfRule type="cellIs" dxfId="7" priority="4" operator="lessThan">
      <formula>0.095</formula>
    </cfRule>
  </conditionalFormatting>
  <conditionalFormatting sqref="B5:K16">
    <cfRule type="cellIs" dxfId="6" priority="2" operator="greaterThan">
      <formula>1.05</formula>
    </cfRule>
    <cfRule type="cellIs" dxfId="5" priority="3" operator="between">
      <formula>0.095</formula>
      <formula>1.05</formula>
    </cfRule>
  </conditionalFormatting>
  <conditionalFormatting sqref="K5:K16">
    <cfRule type="cellIs" dxfId="4" priority="1" operator="lessThan">
      <formula>0.095</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dimension ref="B2:N14"/>
  <sheetViews>
    <sheetView workbookViewId="0">
      <selection activeCell="N13" sqref="N13"/>
    </sheetView>
  </sheetViews>
  <sheetFormatPr defaultColWidth="9.140625" defaultRowHeight="15"/>
  <cols>
    <col min="2" max="2" width="13.7109375" customWidth="1"/>
    <col min="12" max="12" width="15" customWidth="1"/>
    <col min="13" max="13" width="12.28515625" customWidth="1"/>
    <col min="14" max="14" width="28" customWidth="1"/>
  </cols>
  <sheetData>
    <row r="2" spans="2:14">
      <c r="B2" s="50" t="s">
        <v>94</v>
      </c>
      <c r="C2" s="51">
        <v>2002</v>
      </c>
      <c r="D2" s="51">
        <v>2003</v>
      </c>
      <c r="E2" s="51">
        <v>2004</v>
      </c>
      <c r="F2" s="51">
        <v>2005</v>
      </c>
      <c r="G2" s="51">
        <v>2006</v>
      </c>
      <c r="H2" s="51">
        <v>2007</v>
      </c>
      <c r="I2" s="51">
        <v>2008</v>
      </c>
      <c r="J2" s="51">
        <v>2009</v>
      </c>
      <c r="K2" s="55">
        <v>2010</v>
      </c>
      <c r="L2" s="56" t="s">
        <v>95</v>
      </c>
    </row>
    <row r="3" spans="2:14">
      <c r="B3" s="52">
        <v>9101</v>
      </c>
      <c r="C3" s="20">
        <v>1.1829652996845199</v>
      </c>
      <c r="D3" s="21">
        <v>0.97425191370910802</v>
      </c>
      <c r="E3" s="21">
        <v>0.87173100871728204</v>
      </c>
      <c r="F3" s="21">
        <v>0.84507042253519504</v>
      </c>
      <c r="G3" s="21">
        <v>0.87448559670781101</v>
      </c>
      <c r="H3" s="21">
        <v>0.85186938002837298</v>
      </c>
      <c r="I3" s="21">
        <v>1.0872042068360901</v>
      </c>
      <c r="J3" s="21">
        <v>1.01672786617706</v>
      </c>
      <c r="K3" s="57">
        <v>0.992366412213739</v>
      </c>
      <c r="L3" s="58">
        <v>0.96629690073435304</v>
      </c>
    </row>
    <row r="4" spans="2:14">
      <c r="B4" s="53">
        <v>9301</v>
      </c>
      <c r="C4" s="22">
        <v>1.2408872343726001</v>
      </c>
      <c r="D4" s="23">
        <v>1.0956102549120099</v>
      </c>
      <c r="E4" s="23">
        <v>0.96631695196025802</v>
      </c>
      <c r="F4" s="23">
        <v>0.98135426889108301</v>
      </c>
      <c r="G4" s="23">
        <v>0.93271981096879497</v>
      </c>
      <c r="H4" s="23">
        <v>0.94792345518100296</v>
      </c>
      <c r="I4" s="23">
        <v>0.94534962661236299</v>
      </c>
      <c r="J4" s="23">
        <v>1.27158555729985</v>
      </c>
      <c r="K4" s="59"/>
      <c r="L4" s="60">
        <v>1.0477183950247499</v>
      </c>
      <c r="M4" s="61" t="s">
        <v>96</v>
      </c>
      <c r="N4" s="62" t="s">
        <v>97</v>
      </c>
    </row>
    <row r="5" spans="2:14">
      <c r="B5" s="53">
        <v>9401</v>
      </c>
      <c r="C5" s="22">
        <v>1.01468306076159</v>
      </c>
      <c r="D5" s="23">
        <v>0.96971079801493498</v>
      </c>
      <c r="E5" s="23">
        <v>1.03779768407253</v>
      </c>
      <c r="F5" s="23">
        <v>1.1003405816085901</v>
      </c>
      <c r="G5" s="23">
        <v>1.0572953378310199</v>
      </c>
      <c r="H5" s="23">
        <v>1.0659431173990901</v>
      </c>
      <c r="I5" s="23">
        <v>1.0510833022039501</v>
      </c>
      <c r="J5" s="23">
        <v>1.0156355607623999</v>
      </c>
      <c r="K5" s="59">
        <v>0.97953852851544398</v>
      </c>
      <c r="L5" s="60">
        <v>1.0324475523521699</v>
      </c>
      <c r="M5" s="63" t="s">
        <v>88</v>
      </c>
      <c r="N5" s="64" t="s">
        <v>89</v>
      </c>
    </row>
    <row r="6" spans="2:14">
      <c r="B6" s="53">
        <v>9501</v>
      </c>
      <c r="C6" s="22">
        <v>1.14889451674743</v>
      </c>
      <c r="D6" s="23">
        <v>1.0570511206557001</v>
      </c>
      <c r="E6" s="23">
        <v>1.0619752419595501</v>
      </c>
      <c r="F6" s="23">
        <v>0.97999505765462103</v>
      </c>
      <c r="G6" s="23">
        <v>0.88917467239895898</v>
      </c>
      <c r="H6" s="23">
        <v>0.84485755615008995</v>
      </c>
      <c r="I6" s="23">
        <v>0.85231966419465899</v>
      </c>
      <c r="J6" s="23">
        <v>1.0391945584304401</v>
      </c>
      <c r="K6" s="59">
        <v>1.2428431848186801</v>
      </c>
      <c r="L6" s="60">
        <v>1.01292284144557</v>
      </c>
      <c r="M6" s="65" t="s">
        <v>90</v>
      </c>
      <c r="N6" s="66" t="s">
        <v>91</v>
      </c>
    </row>
    <row r="7" spans="2:14">
      <c r="B7" s="53">
        <v>9701</v>
      </c>
      <c r="C7" s="22">
        <v>1.1671087533156499</v>
      </c>
      <c r="D7" s="23">
        <v>1.09034267912772</v>
      </c>
      <c r="E7" s="23">
        <v>1.0676156583629901</v>
      </c>
      <c r="F7" s="23">
        <v>1.0458167330677299</v>
      </c>
      <c r="G7" s="23">
        <v>0.92728160078086597</v>
      </c>
      <c r="H7" s="23">
        <v>0.90909090909090795</v>
      </c>
      <c r="I7" s="23">
        <v>0.90520882214922604</v>
      </c>
      <c r="J7" s="23">
        <v>1.0842541436464099</v>
      </c>
      <c r="K7" s="59">
        <v>1.2471757794848699</v>
      </c>
      <c r="L7" s="60">
        <v>1.04932167544737</v>
      </c>
      <c r="M7" s="67" t="s">
        <v>92</v>
      </c>
      <c r="N7" s="68" t="s">
        <v>93</v>
      </c>
    </row>
    <row r="8" spans="2:14">
      <c r="B8" s="53">
        <v>9801</v>
      </c>
      <c r="C8" s="22">
        <v>1.0143070681187301</v>
      </c>
      <c r="D8" s="23">
        <v>1.00672918984793</v>
      </c>
      <c r="E8" s="23">
        <v>0.94667087409277395</v>
      </c>
      <c r="F8" s="23">
        <v>0.991908117984861</v>
      </c>
      <c r="G8" s="23">
        <v>0.98466003316749595</v>
      </c>
      <c r="H8" s="23">
        <v>0.97751710654936497</v>
      </c>
      <c r="I8" s="23">
        <v>1.0090407600367799</v>
      </c>
      <c r="J8" s="23">
        <v>0.99979714995689495</v>
      </c>
      <c r="K8" s="59">
        <v>0.99194360523665603</v>
      </c>
      <c r="L8" s="60">
        <v>0.99139710055460994</v>
      </c>
    </row>
    <row r="9" spans="2:14">
      <c r="B9" s="53">
        <v>9901</v>
      </c>
      <c r="C9" s="22">
        <v>0.92411359072938604</v>
      </c>
      <c r="D9" s="23">
        <v>1.0588060975035101</v>
      </c>
      <c r="E9" s="23">
        <v>0.99722223733970305</v>
      </c>
      <c r="F9" s="23">
        <v>1.0454670898254099</v>
      </c>
      <c r="G9" s="23">
        <v>1.09689786077913</v>
      </c>
      <c r="H9" s="23">
        <v>1.08099930778834</v>
      </c>
      <c r="I9" s="23">
        <v>0.91716827461376105</v>
      </c>
      <c r="J9" s="23">
        <v>0.95141394148301095</v>
      </c>
      <c r="K9" s="59">
        <v>1.0286198322354101</v>
      </c>
      <c r="L9" s="60">
        <v>1.01118980358863</v>
      </c>
    </row>
    <row r="10" spans="2:14">
      <c r="B10" s="53">
        <v>10101</v>
      </c>
      <c r="C10" s="22">
        <v>1.0084604720596899</v>
      </c>
      <c r="D10" s="23">
        <v>0.96943567476916603</v>
      </c>
      <c r="E10" s="23">
        <v>0.94191611542651199</v>
      </c>
      <c r="F10" s="23">
        <v>0.99793156152765305</v>
      </c>
      <c r="G10" s="23">
        <v>1.0500626474027399</v>
      </c>
      <c r="H10" s="23">
        <v>1.0226078201764099</v>
      </c>
      <c r="I10" s="23">
        <v>1.01486666133623</v>
      </c>
      <c r="J10" s="23">
        <v>0.97985183845913704</v>
      </c>
      <c r="K10" s="59">
        <v>0.96668880162701498</v>
      </c>
      <c r="L10" s="60">
        <v>0.99464684364272804</v>
      </c>
    </row>
    <row r="11" spans="2:14">
      <c r="B11" s="53">
        <v>10301</v>
      </c>
      <c r="C11" s="22">
        <v>1.0508215513947401</v>
      </c>
      <c r="D11" s="23">
        <v>0.97760398151439198</v>
      </c>
      <c r="E11" s="23">
        <v>0.91392489199069904</v>
      </c>
      <c r="F11" s="23">
        <v>0.936037441497652</v>
      </c>
      <c r="G11" s="23">
        <v>0.88209350191120395</v>
      </c>
      <c r="H11" s="23">
        <v>0.83402835696414501</v>
      </c>
      <c r="I11" s="23">
        <v>0.82124967044555597</v>
      </c>
      <c r="J11" s="23">
        <v>1.13436951616947</v>
      </c>
      <c r="K11" s="59">
        <v>0.99761051373954202</v>
      </c>
      <c r="L11" s="60">
        <v>0.94974882506971103</v>
      </c>
    </row>
    <row r="12" spans="2:14">
      <c r="B12" s="53">
        <v>10401</v>
      </c>
      <c r="C12" s="22">
        <v>1.035770454726</v>
      </c>
      <c r="D12" s="23">
        <v>1.0027383539994601</v>
      </c>
      <c r="E12" s="23">
        <v>1.0134631196561401</v>
      </c>
      <c r="F12" s="23">
        <v>1.0524765778316201</v>
      </c>
      <c r="G12" s="23">
        <v>1.0892189385900499</v>
      </c>
      <c r="H12" s="23">
        <v>1.0584121701292</v>
      </c>
      <c r="I12" s="23">
        <v>0.99439111569034599</v>
      </c>
      <c r="J12" s="23">
        <v>1.02350064857611</v>
      </c>
      <c r="K12" s="59">
        <v>1.01932424396652</v>
      </c>
      <c r="L12" s="60">
        <v>1.03214395812949</v>
      </c>
    </row>
    <row r="13" spans="2:14">
      <c r="B13" s="53">
        <v>10501</v>
      </c>
      <c r="C13" s="22">
        <v>0.92908021059150903</v>
      </c>
      <c r="D13" s="23">
        <v>1.0025856155348001</v>
      </c>
      <c r="E13" s="23">
        <v>1.02547495682211</v>
      </c>
      <c r="F13" s="23">
        <v>0.99420049710024605</v>
      </c>
      <c r="G13" s="23">
        <v>1.017984390906</v>
      </c>
      <c r="H13" s="23">
        <v>0.92705255229155303</v>
      </c>
      <c r="I13" s="23">
        <v>0.97232121644096103</v>
      </c>
      <c r="J13" s="23">
        <v>0.99250594041308704</v>
      </c>
      <c r="K13" s="59">
        <v>0.96935584740462599</v>
      </c>
      <c r="L13" s="60">
        <v>0.98117346972276598</v>
      </c>
    </row>
    <row r="14" spans="2:14">
      <c r="B14" s="54">
        <v>10901</v>
      </c>
      <c r="C14" s="24">
        <v>0.85243417313885095</v>
      </c>
      <c r="D14" s="25">
        <v>0.86190384983719603</v>
      </c>
      <c r="E14" s="25">
        <v>0.96842920782490605</v>
      </c>
      <c r="F14" s="25">
        <v>1.07737512242899</v>
      </c>
      <c r="G14" s="25">
        <v>1.08975629086586</v>
      </c>
      <c r="H14" s="25">
        <v>1.05231509320505</v>
      </c>
      <c r="I14" s="25">
        <v>0.94960454268910999</v>
      </c>
      <c r="J14" s="25">
        <v>0.82751898214651998</v>
      </c>
      <c r="K14" s="69">
        <v>0.87227414330218001</v>
      </c>
      <c r="L14" s="70">
        <v>0.95017904504873996</v>
      </c>
    </row>
  </sheetData>
  <conditionalFormatting sqref="C3:K14">
    <cfRule type="cellIs" dxfId="3" priority="4" operator="lessThan">
      <formula>0.095</formula>
    </cfRule>
  </conditionalFormatting>
  <conditionalFormatting sqref="C3:L14">
    <cfRule type="cellIs" dxfId="2" priority="2" operator="greaterThan">
      <formula>1.05</formula>
    </cfRule>
    <cfRule type="cellIs" dxfId="1" priority="3" operator="between">
      <formula>0.095</formula>
      <formula>1.05</formula>
    </cfRule>
  </conditionalFormatting>
  <conditionalFormatting sqref="L3:L14">
    <cfRule type="cellIs" dxfId="0" priority="1" operator="lessThan">
      <formula>0.095</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H14"/>
  <sheetViews>
    <sheetView workbookViewId="0">
      <selection activeCell="H2" sqref="H2"/>
    </sheetView>
  </sheetViews>
  <sheetFormatPr defaultColWidth="9" defaultRowHeight="15"/>
  <cols>
    <col min="1" max="1" width="13.28515625" customWidth="1"/>
    <col min="2" max="2" width="9.28515625" customWidth="1"/>
    <col min="3" max="3" width="12.85546875"/>
    <col min="4" max="4" width="15.140625"/>
  </cols>
  <sheetData>
    <row r="1" spans="1:8">
      <c r="B1" s="106" t="s">
        <v>98</v>
      </c>
      <c r="C1" s="106"/>
      <c r="D1" s="106"/>
      <c r="E1" s="106"/>
      <c r="F1" s="106"/>
      <c r="G1" s="106"/>
    </row>
    <row r="2" spans="1:8">
      <c r="A2" t="s">
        <v>79</v>
      </c>
      <c r="B2" t="s">
        <v>99</v>
      </c>
      <c r="D2" s="107" t="s">
        <v>100</v>
      </c>
      <c r="E2" s="107"/>
    </row>
    <row r="3" spans="1:8">
      <c r="A3" cm="1">
        <f t="array" ref="A3:A14">_xlfn.UNIQUE(Table1[Climate_Zone])</f>
        <v>9101</v>
      </c>
      <c r="B3" s="49">
        <f t="array" ref="B3">AVERAGE(IF((Table1[Climate_Zone]=Yield_Gap_Chart!A3)*(Table1[Calculated_Yield_Gap]&lt;&gt;""),Table1[Calculated_Yield_Gap]))</f>
        <v>9.5749999999999993</v>
      </c>
      <c r="D3" cm="1">
        <f t="array" ref="D3:E14">_xlfn._xlws.SORT(A3:B14,2,1)</f>
        <v>9101</v>
      </c>
      <c r="E3">
        <v>9.5749999999999993</v>
      </c>
      <c r="G3">
        <f t="shared" ref="G3:G14" si="0">IF(Zone&lt;&gt;D3,E3,NA())</f>
        <v>9.5749999999999993</v>
      </c>
      <c r="H3" t="e">
        <f t="shared" ref="H3:H14" si="1">IF(Zone=D3,E3,NA())</f>
        <v>#N/A</v>
      </c>
    </row>
    <row r="4" spans="1:8">
      <c r="A4">
        <v>9301</v>
      </c>
      <c r="B4" s="49">
        <f t="array" ref="B4">AVERAGE(IF((Table1[Climate_Zone]=Yield_Gap_Chart!A10)*(Table1[Calculated_Yield_Gap]&lt;&gt;""),Table1[Calculated_Yield_Gap]))</f>
        <v>9.8128223501127003</v>
      </c>
      <c r="D4">
        <v>9301</v>
      </c>
      <c r="E4">
        <v>9.8128223501127003</v>
      </c>
      <c r="G4">
        <f t="shared" si="0"/>
        <v>9.8128223501127003</v>
      </c>
      <c r="H4" t="e">
        <f t="shared" si="1"/>
        <v>#N/A</v>
      </c>
    </row>
    <row r="5" spans="1:8">
      <c r="A5">
        <v>9401</v>
      </c>
      <c r="B5" s="49">
        <f t="array" ref="B5">AVERAGE(IF((Table1[Climate_Zone]=Yield_Gap_Chart!A9)*(Table1[Calculated_Yield_Gap]&lt;&gt;""),Table1[Calculated_Yield_Gap]))</f>
        <v>11.4033977348566</v>
      </c>
      <c r="D5">
        <v>9401</v>
      </c>
      <c r="E5">
        <v>11.4033977348566</v>
      </c>
      <c r="G5">
        <f t="shared" si="0"/>
        <v>11.4033977348566</v>
      </c>
      <c r="H5" t="e">
        <f t="shared" si="1"/>
        <v>#N/A</v>
      </c>
    </row>
    <row r="6" spans="1:8">
      <c r="A6">
        <v>9501</v>
      </c>
      <c r="B6" s="49">
        <f t="array" ref="B6">AVERAGE(IF((Table1[Climate_Zone]=Yield_Gap_Chart!A5)*(Table1[Calculated_Yield_Gap]&lt;&gt;""),Table1[Calculated_Yield_Gap]))</f>
        <v>11.6938888888889</v>
      </c>
      <c r="D6">
        <v>9501</v>
      </c>
      <c r="E6">
        <v>11.6938888888889</v>
      </c>
      <c r="G6">
        <f t="shared" si="0"/>
        <v>11.6938888888889</v>
      </c>
      <c r="H6" t="e">
        <f t="shared" si="1"/>
        <v>#N/A</v>
      </c>
    </row>
    <row r="7" spans="1:8">
      <c r="A7">
        <v>9701</v>
      </c>
      <c r="B7" s="49">
        <f t="array" ref="B7">AVERAGE(IF((Table1[Climate_Zone]=Yield_Gap_Chart!A4)*(Table1[Calculated_Yield_Gap]&lt;&gt;""),Table1[Calculated_Yield_Gap]))</f>
        <v>12.535</v>
      </c>
      <c r="D7">
        <v>9701</v>
      </c>
      <c r="E7">
        <v>12.535</v>
      </c>
      <c r="G7" t="e">
        <f t="shared" si="0"/>
        <v>#N/A</v>
      </c>
      <c r="H7">
        <f t="shared" si="1"/>
        <v>12.535</v>
      </c>
    </row>
    <row r="8" spans="1:8">
      <c r="A8">
        <v>9801</v>
      </c>
      <c r="B8" s="49">
        <f t="array" ref="B8">AVERAGE(IF((Table1[Climate_Zone]=Yield_Gap_Chart!A8)*(Table1[Calculated_Yield_Gap]&lt;&gt;""),Table1[Calculated_Yield_Gap]))</f>
        <v>12.842555555555601</v>
      </c>
      <c r="D8">
        <v>9801</v>
      </c>
      <c r="E8">
        <v>12.842555555555601</v>
      </c>
      <c r="G8">
        <f t="shared" si="0"/>
        <v>12.842555555555601</v>
      </c>
      <c r="H8" t="e">
        <f t="shared" si="1"/>
        <v>#N/A</v>
      </c>
    </row>
    <row r="9" spans="1:8">
      <c r="A9">
        <v>9901</v>
      </c>
      <c r="B9" s="49">
        <f t="array" ref="B9">AVERAGE(IF((Table1[Climate_Zone]=Yield_Gap_Chart!A14)*(Table1[Calculated_Yield_Gap]&lt;&gt;""),Table1[Calculated_Yield_Gap]))</f>
        <v>12.9704444444444</v>
      </c>
      <c r="D9">
        <v>9901</v>
      </c>
      <c r="E9">
        <v>12.9704444444444</v>
      </c>
      <c r="G9">
        <f t="shared" si="0"/>
        <v>12.9704444444444</v>
      </c>
      <c r="H9" t="e">
        <f t="shared" si="1"/>
        <v>#N/A</v>
      </c>
    </row>
    <row r="10" spans="1:8">
      <c r="A10">
        <v>10101</v>
      </c>
      <c r="B10" s="49">
        <f t="array" ref="B10">AVERAGE(IF((Table1[Climate_Zone]=Yield_Gap_Chart!A7)*(Table1[Calculated_Yield_Gap]&lt;&gt;""),Table1[Calculated_Yield_Gap]))</f>
        <v>13.2062222222222</v>
      </c>
      <c r="D10">
        <v>10101</v>
      </c>
      <c r="E10">
        <v>13.2062222222222</v>
      </c>
      <c r="G10">
        <f t="shared" si="0"/>
        <v>13.2062222222222</v>
      </c>
      <c r="H10" t="e">
        <f t="shared" si="1"/>
        <v>#N/A</v>
      </c>
    </row>
    <row r="11" spans="1:8">
      <c r="A11">
        <v>10301</v>
      </c>
      <c r="B11" s="49">
        <f t="array" ref="B11">AVERAGE(IF((Table1[Climate_Zone]=Yield_Gap_Chart!A13)*(Table1[Calculated_Yield_Gap]&lt;&gt;""),Table1[Calculated_Yield_Gap]))</f>
        <v>13.4871111111111</v>
      </c>
      <c r="D11">
        <v>10301</v>
      </c>
      <c r="E11">
        <v>13.4871111111111</v>
      </c>
      <c r="G11">
        <f t="shared" si="0"/>
        <v>13.4871111111111</v>
      </c>
      <c r="H11" t="e">
        <f t="shared" si="1"/>
        <v>#N/A</v>
      </c>
    </row>
    <row r="12" spans="1:8">
      <c r="A12">
        <v>10401</v>
      </c>
      <c r="B12" s="49">
        <f t="array" ref="B12">AVERAGE(IF((Table1[Climate_Zone]=Yield_Gap_Chart!A12)*(Table1[Calculated_Yield_Gap]&lt;&gt;""),Table1[Calculated_Yield_Gap]))</f>
        <v>13.561282944991</v>
      </c>
      <c r="D12">
        <v>10401</v>
      </c>
      <c r="E12">
        <v>13.561282944991</v>
      </c>
      <c r="G12">
        <f t="shared" si="0"/>
        <v>13.561282944991</v>
      </c>
      <c r="H12" t="e">
        <f t="shared" si="1"/>
        <v>#N/A</v>
      </c>
    </row>
    <row r="13" spans="1:8">
      <c r="A13">
        <v>10501</v>
      </c>
      <c r="B13" s="49">
        <f t="array" ref="B13">AVERAGE(IF((Table1[Climate_Zone]=Yield_Gap_Chart!A11)*(Table1[Calculated_Yield_Gap]&lt;&gt;""),Table1[Calculated_Yield_Gap]))</f>
        <v>13.6415555555556</v>
      </c>
      <c r="D13">
        <v>10501</v>
      </c>
      <c r="E13">
        <v>13.6415555555556</v>
      </c>
      <c r="G13">
        <f t="shared" si="0"/>
        <v>13.6415555555556</v>
      </c>
      <c r="H13" t="e">
        <f t="shared" si="1"/>
        <v>#N/A</v>
      </c>
    </row>
    <row r="14" spans="1:8">
      <c r="A14">
        <v>10901</v>
      </c>
      <c r="B14" s="49">
        <f t="array" ref="B14">AVERAGE(IF((Table1[Climate_Zone]=Yield_Gap_Chart!A6)*(Table1[Calculated_Yield_Gap]&lt;&gt;""),Table1[Calculated_Yield_Gap]))</f>
        <v>13.976600877872601</v>
      </c>
      <c r="D14">
        <v>10901</v>
      </c>
      <c r="E14">
        <v>13.976600877872601</v>
      </c>
      <c r="G14">
        <f t="shared" si="0"/>
        <v>13.976600877872601</v>
      </c>
      <c r="H14" t="e">
        <f t="shared" si="1"/>
        <v>#N/A</v>
      </c>
    </row>
  </sheetData>
  <sortState xmlns:xlrd2="http://schemas.microsoft.com/office/spreadsheetml/2017/richdata2" ref="B3:B14">
    <sortCondition ref="B3"/>
  </sortState>
  <mergeCells count="2">
    <mergeCell ref="B1:G1"/>
    <mergeCell ref="D2:E2"/>
  </mergeCells>
  <pageMargins left="0.7" right="0.7" top="0.75" bottom="0.75" header="0.3" footer="0.3"/>
  <pageSetup orientation="portrait"/>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dimension ref="B1:X30"/>
  <sheetViews>
    <sheetView zoomScale="61" zoomScaleNormal="61" workbookViewId="0">
      <selection activeCell="P35" sqref="P35"/>
    </sheetView>
  </sheetViews>
  <sheetFormatPr defaultColWidth="9.140625" defaultRowHeight="15"/>
  <cols>
    <col min="1" max="2" width="9.140625" style="44"/>
    <col min="3" max="4" width="12.85546875" style="44"/>
    <col min="5" max="5" width="9.140625" style="44"/>
    <col min="6" max="6" width="12.85546875" style="44"/>
    <col min="7" max="7" width="9.140625" style="44"/>
    <col min="8" max="8" width="12.85546875" style="44"/>
    <col min="9" max="9" width="11.7109375" style="44" customWidth="1"/>
    <col min="10" max="10" width="10.5703125" style="44" customWidth="1"/>
    <col min="11" max="11" width="15.140625" style="44" customWidth="1"/>
    <col min="12" max="15" width="9.140625" style="44"/>
    <col min="16" max="16" width="11.7109375" style="44"/>
    <col min="17" max="17" width="9.140625" style="44"/>
    <col min="18" max="19" width="12.85546875" style="44"/>
    <col min="20" max="22" width="9.140625" style="44"/>
    <col min="23" max="23" width="12.85546875" style="44"/>
    <col min="24" max="16384" width="9.140625" style="44"/>
  </cols>
  <sheetData>
    <row r="1" spans="2:24" ht="21">
      <c r="F1" s="45"/>
      <c r="P1" s="46" t="s">
        <v>87</v>
      </c>
      <c r="Q1" s="48" t="str">
        <f>Interpretation</f>
        <v>Some Climate Stress, Moderate YP</v>
      </c>
      <c r="S1" s="44" t="s">
        <v>101</v>
      </c>
      <c r="W1" s="46" t="s">
        <v>102</v>
      </c>
      <c r="X1" s="46" t="str">
        <f>Label</f>
        <v>Medium YG + SI &lt; 1</v>
      </c>
    </row>
    <row r="2" spans="2:24">
      <c r="S2" s="44" t="e">
        <f>Avg_SI</f>
        <v>#REF!</v>
      </c>
      <c r="U2" s="46" t="s">
        <v>103</v>
      </c>
      <c r="V2" s="46" t="str">
        <f>Investment</f>
        <v>Low Opportunity</v>
      </c>
      <c r="W2" s="44" t="s">
        <v>104</v>
      </c>
    </row>
    <row r="3" spans="2:24" ht="18.95" customHeight="1">
      <c r="B3" s="46"/>
      <c r="W3" s="44" t="e">
        <f>Avg_YP</f>
        <v>#REF!</v>
      </c>
    </row>
    <row r="5" spans="2:24">
      <c r="E5" s="47">
        <v>9701</v>
      </c>
    </row>
    <row r="30" spans="8:8">
      <c r="H30" s="44" t="e">
        <f>Avg_SI</f>
        <v>#REF!</v>
      </c>
    </row>
  </sheetData>
  <pageMargins left="0.75" right="0.75" top="1" bottom="1" header="0.5" footer="0.5"/>
  <drawing r:id="rId1"/>
  <legacyDrawing r:id="rId2"/>
  <oleObjects>
    <mc:AlternateContent xmlns:mc="http://schemas.openxmlformats.org/markup-compatibility/2006">
      <mc:Choice Requires="x14">
        <oleObject progId="Excel.Sheet.12" shapeId="6145" r:id="rId3">
          <objectPr defaultSize="0" altText="" r:id="rId4">
            <anchor moveWithCells="1">
              <from>
                <xdr:col>7</xdr:col>
                <xdr:colOff>781050</xdr:colOff>
                <xdr:row>7</xdr:row>
                <xdr:rowOff>95250</xdr:rowOff>
              </from>
              <to>
                <xdr:col>14</xdr:col>
                <xdr:colOff>390525</xdr:colOff>
                <xdr:row>27</xdr:row>
                <xdr:rowOff>104775</xdr:rowOff>
              </to>
            </anchor>
          </objectPr>
        </oleObject>
      </mc:Choice>
      <mc:Fallback>
        <oleObject progId="Excel.Sheet.12" shapeId="6145" r:id="rId3"/>
      </mc:Fallback>
    </mc:AlternateContent>
  </oleObjec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Yield_Gap_Chart!$A$3:$A$14</xm:f>
          </x14:formula1>
          <xm:sqref>E5</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dimension ref="B1:X6"/>
  <sheetViews>
    <sheetView workbookViewId="0">
      <selection activeCell="P6" sqref="P6"/>
    </sheetView>
  </sheetViews>
  <sheetFormatPr defaultColWidth="9.140625" defaultRowHeight="15"/>
  <cols>
    <col min="1" max="2" width="9.140625" style="1"/>
    <col min="3" max="4" width="12.85546875" style="1"/>
    <col min="5" max="5" width="9.140625" style="1"/>
    <col min="6" max="6" width="12.85546875" style="1"/>
    <col min="7" max="7" width="9.140625" style="1"/>
    <col min="8" max="8" width="12.85546875" style="1"/>
    <col min="9" max="9" width="11.7109375" style="1" customWidth="1"/>
    <col min="10" max="10" width="10.5703125" style="1" customWidth="1"/>
    <col min="11" max="11" width="15.140625" style="1" customWidth="1"/>
    <col min="12" max="15" width="9.140625" style="1"/>
    <col min="16" max="16" width="11.7109375" style="1"/>
    <col min="17" max="17" width="9.140625" style="1"/>
    <col min="18" max="19" width="12.85546875" style="1"/>
    <col min="20" max="22" width="9.140625" style="1"/>
    <col min="23" max="23" width="12.85546875" style="1"/>
    <col min="24" max="16384" width="9.140625" style="1"/>
  </cols>
  <sheetData>
    <row r="1" spans="2:24" ht="21">
      <c r="F1" s="2"/>
      <c r="P1" s="3" t="s">
        <v>87</v>
      </c>
      <c r="Q1" s="5" t="str">
        <f>Interpretation</f>
        <v>Some Climate Stress, Moderate YP</v>
      </c>
      <c r="S1" s="1" t="s">
        <v>101</v>
      </c>
      <c r="W1" s="3" t="s">
        <v>102</v>
      </c>
      <c r="X1" s="3" t="str">
        <f>Label</f>
        <v>Medium YG + SI &lt; 1</v>
      </c>
    </row>
    <row r="2" spans="2:24">
      <c r="S2" s="1" t="e">
        <f>Avg_SI</f>
        <v>#REF!</v>
      </c>
      <c r="U2" s="3" t="s">
        <v>103</v>
      </c>
      <c r="V2" s="3" t="str">
        <f>Investment</f>
        <v>Low Opportunity</v>
      </c>
      <c r="W2" s="1" t="s">
        <v>104</v>
      </c>
    </row>
    <row r="3" spans="2:24" ht="18.95" customHeight="1">
      <c r="B3" s="3"/>
      <c r="W3" s="1" t="e">
        <f>Avg_YP</f>
        <v>#REF!</v>
      </c>
    </row>
    <row r="6" spans="2:24">
      <c r="G6" s="4">
        <v>9701</v>
      </c>
    </row>
  </sheetData>
  <pageMargins left="0.75" right="0.75" top="1" bottom="1" header="0.5" footer="0.5"/>
  <drawing r:id="rId1"/>
  <legacyDrawing r:id="rId2"/>
  <oleObjects>
    <mc:AlternateContent xmlns:mc="http://schemas.openxmlformats.org/markup-compatibility/2006">
      <mc:Choice Requires="x14">
        <oleObject progId="Excel.Sheet.12" shapeId="12291" r:id="rId3">
          <objectPr defaultSize="0" altText="" r:id="rId4">
            <anchor moveWithCells="1">
              <from>
                <xdr:col>11</xdr:col>
                <xdr:colOff>590550</xdr:colOff>
                <xdr:row>7</xdr:row>
                <xdr:rowOff>161925</xdr:rowOff>
              </from>
              <to>
                <xdr:col>16</xdr:col>
                <xdr:colOff>390525</xdr:colOff>
                <xdr:row>19</xdr:row>
                <xdr:rowOff>76200</xdr:rowOff>
              </to>
            </anchor>
          </objectPr>
        </oleObject>
      </mc:Choice>
      <mc:Fallback>
        <oleObject progId="Excel.Sheet.12" shapeId="12291" r:id="rId3"/>
      </mc:Fallback>
    </mc:AlternateContent>
  </oleObjec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Yield_Gap_Chart!$A$3:$A$14</xm:f>
          </x14:formula1>
          <xm:sqref>G6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
  <dimension ref="A1:J22"/>
  <sheetViews>
    <sheetView workbookViewId="0">
      <selection activeCell="C2" sqref="C2"/>
    </sheetView>
  </sheetViews>
  <sheetFormatPr defaultColWidth="9.140625" defaultRowHeight="15"/>
  <cols>
    <col min="1" max="1" width="20.42578125" customWidth="1"/>
    <col min="2" max="2" width="26.140625" customWidth="1"/>
    <col min="3" max="3" width="38.5703125" customWidth="1"/>
    <col min="4" max="4" width="51.5703125" customWidth="1"/>
    <col min="5" max="5" width="25.85546875" customWidth="1"/>
    <col min="6" max="6" width="39" customWidth="1"/>
    <col min="7" max="7" width="21.5703125" customWidth="1"/>
    <col min="8" max="8" width="9.140625" customWidth="1"/>
  </cols>
  <sheetData>
    <row r="1" spans="1:10">
      <c r="A1" s="6" t="s">
        <v>49</v>
      </c>
      <c r="B1" s="19" t="s">
        <v>105</v>
      </c>
      <c r="C1" s="19" t="s">
        <v>82</v>
      </c>
      <c r="D1" s="26"/>
      <c r="E1" s="8" t="s">
        <v>106</v>
      </c>
      <c r="F1" s="9" t="s">
        <v>87</v>
      </c>
    </row>
    <row r="2" spans="1:10">
      <c r="A2" s="10">
        <v>9101</v>
      </c>
      <c r="B2" s="20">
        <v>9.5749999999999993</v>
      </c>
      <c r="C2" s="21">
        <v>0.96629690073435304</v>
      </c>
      <c r="D2" s="11" t="str" cm="1">
        <f t="array" ref="D2">_xlfn.IFS(($B2&gt;=$I$5)*($C2&lt;1),"High YG + Climate",($B2&gt;=$I$5)*($C2&gt;1),"High YG + Management",($B2&gt;=$I$5)*($C2=1),"High YG + Normal",($B2&lt;=$I$6)*(C2&lt;1),"Low YG + Climate",(B2&lt;=$I$6)*(C2&gt;1),"Low YG + Management",(B2&lt;=$I$6)*(C2=1),"Low YG + Normal",(B2&gt;$I$6)*(B2&lt;$I$5)*(C2&lt;1),"Medium YG + Climate",(B2&gt;$I$6)*(B2&lt;$I$5)*(C2&gt;1),"Medium YG + Management",(B2&gt;$I$6)*(B2&lt;$I$5)*(C2=1),"Medium YG + Normal")</f>
        <v>Low YG + Climate</v>
      </c>
      <c r="E2" s="11" t="str" cm="1">
        <f t="array" ref="E2">_xlfn.IFS(AND($B2&gt;=$I$5,$C2&lt;1),"High YG + Climate",AND($B2&gt;=$I$5,$C2&gt;1),"High YG + Management",AND($B2&gt;=$I$5,$C2=1),"High YG + Normal",AND($B2&lt;=$I$6,$C2&lt;1),"Low YG + Climate",AND($B2&lt;=$I$6,$C2&gt;1),"Low YG + Management",AND($B2&lt;=$I$6,$C2=1),"Low YG + Normal",AND($B2&gt;$I$6,$B2&lt;$I$5,$C2&lt;1),"Medium YG + Climate",AND($B2&gt;$I$6,$B2&lt;$I$5,$C2&gt;1),"Medium YG + Management",AND($B2&gt;$I$6,$B2&lt;$I$5,$C2=1),"Medium YG + Normal")</f>
        <v>Low YG + Climate</v>
      </c>
      <c r="F2" s="12" t="s">
        <v>107</v>
      </c>
    </row>
    <row r="3" spans="1:10">
      <c r="A3" s="13">
        <v>9301</v>
      </c>
      <c r="B3" s="22">
        <v>12.535</v>
      </c>
      <c r="C3" s="23">
        <v>1.0477183950247499</v>
      </c>
      <c r="D3" s="14" t="str" cm="1">
        <f t="array" ref="D3">_xlfn.IFS(($B3&gt;=$I$5)*($C3&lt;1),"High YG + Climate",($B3&gt;=$I$5)*($C3&gt;1),"High YG + Management",($B3&gt;=$I$5)*($C3=1),"High YG + Normal",($B3&lt;=$I$6)*(C3&lt;1),"Low YG + Climate",(B3&lt;=$I$6)*(C3&gt;1),"Low YG + Management",(B3&lt;=$I$6)*(C3=1),"Low YG + Normal",(B3&gt;$I$6)*(B3&lt;$I$5)*(C3&lt;1),"Medium YG + Climate",(B3&gt;$I$6)*(B3&lt;$I$5)*(C3&gt;1),"Medium YG + Management",(B3&gt;$I$6)*(B3&lt;$I$5)*(C3=1),"Medium YG + Normal")</f>
        <v>Medium YG + Management</v>
      </c>
      <c r="E3" s="14" t="str" cm="1">
        <f t="array" ref="E3">_xlfn.IFS(AND($B3&gt;=$I$5,$C3&lt;1),"High YG + Climate",AND($B3&gt;=$I$5,$C3&gt;1),"High YG + Management",AND($B3&gt;=$I$5,$C3=1),"High YG + Normal",AND($B3&lt;=$I$6,$C3&lt;1),"Low YG + Climate",AND($B3&lt;=$I$6,$C3&gt;1),"Low YG + Management",AND($B3&lt;=$I$6,$C3=1),"Low YG + Normal",AND($B3&gt;$I$6,$B3&lt;$I$5,$C3&lt;1),"Medium YG + Climate",AND($B3&gt;$I$6,$B3&lt;$I$5,$C3&gt;1),"Medium YG + Management",AND($B3&gt;$I$6,$B3&lt;$I$5,$C3=1),"Medium YG + Normal")</f>
        <v>Medium YG + Management</v>
      </c>
      <c r="F3" s="15" t="s">
        <v>108</v>
      </c>
      <c r="I3" s="108" t="s">
        <v>109</v>
      </c>
      <c r="J3" s="108"/>
    </row>
    <row r="4" spans="1:10">
      <c r="A4" s="13">
        <v>9401</v>
      </c>
      <c r="B4" s="22">
        <v>11.6938888888889</v>
      </c>
      <c r="C4" s="23">
        <v>1.0324475523521699</v>
      </c>
      <c r="D4" s="14" t="str" cm="1">
        <f t="array" ref="D4">_xlfn.IFS(($B4&gt;=$I$5)*($C4&lt;1),"High YG + Climate",($B4&gt;=$I$5)*($C4&gt;1),"High YG + Management",($B4&gt;=$I$5)*($C4=1),"High YG + Normal",($B4&lt;=$I$6)*(C4&lt;1),"Low YG + Climate",(B4&lt;=$I$6)*(C4&gt;1),"Low YG + Management",(B4&lt;=$I$6)*(C4=1),"Low YG + Normal",(B4&gt;$I$6)*(B4&lt;$I$5)*(C4&lt;1),"Medium YG + Climate",(B4&gt;$I$6)*(B4&lt;$I$5)*(C4&gt;1),"Medium YG + Management",(B4&gt;$I$6)*(B4&lt;$I$5)*(C4=1),"Medium YG + Normal")</f>
        <v>Low YG + Management</v>
      </c>
      <c r="E4" s="14" t="str" cm="1">
        <f t="array" ref="E4">_xlfn.IFS(AND($B4&gt;=$I$5,$C4&lt;1),"High YG + Climate",AND($B4&gt;=$I$5,$C4&gt;1),"High YG + Management",AND($B4&gt;=$I$5,$C4=1),"High YG + Normal",AND($B4&lt;=$I$6,$C4&lt;1),"Low YG + Climate",AND($B4&lt;=$I$6,$C4&gt;1),"Low YG + Management",AND($B4&lt;=$I$6,$C4=1),"Low YG + Normal",AND($B4&gt;$I$6,$B4&lt;$I$5,$C4&lt;1),"Medium YG + Climate",AND($B4&gt;$I$6,$B4&lt;$I$5,$C4&gt;1),"Medium YG + Management",AND($B4&gt;$I$6,$B4&lt;$I$5,$C4=1),"Medium YG + Normal")</f>
        <v>Low YG + Management</v>
      </c>
      <c r="F4" s="15" t="s">
        <v>110</v>
      </c>
      <c r="I4" s="40" t="s">
        <v>111</v>
      </c>
      <c r="J4" s="40" t="s">
        <v>87</v>
      </c>
    </row>
    <row r="5" spans="1:10">
      <c r="A5" s="13">
        <v>9501</v>
      </c>
      <c r="B5" s="22">
        <v>13.976600877872601</v>
      </c>
      <c r="C5" s="23">
        <v>1.01292284144557</v>
      </c>
      <c r="D5" s="14" t="str" cm="1">
        <f t="array" ref="D5">_xlfn.IFS(($B5&gt;=$I$5)*($C5&lt;1),"High YG + Climate",($B5&gt;=$I$5)*($C5&gt;1),"High YG + Management",($B5&gt;=$I$5)*($C5=1),"High YG + Normal",($B5&lt;=$I$6)*(C5&lt;1),"Low YG + Climate",(B5&lt;=$I$6)*(C5&gt;1),"Low YG + Management",(B5&lt;=$I$6)*(C5=1),"Low YG + Normal",(B5&gt;$I$6)*(B5&lt;$I$5)*(C5&lt;1),"Medium YG + Climate",(B5&gt;$I$6)*(B5&lt;$I$5)*(C5&gt;1),"Medium YG + Management",(B5&gt;$I$6)*(B5&lt;$I$5)*(C5=1),"Medium YG + Normal")</f>
        <v>High YG + Management</v>
      </c>
      <c r="E5" s="14" t="str" cm="1">
        <f t="array" ref="E5">_xlfn.IFS(AND($B5&gt;=$I$5,$C5&lt;1),"High YG + Climate",AND($B5&gt;=$I$5,$C5&gt;1),"High YG + Management",AND($B5&gt;=$I$5,$C5=1),"High YG + Normal",AND($B5&lt;=$I$6,$C5&lt;1),"Low YG + Climate",AND($B5&lt;=$I$6,$C5&gt;1),"Low YG + Management",AND($B5&lt;=$I$6,$C5=1),"Low YG + Normal",AND($B5&gt;$I$6,$B5&lt;$I$5,$C5&lt;1),"Medium YG + Climate",AND($B5&gt;$I$6,$B5&lt;$I$5,$C5&gt;1),"Medium YG + Management",AND($B5&gt;$I$6,$B5&lt;$I$5,$C5=1),"Medium YG + Normal")</f>
        <v>High YG + Management</v>
      </c>
      <c r="F5" s="15" t="s">
        <v>112</v>
      </c>
      <c r="I5" s="41">
        <f>_xlfn.PERCENTILE.INC('Yield_Sensitivity (2)'!L2:L108,0.75)</f>
        <v>13.5</v>
      </c>
      <c r="J5" s="42" t="s">
        <v>113</v>
      </c>
    </row>
    <row r="6" spans="1:10">
      <c r="A6" s="13">
        <v>9701</v>
      </c>
      <c r="B6" s="22">
        <v>13.2062222222222</v>
      </c>
      <c r="C6" s="23">
        <v>1.04932167544737</v>
      </c>
      <c r="D6" s="14" t="str" cm="1">
        <f t="array" ref="D6">_xlfn.IFS(($B6&gt;=$I$5)*($C6&lt;1),"High YG + Climate",($B6&gt;=$I$5)*($C6&gt;1),"High YG + Management",($B6&gt;=$I$5)*($C6=1),"High YG + Normal",($B6&lt;=$I$6)*(C6&lt;1),"Low YG + Climate",(B6&lt;=$I$6)*(C6&gt;1),"Low YG + Management",(B6&lt;=$I$6)*(C6=1),"Low YG + Normal",(B6&gt;$I$6)*(B6&lt;$I$5)*(C6&lt;1),"Medium YG + Climate",(B6&gt;$I$6)*(B6&lt;$I$5)*(C6&gt;1),"Medium YG + Management",(B6&gt;$I$6)*(B6&lt;$I$5)*(C6=1),"Medium YG + Normal")</f>
        <v>Medium YG + Management</v>
      </c>
      <c r="E6" s="14" t="str" cm="1">
        <f t="array" ref="E6">_xlfn.IFS(AND($B6&gt;=$I$5,$C6&lt;1),"High YG + Climate",AND($B6&gt;=$I$5,$C6&gt;1),"High YG + Management",AND($B6&gt;=$I$5,$C6=1),"High YG + Normal",AND($B6&lt;=$I$6,$C6&lt;1),"Low YG + Climate",AND($B6&lt;=$I$6,$C6&gt;1),"Low YG + Management",AND($B6&lt;=$I$6,$C6=1),"Low YG + Normal",AND($B6&gt;$I$6,$B6&lt;$I$5,$C6&lt;1),"Medium YG + Climate",AND($B6&gt;$I$6,$B6&lt;$I$5,$C6&gt;1),"Medium YG + Management",AND($B6&gt;$I$6,$B6&lt;$I$5,$C6=1),"Medium YG + Normal")</f>
        <v>Medium YG + Management</v>
      </c>
      <c r="F6" s="15" t="s">
        <v>108</v>
      </c>
      <c r="I6" s="41">
        <f>_xlfn.PERCENTILE.INC('Yield_Sensitivity (2)'!L2:L108,0.25)</f>
        <v>11.922499999999999</v>
      </c>
      <c r="J6" s="42" t="s">
        <v>114</v>
      </c>
    </row>
    <row r="7" spans="1:10">
      <c r="A7" s="13">
        <v>9801</v>
      </c>
      <c r="B7" s="22">
        <v>12.842555555555601</v>
      </c>
      <c r="C7" s="23">
        <v>0.99139710055460994</v>
      </c>
      <c r="D7" s="14" t="str" cm="1">
        <f t="array" ref="D7">_xlfn.IFS(($B7&gt;=$I$5)*($C7&lt;1),"High YG + Climate",($B7&gt;=$I$5)*($C7&gt;1),"High YG + Management",($B7&gt;=$I$5)*($C7=1),"High YG + Normal",($B7&lt;=$I$6)*(C7&lt;1),"Low YG + Climate",(B7&lt;=$I$6)*(C7&gt;1),"Low YG + Management",(B7&lt;=$I$6)*(C7=1),"Low YG + Normal",(B7&gt;$I$6)*(B7&lt;$I$5)*(C7&lt;1),"Medium YG + Climate",(B7&gt;$I$6)*(B7&lt;$I$5)*(C7&gt;1),"Medium YG + Management",(B7&gt;$I$6)*(B7&lt;$I$5)*(C7=1),"Medium YG + Normal")</f>
        <v>Medium YG + Climate</v>
      </c>
      <c r="E7" s="14" t="str" cm="1">
        <f t="array" ref="E7">_xlfn.IFS(AND($B7&gt;=$I$5,$C7&lt;1),"High YG + Climate",AND($B7&gt;=$I$5,$C7&gt;1),"High YG + Management",AND($B7&gt;=$I$5,$C7=1),"High YG + Normal",AND($B7&lt;=$I$6,$C7&lt;1),"Low YG + Climate",AND($B7&lt;=$I$6,$C7&gt;1),"Low YG + Management",AND($B7&lt;=$I$6,$C7=1),"Low YG + Normal",AND($B7&gt;$I$6,$B7&lt;$I$5,$C7&lt;1),"Medium YG + Climate",AND($B7&gt;$I$6,$B7&lt;$I$5,$C7&gt;1),"Medium YG + Management",AND($B7&gt;$I$6,$B7&lt;$I$5,$C7=1),"Medium YG + Normal")</f>
        <v>Medium YG + Climate</v>
      </c>
      <c r="F7" s="15" t="s">
        <v>115</v>
      </c>
      <c r="I7" s="41">
        <f>_xlfn.PERCENTILE.INC('Yield_Sensitivity (2)'!L3:L109,0.5)</f>
        <v>12.7</v>
      </c>
      <c r="J7" s="43" t="s">
        <v>116</v>
      </c>
    </row>
    <row r="8" spans="1:10">
      <c r="A8" s="13">
        <v>9901</v>
      </c>
      <c r="B8" s="22">
        <v>11.4033977348566</v>
      </c>
      <c r="C8" s="23">
        <v>1.01118980358863</v>
      </c>
      <c r="D8" s="14" t="str" cm="1">
        <f t="array" ref="D8">_xlfn.IFS(($B8&gt;=$I$5)*($C8&lt;1),"High YG + Climate",($B8&gt;=$I$5)*($C8&gt;1),"High YG + Management",($B8&gt;=$I$5)*($C8=1),"High YG + Normal",($B8&lt;=$I$6)*(C8&lt;1),"Low YG + Climate",(B8&lt;=$I$6)*(C8&gt;1),"Low YG + Management",(B8&lt;=$I$6)*(C8=1),"Low YG + Normal",(B8&gt;$I$6)*(B8&lt;$I$5)*(C8&lt;1),"Medium YG + Climate",(B8&gt;$I$6)*(B8&lt;$I$5)*(C8&gt;1),"Medium YG + Management",(B8&gt;$I$6)*(B8&lt;$I$5)*(C8=1),"Medium YG + Normal")</f>
        <v>Low YG + Management</v>
      </c>
      <c r="E8" s="14" t="str" cm="1">
        <f t="array" ref="E8">_xlfn.IFS(AND($B8&gt;=$I$5,$C8&lt;1),"High YG + Climate",AND($B8&gt;=$I$5,$C8&gt;1),"High YG + Management",AND($B8&gt;=$I$5,$C8=1),"High YG + Normal",AND($B8&lt;=$I$6,$C8&lt;1),"Low YG + Climate",AND($B8&lt;=$I$6,$C8&gt;1),"Low YG + Management",AND($B8&lt;=$I$6,$C8=1),"Low YG + Normal",AND($B8&gt;$I$6,$B8&lt;$I$5,$C8&lt;1),"Medium YG + Climate",AND($B8&gt;$I$6,$B8&lt;$I$5,$C8&gt;1),"Medium YG + Management",AND($B8&gt;$I$6,$B8&lt;$I$5,$C8=1),"Medium YG + Normal")</f>
        <v>Low YG + Management</v>
      </c>
      <c r="F8" s="15" t="s">
        <v>110</v>
      </c>
      <c r="I8" s="108" t="s">
        <v>117</v>
      </c>
      <c r="J8" s="108"/>
    </row>
    <row r="9" spans="1:10">
      <c r="A9" s="13">
        <v>10101</v>
      </c>
      <c r="B9" s="22">
        <v>9.8128223501127003</v>
      </c>
      <c r="C9" s="23">
        <v>0.99464684364272804</v>
      </c>
      <c r="D9" s="14" t="str" cm="1">
        <f t="array" ref="D9">_xlfn.IFS(($B9&gt;=$I$5)*($C9&lt;1),"High YG + Climate",($B9&gt;=$I$5)*($C9&gt;1),"High YG + Management",($B9&gt;=$I$5)*($C9=1),"High YG + Normal",($B9&lt;=$I$6)*(C9&lt;1),"Low YG + Climate",(B9&lt;=$I$6)*(C9&gt;1),"Low YG + Management",(B9&lt;=$I$6)*(C9=1),"Low YG + Normal",(B9&gt;$I$6)*(B9&lt;$I$5)*(C9&lt;1),"Medium YG + Climate",(B9&gt;$I$6)*(B9&lt;$I$5)*(C9&gt;1),"Medium YG + Management",(B9&gt;$I$6)*(B9&lt;$I$5)*(C9=1),"Medium YG + Normal")</f>
        <v>Low YG + Climate</v>
      </c>
      <c r="E9" s="14" t="str" cm="1">
        <f t="array" ref="E9">_xlfn.IFS(AND($B9&gt;=$I$5,$C9&lt;1),"High YG + Climate",AND($B9&gt;=$I$5,$C9&gt;1),"High YG + Management",AND($B9&gt;=$I$5,$C9=1),"High YG + Normal",AND($B9&lt;=$I$6,$C9&lt;1),"Low YG + Climate",AND($B9&lt;=$I$6,$C9&gt;1),"Low YG + Management",AND($B9&lt;=$I$6,$C9=1),"Low YG + Normal",AND($B9&gt;$I$6,$B9&lt;$I$5,$C9&lt;1),"Medium YG + Climate",AND($B9&gt;$I$6,$B9&lt;$I$5,$C9&gt;1),"Medium YG + Management",AND($B9&gt;$I$6,$B9&lt;$I$5,$C9=1),"Medium YG + Normal")</f>
        <v>Low YG + Climate</v>
      </c>
      <c r="F9" s="15" t="s">
        <v>107</v>
      </c>
      <c r="I9" s="40" t="s">
        <v>96</v>
      </c>
      <c r="J9" s="40" t="s">
        <v>87</v>
      </c>
    </row>
    <row r="10" spans="1:10">
      <c r="A10" s="13">
        <v>10301</v>
      </c>
      <c r="B10" s="22">
        <v>13.6415555555556</v>
      </c>
      <c r="C10" s="23">
        <v>0.94974882506971103</v>
      </c>
      <c r="D10" s="14" t="str" cm="1">
        <f t="array" ref="D10">_xlfn.IFS(($B10&gt;=$I$5)*($C10&lt;1),"High YG + Climate",($B10&gt;=$I$5)*($C10&gt;1),"High YG + Management",($B10&gt;=$I$5)*($C10=1),"High YG + Normal",($B10&lt;=$I$6)*(C10&lt;1),"Low YG + Climate",(B10&lt;=$I$6)*(C10&gt;1),"Low YG + Management",(B10&lt;=$I$6)*(C10=1),"Low YG + Normal",(B10&gt;$I$6)*(B10&lt;$I$5)*(C10&lt;1),"Medium YG + Climate",(B10&gt;$I$6)*(B10&lt;$I$5)*(C10&gt;1),"Medium YG + Management",(B10&gt;$I$6)*(B10&lt;$I$5)*(C10=1),"Medium YG + Normal")</f>
        <v>High YG + Climate</v>
      </c>
      <c r="E10" s="14" t="str" cm="1">
        <f t="array" ref="E10">_xlfn.IFS(AND($B10&gt;=$I$5,$C10&lt;1),"High YG + Climate",AND($B10&gt;=$I$5,$C10&gt;1),"High YG + Management",AND($B10&gt;=$I$5,$C10=1),"High YG + Normal",AND($B10&lt;=$I$6,$C10&lt;1),"Low YG + Climate",AND($B10&lt;=$I$6,$C10&gt;1),"Low YG + Management",AND($B10&lt;=$I$6,$C10=1),"Low YG + Normal",AND($B10&gt;$I$6,$B10&lt;$I$5,$C10&lt;1),"Medium YG + Climate",AND($B10&gt;$I$6,$B10&lt;$I$5,$C10&gt;1),"Medium YG + Management",AND($B10&gt;$I$6,$B10&lt;$I$5,$C10=1),"Medium YG + Normal")</f>
        <v>High YG + Climate</v>
      </c>
      <c r="F10" s="15" t="s">
        <v>118</v>
      </c>
      <c r="I10" s="41" t="s">
        <v>119</v>
      </c>
      <c r="J10" s="41" t="s">
        <v>120</v>
      </c>
    </row>
    <row r="11" spans="1:10">
      <c r="A11" s="13">
        <v>10401</v>
      </c>
      <c r="B11" s="22">
        <v>13.561282944991</v>
      </c>
      <c r="C11" s="23">
        <v>1.03214395812949</v>
      </c>
      <c r="D11" s="14" t="str" cm="1">
        <f t="array" ref="D11">_xlfn.IFS(($B11&gt;=$I$5)*($C11&lt;1),"High YG + Climate",($B11&gt;=$I$5)*($C11&gt;1),"High YG + Management",($B11&gt;=$I$5)*($C11=1),"High YG + Normal",($B11&lt;=$I$6)*(C11&lt;1),"Low YG + Climate",(B11&lt;=$I$6)*(C11&gt;1),"Low YG + Management",(B11&lt;=$I$6)*(C11=1),"Low YG + Normal",(B11&gt;$I$6)*(B11&lt;$I$5)*(C11&lt;1),"Medium YG + Climate",(B11&gt;$I$6)*(B11&lt;$I$5)*(C11&gt;1),"Medium YG + Management",(B11&gt;$I$6)*(B11&lt;$I$5)*(C11=1),"Medium YG + Normal")</f>
        <v>High YG + Management</v>
      </c>
      <c r="E11" s="14" t="str" cm="1">
        <f t="array" ref="E11">_xlfn.IFS(AND($B11&gt;=$I$5,$C11&lt;1),"High YG + Climate",AND($B11&gt;=$I$5,$C11&gt;1),"High YG + Management",AND($B11&gt;=$I$5,$C11=1),"High YG + Normal",AND($B11&lt;=$I$6,$C11&lt;1),"Low YG + Climate",AND($B11&lt;=$I$6,$C11&gt;1),"Low YG + Management",AND($B11&lt;=$I$6,$C11=1),"Low YG + Normal",AND($B11&gt;$I$6,$B11&lt;$I$5,$C11&lt;1),"Medium YG + Climate",AND($B11&gt;$I$6,$B11&lt;$I$5,$C11&gt;1),"Medium YG + Management",AND($B11&gt;$I$6,$B11&lt;$I$5,$C11=1),"Medium YG + Normal")</f>
        <v>High YG + Management</v>
      </c>
      <c r="F11" s="15" t="s">
        <v>112</v>
      </c>
      <c r="I11" s="41" t="s">
        <v>92</v>
      </c>
      <c r="J11" s="41" t="s">
        <v>121</v>
      </c>
    </row>
    <row r="12" spans="1:10">
      <c r="A12" s="13">
        <v>10501</v>
      </c>
      <c r="B12" s="22">
        <v>13.4871111111111</v>
      </c>
      <c r="C12" s="23">
        <v>0.98117346972276598</v>
      </c>
      <c r="D12" s="14" t="str" cm="1">
        <f t="array" ref="D12">_xlfn.IFS(($B12&gt;=$I$5)*($C12&lt;1),"High YG + Climate",($B12&gt;=$I$5)*($C12&gt;1),"High YG + Management",($B12&gt;=$I$5)*($C12=1),"High YG + Normal",($B12&lt;=$I$6)*(C12&lt;1),"Low YG + Climate",(B12&lt;=$I$6)*(C12&gt;1),"Low YG + Management",(B12&lt;=$I$6)*(C12=1),"Low YG + Normal",(B12&gt;$I$6)*(B12&lt;$I$5)*(C12&lt;1),"Medium YG + Climate",(B12&gt;$I$6)*(B12&lt;$I$5)*(C12&gt;1),"Medium YG + Management",(B12&gt;$I$6)*(B12&lt;$I$5)*(C12=1),"Medium YG + Normal")</f>
        <v>Medium YG + Climate</v>
      </c>
      <c r="E12" s="14" t="str" cm="1">
        <f t="array" ref="E12">_xlfn.IFS(AND($B12&gt;=$I$5,$C12&lt;1),"High YG + Climate",AND($B12&gt;=$I$5,$C12&gt;1),"High YG + Management",AND($B12&gt;=$I$5,$C12=1),"High YG + Normal",AND($B12&lt;=$I$6,$C12&lt;1),"Low YG + Climate",AND($B12&lt;=$I$6,$C12&gt;1),"Low YG + Management",AND($B12&lt;=$I$6,$C12=1),"Low YG + Normal",AND($B12&gt;$I$6,$B12&lt;$I$5,$C12&lt;1),"Medium YG + Climate",AND($B12&gt;$I$6,$B12&lt;$I$5,$C12&gt;1),"Medium YG + Management",AND($B12&gt;$I$6,$B12&lt;$I$5,$C12=1),"Medium YG + Normal")</f>
        <v>Medium YG + Climate</v>
      </c>
      <c r="F12" s="15" t="s">
        <v>115</v>
      </c>
      <c r="I12" s="41" t="s">
        <v>90</v>
      </c>
      <c r="J12" s="41" t="s">
        <v>122</v>
      </c>
    </row>
    <row r="13" spans="1:10">
      <c r="A13" s="16">
        <v>10901</v>
      </c>
      <c r="B13" s="24">
        <v>12.9704444444444</v>
      </c>
      <c r="C13" s="25">
        <v>0.95017904504873996</v>
      </c>
      <c r="D13" s="17" t="str" cm="1">
        <f t="array" ref="D13">_xlfn.IFS(($B13&gt;=$I$5)*($C13&lt;1),"High YG + Climate",($B13&gt;=$I$5)*($C13&gt;1),"High YG + Management",($B13&gt;=$I$5)*($C13=1),"High YG + Normal",($B13&lt;=$I$6)*(C13&lt;1),"Low YG + Climate",(B13&lt;=$I$6)*(C13&gt;1),"Low YG + Management",(B13&lt;=$I$6)*(C13=1),"Low YG + Normal",(B13&gt;$I$6)*(B13&lt;$I$5)*(C13&lt;1),"Medium YG + Climate",(B13&gt;$I$6)*(B13&lt;$I$5)*(C13&gt;1),"Medium YG + Management",(B13&gt;$I$6)*(B13&lt;$I$5)*(C13=1),"Medium YG + Normal")</f>
        <v>Medium YG + Climate</v>
      </c>
      <c r="E13" s="17" t="str" cm="1">
        <f t="array" ref="E13">_xlfn.IFS(AND($B13&gt;=$I$5,$C13&lt;1),"High YG + Climate",AND($B13&gt;=$I$5,$C13&gt;1),"High YG + Management",AND($B13&gt;=$I$5,$C13=1),"High YG + Normal",AND($B13&lt;=$I$6,$C13&lt;1),"Low YG + Climate",AND($B13&lt;=$I$6,$C13&gt;1),"Low YG + Management",AND($B13&lt;=$I$6,$C13=1),"Low YG + Normal",AND($B13&gt;$I$6,$B13&lt;$I$5,$C13&lt;1),"Medium YG + Climate",AND($B13&gt;$I$6,$B13&lt;$I$5,$C13&gt;1),"Medium YG + Management",AND($B13&gt;$I$6,$B13&lt;$I$5,$C13=1),"Medium YG + Normal")</f>
        <v>Medium YG + Climate</v>
      </c>
      <c r="F13" s="18" t="s">
        <v>115</v>
      </c>
    </row>
    <row r="14" spans="1:10">
      <c r="G14" t="s">
        <v>123</v>
      </c>
    </row>
    <row r="16" spans="1:10">
      <c r="A16" s="27" t="s">
        <v>94</v>
      </c>
      <c r="B16" s="28" t="s">
        <v>102</v>
      </c>
      <c r="C16" s="27" t="s">
        <v>87</v>
      </c>
      <c r="D16" s="27" t="s">
        <v>124</v>
      </c>
    </row>
    <row r="17" spans="1:4">
      <c r="A17" s="29" t="s">
        <v>125</v>
      </c>
      <c r="B17" s="30" t="s">
        <v>126</v>
      </c>
      <c r="C17" s="31" t="s">
        <v>107</v>
      </c>
      <c r="D17" s="31" t="s">
        <v>127</v>
      </c>
    </row>
    <row r="18" spans="1:4">
      <c r="A18" s="32" t="s">
        <v>128</v>
      </c>
      <c r="B18" s="33" t="s">
        <v>129</v>
      </c>
      <c r="C18" s="34" t="s">
        <v>108</v>
      </c>
      <c r="D18" s="34" t="s">
        <v>130</v>
      </c>
    </row>
    <row r="19" spans="1:4">
      <c r="A19" s="32" t="s">
        <v>131</v>
      </c>
      <c r="B19" s="35" t="s">
        <v>132</v>
      </c>
      <c r="C19" s="36" t="s">
        <v>110</v>
      </c>
      <c r="D19" s="36" t="s">
        <v>133</v>
      </c>
    </row>
    <row r="20" spans="1:4">
      <c r="A20" s="32" t="s">
        <v>134</v>
      </c>
      <c r="B20" s="33" t="s">
        <v>135</v>
      </c>
      <c r="C20" s="34" t="s">
        <v>112</v>
      </c>
      <c r="D20" s="34" t="s">
        <v>136</v>
      </c>
    </row>
    <row r="21" spans="1:4">
      <c r="A21" s="32" t="s">
        <v>137</v>
      </c>
      <c r="B21" s="35" t="s">
        <v>138</v>
      </c>
      <c r="C21" s="36" t="s">
        <v>115</v>
      </c>
      <c r="D21" s="36" t="s">
        <v>139</v>
      </c>
    </row>
    <row r="22" spans="1:4">
      <c r="A22" s="37">
        <v>10301</v>
      </c>
      <c r="B22" s="38" t="s">
        <v>140</v>
      </c>
      <c r="C22" s="39" t="s">
        <v>118</v>
      </c>
      <c r="D22" s="39" t="s">
        <v>141</v>
      </c>
    </row>
  </sheetData>
  <mergeCells count="2">
    <mergeCell ref="I3:J3"/>
    <mergeCell ref="I8:J8"/>
  </mergeCells>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dimension ref="A1:G28"/>
  <sheetViews>
    <sheetView workbookViewId="0">
      <selection activeCell="F17" sqref="F17"/>
    </sheetView>
  </sheetViews>
  <sheetFormatPr defaultColWidth="9.140625" defaultRowHeight="15"/>
  <cols>
    <col min="1" max="3" width="23.42578125" customWidth="1"/>
    <col min="4" max="4" width="32.7109375" customWidth="1"/>
    <col min="5" max="6" width="23.42578125" customWidth="1"/>
    <col min="7" max="7" width="23.5703125" customWidth="1"/>
  </cols>
  <sheetData>
    <row r="1" spans="1:7" ht="15.75" thickBot="1"/>
    <row r="2" spans="1:7" ht="15.75" thickBot="1">
      <c r="A2" s="6" t="s">
        <v>49</v>
      </c>
      <c r="B2" s="8" t="s">
        <v>102</v>
      </c>
      <c r="C2" s="8" t="s">
        <v>106</v>
      </c>
      <c r="D2" s="8" t="s">
        <v>87</v>
      </c>
      <c r="E2" s="9" t="s">
        <v>142</v>
      </c>
    </row>
    <row r="3" spans="1:7">
      <c r="A3" s="10">
        <v>9101</v>
      </c>
      <c r="B3" s="115" t="s">
        <v>143</v>
      </c>
      <c r="C3" s="11" t="s">
        <v>126</v>
      </c>
      <c r="D3" s="11" t="s">
        <v>107</v>
      </c>
      <c r="E3" s="114" t="s">
        <v>151</v>
      </c>
    </row>
    <row r="4" spans="1:7">
      <c r="A4" s="13">
        <v>9301</v>
      </c>
      <c r="B4" s="111" t="s">
        <v>145</v>
      </c>
      <c r="C4" s="14" t="s">
        <v>129</v>
      </c>
      <c r="D4" s="14" t="s">
        <v>108</v>
      </c>
      <c r="E4" s="15" t="s">
        <v>146</v>
      </c>
      <c r="F4" s="111"/>
      <c r="G4" s="71" t="s">
        <v>59</v>
      </c>
    </row>
    <row r="5" spans="1:7">
      <c r="A5" s="13">
        <v>9401</v>
      </c>
      <c r="B5" s="111" t="s">
        <v>147</v>
      </c>
      <c r="C5" s="14" t="s">
        <v>132</v>
      </c>
      <c r="D5" s="14" t="s">
        <v>110</v>
      </c>
      <c r="E5" s="15" t="s">
        <v>144</v>
      </c>
      <c r="F5" s="112" t="s">
        <v>102</v>
      </c>
      <c r="G5" s="14" t="str">
        <f>_xlfn.XLOOKUP(ClimateZ,A3:A14,B3:B14)</f>
        <v>Medium YG + SI &lt; 1</v>
      </c>
    </row>
    <row r="6" spans="1:7">
      <c r="A6" s="13">
        <v>9501</v>
      </c>
      <c r="B6" s="111" t="s">
        <v>148</v>
      </c>
      <c r="C6" s="14" t="s">
        <v>135</v>
      </c>
      <c r="D6" s="14" t="s">
        <v>112</v>
      </c>
      <c r="E6" s="15" t="s">
        <v>149</v>
      </c>
      <c r="F6" s="112" t="s">
        <v>87</v>
      </c>
      <c r="G6" s="14" t="str">
        <f>_xlfn.XLOOKUP(ClimateZ,A3:A14,D3:D14)</f>
        <v>Some Climate Stress, Moderate YP</v>
      </c>
    </row>
    <row r="7" spans="1:7">
      <c r="A7" s="13">
        <v>9701</v>
      </c>
      <c r="B7" s="111" t="s">
        <v>145</v>
      </c>
      <c r="C7" s="14" t="s">
        <v>129</v>
      </c>
      <c r="D7" s="14" t="s">
        <v>108</v>
      </c>
      <c r="E7" s="15" t="s">
        <v>146</v>
      </c>
      <c r="F7" s="112" t="s">
        <v>103</v>
      </c>
      <c r="G7" s="14" t="str">
        <f>_xlfn.XLOOKUP(ClimateZ,A3:A14,E3:E14)</f>
        <v>Low Opportunity</v>
      </c>
    </row>
    <row r="8" spans="1:7">
      <c r="A8" s="13">
        <v>9801</v>
      </c>
      <c r="B8" s="111" t="s">
        <v>150</v>
      </c>
      <c r="C8" s="14" t="s">
        <v>138</v>
      </c>
      <c r="D8" s="14" t="s">
        <v>115</v>
      </c>
      <c r="E8" s="15" t="s">
        <v>151</v>
      </c>
    </row>
    <row r="9" spans="1:7">
      <c r="A9" s="13">
        <v>9901</v>
      </c>
      <c r="B9" s="111" t="s">
        <v>147</v>
      </c>
      <c r="C9" s="14" t="s">
        <v>132</v>
      </c>
      <c r="D9" s="14" t="s">
        <v>110</v>
      </c>
      <c r="E9" s="15" t="s">
        <v>151</v>
      </c>
    </row>
    <row r="10" spans="1:7">
      <c r="A10" s="13">
        <v>10101</v>
      </c>
      <c r="B10" s="111" t="s">
        <v>147</v>
      </c>
      <c r="C10" s="14" t="s">
        <v>126</v>
      </c>
      <c r="D10" s="14" t="s">
        <v>107</v>
      </c>
      <c r="E10" s="15" t="s">
        <v>151</v>
      </c>
    </row>
    <row r="11" spans="1:7">
      <c r="A11" s="13">
        <v>10301</v>
      </c>
      <c r="B11" s="111" t="s">
        <v>152</v>
      </c>
      <c r="C11" s="14" t="s">
        <v>140</v>
      </c>
      <c r="D11" s="14" t="s">
        <v>118</v>
      </c>
      <c r="E11" s="113" t="s">
        <v>153</v>
      </c>
    </row>
    <row r="12" spans="1:7">
      <c r="A12" s="13">
        <v>10401</v>
      </c>
      <c r="B12" s="111" t="s">
        <v>148</v>
      </c>
      <c r="C12" s="14" t="s">
        <v>135</v>
      </c>
      <c r="D12" s="14" t="s">
        <v>112</v>
      </c>
      <c r="E12" s="15" t="s">
        <v>154</v>
      </c>
    </row>
    <row r="13" spans="1:7">
      <c r="A13" s="13">
        <v>10501</v>
      </c>
      <c r="B13" s="111" t="s">
        <v>150</v>
      </c>
      <c r="C13" s="14" t="s">
        <v>138</v>
      </c>
      <c r="D13" s="14" t="s">
        <v>115</v>
      </c>
      <c r="E13" s="15" t="s">
        <v>151</v>
      </c>
    </row>
    <row r="14" spans="1:7" ht="15.75" thickBot="1">
      <c r="A14" s="16">
        <v>10901</v>
      </c>
      <c r="B14" s="116" t="s">
        <v>150</v>
      </c>
      <c r="C14" s="17" t="s">
        <v>138</v>
      </c>
      <c r="D14" s="17" t="s">
        <v>115</v>
      </c>
      <c r="E14" s="18" t="s">
        <v>151</v>
      </c>
    </row>
    <row r="15" spans="1:7" ht="15.75" thickBot="1"/>
    <row r="16" spans="1:7">
      <c r="A16" s="6" t="s">
        <v>49</v>
      </c>
      <c r="B16" s="19" t="s">
        <v>105</v>
      </c>
      <c r="C16" s="19" t="s">
        <v>82</v>
      </c>
    </row>
    <row r="17" spans="1:5">
      <c r="A17" s="10">
        <v>9101</v>
      </c>
      <c r="B17" s="20">
        <v>9.5749999999999993</v>
      </c>
      <c r="C17" s="21">
        <v>0.96629690073435304</v>
      </c>
    </row>
    <row r="18" spans="1:5">
      <c r="A18" s="13">
        <v>9301</v>
      </c>
      <c r="B18" s="22">
        <v>12.535</v>
      </c>
      <c r="C18" s="23">
        <v>1.0477183950247499</v>
      </c>
    </row>
    <row r="19" spans="1:5">
      <c r="A19" s="13">
        <v>9401</v>
      </c>
      <c r="B19" s="22">
        <v>11.6938888888889</v>
      </c>
      <c r="C19" s="110">
        <v>1.0324475523521699</v>
      </c>
      <c r="D19" s="14"/>
      <c r="E19" s="71" t="s">
        <v>59</v>
      </c>
    </row>
    <row r="20" spans="1:5">
      <c r="A20" s="13">
        <v>9501</v>
      </c>
      <c r="B20" s="22">
        <v>13.976600877872601</v>
      </c>
      <c r="C20" s="110">
        <v>1.01292284144557</v>
      </c>
      <c r="D20" s="109" t="s">
        <v>82</v>
      </c>
      <c r="E20" s="14">
        <f>_xlfn.XLOOKUP(ClimateZ, A17:A28,C17:C28)</f>
        <v>0.99139710055460994</v>
      </c>
    </row>
    <row r="21" spans="1:5">
      <c r="A21" s="13">
        <v>9701</v>
      </c>
      <c r="B21" s="22">
        <v>13.2062222222222</v>
      </c>
      <c r="C21" s="110">
        <v>1.04932167544737</v>
      </c>
      <c r="D21" s="109" t="s">
        <v>105</v>
      </c>
      <c r="E21" s="14">
        <f>_xlfn.XLOOKUP(ClimateZ, A17:A28,B17:B28)</f>
        <v>12.842555555555601</v>
      </c>
    </row>
    <row r="22" spans="1:5">
      <c r="A22" s="13">
        <v>9801</v>
      </c>
      <c r="B22" s="22">
        <v>12.842555555555601</v>
      </c>
      <c r="C22" s="23">
        <v>0.99139710055460994</v>
      </c>
    </row>
    <row r="23" spans="1:5">
      <c r="A23" s="13">
        <v>9901</v>
      </c>
      <c r="B23" s="22">
        <v>11.4033977348566</v>
      </c>
      <c r="C23" s="23">
        <v>1.01118980358863</v>
      </c>
    </row>
    <row r="24" spans="1:5">
      <c r="A24" s="13">
        <v>10101</v>
      </c>
      <c r="B24" s="22">
        <v>9.8128223501127003</v>
      </c>
      <c r="C24" s="23">
        <v>0.99464684364272804</v>
      </c>
    </row>
    <row r="25" spans="1:5">
      <c r="A25" s="13">
        <v>10301</v>
      </c>
      <c r="B25" s="22">
        <v>13.6415555555556</v>
      </c>
      <c r="C25" s="23">
        <v>0.94974882506971103</v>
      </c>
    </row>
    <row r="26" spans="1:5">
      <c r="A26" s="13">
        <v>10401</v>
      </c>
      <c r="B26" s="22">
        <v>13.561282944991</v>
      </c>
      <c r="C26" s="23">
        <v>1.03214395812949</v>
      </c>
    </row>
    <row r="27" spans="1:5">
      <c r="A27" s="13">
        <v>10501</v>
      </c>
      <c r="B27" s="22">
        <v>13.4871111111111</v>
      </c>
      <c r="C27" s="23">
        <v>0.98117346972276598</v>
      </c>
    </row>
    <row r="28" spans="1:5">
      <c r="A28" s="16">
        <v>10901</v>
      </c>
      <c r="B28" s="24">
        <v>12.9704444444444</v>
      </c>
      <c r="C28" s="25">
        <v>0.95017904504873996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B1:X21"/>
  <sheetViews>
    <sheetView showGridLines="0" showRowColHeaders="0" tabSelected="1" workbookViewId="0">
      <selection activeCell="P8" sqref="P8"/>
    </sheetView>
  </sheetViews>
  <sheetFormatPr defaultColWidth="9.140625" defaultRowHeight="15"/>
  <cols>
    <col min="1" max="2" width="9.140625" style="117"/>
    <col min="3" max="4" width="12.85546875" style="117"/>
    <col min="5" max="5" width="9.140625" style="117"/>
    <col min="6" max="6" width="9.5703125" style="117" customWidth="1"/>
    <col min="7" max="7" width="11" style="117" customWidth="1"/>
    <col min="8" max="8" width="12.85546875" style="117"/>
    <col min="9" max="9" width="11.7109375" style="117" customWidth="1"/>
    <col min="10" max="10" width="10.5703125" style="117" customWidth="1"/>
    <col min="11" max="11" width="15.140625" style="117" customWidth="1"/>
    <col min="12" max="15" width="9.140625" style="117"/>
    <col min="16" max="16" width="11.7109375" style="117"/>
    <col min="17" max="17" width="9.140625" style="117"/>
    <col min="18" max="19" width="12.85546875" style="117"/>
    <col min="20" max="22" width="9.140625" style="117"/>
    <col min="23" max="23" width="12.85546875" style="117"/>
    <col min="24" max="16384" width="9.140625" style="117"/>
  </cols>
  <sheetData>
    <row r="1" spans="2:24" s="117" customFormat="1" ht="21">
      <c r="F1" s="118"/>
      <c r="W1" s="119"/>
      <c r="X1" s="119"/>
    </row>
    <row r="2" spans="2:24" s="117" customFormat="1">
      <c r="U2" s="119"/>
      <c r="V2" s="119"/>
    </row>
    <row r="3" spans="2:24" s="117" customFormat="1" ht="18.95" customHeight="1">
      <c r="B3" s="119"/>
    </row>
    <row r="5" spans="2:24" s="117" customFormat="1">
      <c r="V5" s="119"/>
      <c r="W5" s="120"/>
    </row>
    <row r="7" spans="2:24" s="117" customFormat="1">
      <c r="G7" s="121">
        <v>9801</v>
      </c>
    </row>
    <row r="21" spans="11:11" s="117" customFormat="1" ht="23.25">
      <c r="K21" s="122"/>
    </row>
  </sheetData>
  <sheetProtection selectLockedCells="1"/>
  <pageMargins left="0.75" right="0.75" top="1" bottom="1" header="0.5" footer="0.5"/>
  <drawing r:id="rId1"/>
  <legacyDrawing r:id="rId2"/>
  <oleObjects>
    <mc:AlternateContent xmlns:mc="http://schemas.openxmlformats.org/markup-compatibility/2006">
      <mc:Choice Requires="x14">
        <oleObject progId="Excel.Sheet.12" shapeId="13313" r:id="rId3">
          <objectPr defaultSize="0" autoPict="0" altText="" r:id="rId4">
            <anchor moveWithCells="1">
              <from>
                <xdr:col>12</xdr:col>
                <xdr:colOff>400050</xdr:colOff>
                <xdr:row>7</xdr:row>
                <xdr:rowOff>180975</xdr:rowOff>
              </from>
              <to>
                <xdr:col>17</xdr:col>
                <xdr:colOff>200025</xdr:colOff>
                <xdr:row>19</xdr:row>
                <xdr:rowOff>95250</xdr:rowOff>
              </to>
            </anchor>
          </objectPr>
        </oleObject>
      </mc:Choice>
      <mc:Fallback>
        <oleObject progId="Excel.Sheet.12" shapeId="13313" r:id="rId3"/>
      </mc:Fallback>
    </mc:AlternateContent>
  </oleObjects>
  <extLst>
    <ext xmlns:x14="http://schemas.microsoft.com/office/spreadsheetml/2009/9/main" uri="{CCE6A557-97BC-4b89-ADB6-D9C93CAAB3DF}">
      <x14:dataValidations xmlns:xm="http://schemas.microsoft.com/office/excel/2006/main" count="1">
        <x14:dataValidation type="list" allowBlank="1" showInputMessage="1" showErrorMessage="1" xr:uid="{FD68D057-6736-4CFE-B8D3-7D2E71D9CBFF}">
          <x14:formula1>
            <xm:f>Calculator2!$A$17:$A$28</xm:f>
          </x14:formula1>
          <xm:sqref>G7</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18"/>
  <dimension ref="A1"/>
  <sheetViews>
    <sheetView workbookViewId="0"/>
  </sheetViews>
  <sheetFormatPr defaultColWidth="9"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20</vt:i4>
      </vt:variant>
    </vt:vector>
  </HeadingPairs>
  <TitlesOfParts>
    <vt:vector size="39" baseType="lpstr">
      <vt:lpstr>Info</vt:lpstr>
      <vt:lpstr>TrendEqn</vt:lpstr>
      <vt:lpstr>Yield_Sensitivity</vt:lpstr>
      <vt:lpstr>Yield_Chart_Used</vt:lpstr>
      <vt:lpstr>Sheet1</vt:lpstr>
      <vt:lpstr>Sheet2</vt:lpstr>
      <vt:lpstr>Calculator</vt:lpstr>
      <vt:lpstr>Validation_YA_SIchart</vt:lpstr>
      <vt:lpstr>Yield_Sensitivity (2)</vt:lpstr>
      <vt:lpstr>Validation_year_YAChart</vt:lpstr>
      <vt:lpstr>Dashboard</vt:lpstr>
      <vt:lpstr>Stress_Index_Conditonal_Formati</vt:lpstr>
      <vt:lpstr>SI_Table_Formating</vt:lpstr>
      <vt:lpstr>Yield_Gap_Chart</vt:lpstr>
      <vt:lpstr>Dashboard2</vt:lpstr>
      <vt:lpstr>Dashboard2 (2)</vt:lpstr>
      <vt:lpstr>SI_YG_Chart</vt:lpstr>
      <vt:lpstr>Calculator2</vt:lpstr>
      <vt:lpstr>Dashboard2 (3)</vt:lpstr>
      <vt:lpstr>Average</vt:lpstr>
      <vt:lpstr>AverageSI</vt:lpstr>
      <vt:lpstr>AverageYG</vt:lpstr>
      <vt:lpstr>AVg</vt:lpstr>
      <vt:lpstr>Avg_Yield</vt:lpstr>
      <vt:lpstr>'Dashboard2 (2)'!C_Zone</vt:lpstr>
      <vt:lpstr>C_Zone</vt:lpstr>
      <vt:lpstr>ClimateZ</vt:lpstr>
      <vt:lpstr>Gap</vt:lpstr>
      <vt:lpstr>HYear</vt:lpstr>
      <vt:lpstr>Index</vt:lpstr>
      <vt:lpstr>Interpretation</vt:lpstr>
      <vt:lpstr>Investment</vt:lpstr>
      <vt:lpstr>Label</vt:lpstr>
      <vt:lpstr>Label1</vt:lpstr>
      <vt:lpstr>Maximum</vt:lpstr>
      <vt:lpstr>Stress</vt:lpstr>
      <vt:lpstr>Year</vt:lpstr>
      <vt:lpstr>Yield_GAp</vt:lpstr>
      <vt:lpstr>Zone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Olalaw</dc:creator>
  <cp:lastModifiedBy>Barakat Adelubi</cp:lastModifiedBy>
  <dcterms:created xsi:type="dcterms:W3CDTF">2019-07-08T08:59:00Z</dcterms:created>
  <dcterms:modified xsi:type="dcterms:W3CDTF">2026-03-14T19:10:49Z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1febc42432184e279e3507fe7568e9f8</vt:lpwstr>
  </property>
  <property fmtid="{D5CDD505-2E9C-101B-9397-08002B2CF9AE}" pid="3" name="ICV">
    <vt:lpwstr>7D38B9E3BD0A4E0AADBFF85123A32528_12</vt:lpwstr>
  </property>
  <property fmtid="{D5CDD505-2E9C-101B-9397-08002B2CF9AE}" pid="4" name="KSOProductBuildVer">
    <vt:lpwstr>1033-12.2.0.23196</vt:lpwstr>
  </property>
</Properties>
</file>