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S:\PRODUCTION - ROCKY VIEW\A300\PP-Binning\PP Binning-2020\August PP BINNING\"/>
    </mc:Choice>
  </mc:AlternateContent>
  <xr:revisionPtr revIDLastSave="0" documentId="13_ncr:1_{22CABCDA-E501-463B-BEFE-B36857BBDA98}" xr6:coauthVersionLast="45" xr6:coauthVersionMax="45" xr10:uidLastSave="{00000000-0000-0000-0000-000000000000}"/>
  <bookViews>
    <workbookView xWindow="-120" yWindow="-120" windowWidth="29040" windowHeight="15840" xr2:uid="{00000000-000D-0000-FFFF-FFFF00000000}"/>
  </bookViews>
  <sheets>
    <sheet name="200827-2" sheetId="7" r:id="rId1"/>
    <sheet name="PRINT ONLY - PP Binning Shee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7" l="1"/>
  <c r="D11" i="7" l="1"/>
  <c r="L10" i="7" s="1"/>
  <c r="G74" i="7"/>
  <c r="B56" i="7" l="1"/>
  <c r="H69" i="7" l="1"/>
  <c r="C69" i="7" s="1"/>
  <c r="H68" i="7"/>
  <c r="E68" i="7" s="1"/>
  <c r="H67" i="7"/>
  <c r="E67" i="7" s="1"/>
  <c r="K58" i="7"/>
  <c r="I58" i="7" s="1"/>
  <c r="D58" i="7"/>
  <c r="C58" i="7"/>
  <c r="B58" i="7"/>
  <c r="K57" i="7"/>
  <c r="E57" i="7" s="1"/>
  <c r="D57" i="7"/>
  <c r="C57" i="7"/>
  <c r="B57" i="7"/>
  <c r="K56" i="7"/>
  <c r="D56" i="7"/>
  <c r="C56" i="7"/>
  <c r="D40" i="7"/>
  <c r="C40" i="7"/>
  <c r="Q15" i="7"/>
  <c r="B59" i="7" l="1"/>
  <c r="J15" i="7" s="1"/>
  <c r="C59" i="7"/>
  <c r="C61" i="7" s="1"/>
  <c r="C60" i="7" s="1"/>
  <c r="E56" i="7"/>
  <c r="I56" i="7"/>
  <c r="G56" i="7"/>
  <c r="C68" i="7"/>
  <c r="E69" i="7"/>
  <c r="E70" i="7" s="1"/>
  <c r="G57" i="7"/>
  <c r="B68" i="7"/>
  <c r="J56" i="7"/>
  <c r="D68" i="7"/>
  <c r="I57" i="7"/>
  <c r="J57" i="7"/>
  <c r="D59" i="7"/>
  <c r="D61" i="7" s="1"/>
  <c r="D60" i="7" s="1"/>
  <c r="D69" i="7"/>
  <c r="J58" i="7"/>
  <c r="H58" i="7" s="1"/>
  <c r="E58" i="7"/>
  <c r="B67" i="7"/>
  <c r="G58" i="7"/>
  <c r="C67" i="7"/>
  <c r="D67" i="7"/>
  <c r="B69" i="7"/>
  <c r="F67" i="7" l="1"/>
  <c r="F69" i="7"/>
  <c r="G69" i="7" s="1"/>
  <c r="F68" i="7"/>
  <c r="G68" i="7" s="1"/>
  <c r="C70" i="7"/>
  <c r="F56" i="7"/>
  <c r="H56" i="7"/>
  <c r="I59" i="7"/>
  <c r="G59" i="7"/>
  <c r="G61" i="7" s="1"/>
  <c r="G60" i="7" s="1"/>
  <c r="J59" i="7"/>
  <c r="D70" i="7"/>
  <c r="F58" i="7"/>
  <c r="B61" i="7"/>
  <c r="B60" i="7" s="1"/>
  <c r="K15" i="7"/>
  <c r="F57" i="7"/>
  <c r="H57" i="7"/>
  <c r="B70" i="7"/>
  <c r="E59" i="7"/>
  <c r="C31" i="7" l="1"/>
  <c r="H74" i="7"/>
  <c r="F70" i="7"/>
  <c r="G67" i="7"/>
  <c r="G70" i="7" s="1"/>
  <c r="F59" i="7"/>
  <c r="F61" i="7" s="1"/>
  <c r="F60" i="7" s="1"/>
  <c r="H59" i="7"/>
  <c r="H61" i="7" s="1"/>
  <c r="H60" i="7" s="1"/>
  <c r="E61" i="7"/>
  <c r="E60" i="7" s="1"/>
  <c r="L15" i="7"/>
  <c r="M15" i="7" l="1"/>
  <c r="I15" i="7"/>
  <c r="H15" i="7"/>
  <c r="M16" i="7"/>
  <c r="C74" i="7"/>
  <c r="C29" i="7"/>
  <c r="N15" i="7" l="1"/>
  <c r="O15" i="7" s="1"/>
  <c r="F14" i="7"/>
  <c r="F74" i="7"/>
  <c r="C36" i="7" s="1"/>
  <c r="E11" i="7" s="1"/>
  <c r="C38" i="7" l="1"/>
  <c r="C48" i="7" s="1"/>
  <c r="D48" i="7" s="1"/>
  <c r="D36" i="7"/>
  <c r="D38" i="7" s="1"/>
  <c r="C42" i="7"/>
  <c r="D4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Olson</author>
  </authors>
  <commentList>
    <comment ref="B11" authorId="0" shapeId="0" xr:uid="{00000000-0006-0000-0000-000001000000}">
      <text>
        <r>
          <rPr>
            <b/>
            <sz val="9"/>
            <color indexed="81"/>
            <rFont val="Tahoma"/>
            <family val="2"/>
          </rPr>
          <t>Grant Olson:</t>
        </r>
        <r>
          <rPr>
            <sz val="9"/>
            <color indexed="81"/>
            <rFont val="Tahoma"/>
            <family val="2"/>
          </rPr>
          <t xml:space="preserve">
Review the output from the Calculator in C42/C44 and enter the value to be weighed.</t>
        </r>
      </text>
    </comment>
    <comment ref="E11" authorId="0" shapeId="0" xr:uid="{00000000-0006-0000-0000-000002000000}">
      <text>
        <r>
          <rPr>
            <b/>
            <sz val="9"/>
            <color indexed="81"/>
            <rFont val="Tahoma"/>
            <family val="2"/>
          </rPr>
          <t>Grant Olson:</t>
        </r>
        <r>
          <rPr>
            <sz val="9"/>
            <color indexed="81"/>
            <rFont val="Tahoma"/>
            <family val="2"/>
          </rPr>
          <t xml:space="preserve">
If this cell turns red it means that we've gone outside the set parameters for population target in the pod. We should avoid doing this and reject batches that fall below 80% of the stocking target. Avoid overloading bins so that we don't exceed 100% of the stocking target as this will overpopulate pods.
This cell tells us if we had enough material in the totes/bins to make the projected population target for the pod.</t>
        </r>
      </text>
    </comment>
    <comment ref="F13" authorId="0" shapeId="0" xr:uid="{00000000-0006-0000-0000-000003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 ref="H13" authorId="0" shapeId="0" xr:uid="{00000000-0006-0000-0000-000004000000}">
      <text>
        <r>
          <rPr>
            <b/>
            <sz val="9"/>
            <color indexed="81"/>
            <rFont val="Tahoma"/>
            <family val="2"/>
          </rPr>
          <t>Grant Olson:</t>
        </r>
        <r>
          <rPr>
            <sz val="9"/>
            <color indexed="81"/>
            <rFont val="Tahoma"/>
            <family val="2"/>
          </rPr>
          <t xml:space="preserve">
For a quick look when you review the batch in RV (when deciding to start pod events, etc.)</t>
        </r>
      </text>
    </comment>
    <comment ref="M13" authorId="0" shapeId="0" xr:uid="{00000000-0006-0000-0000-000005000000}">
      <text>
        <r>
          <rPr>
            <b/>
            <sz val="9"/>
            <color indexed="81"/>
            <rFont val="Tahoma"/>
            <family val="2"/>
          </rPr>
          <t>Grant Olson:</t>
        </r>
        <r>
          <rPr>
            <sz val="9"/>
            <color indexed="81"/>
            <rFont val="Tahoma"/>
            <family val="2"/>
          </rPr>
          <t xml:space="preserve">
This can be assessed for when a batch should be input into pods. This could be recorded on the outside of the mesh to make it easier to know quickly.</t>
        </r>
      </text>
    </comment>
    <comment ref="F14" authorId="0" shapeId="0" xr:uid="{00000000-0006-0000-0000-000006000000}">
      <text>
        <r>
          <rPr>
            <b/>
            <sz val="9"/>
            <color indexed="81"/>
            <rFont val="Tahoma"/>
            <family val="2"/>
          </rPr>
          <t>Grant Olson:</t>
        </r>
        <r>
          <rPr>
            <sz val="9"/>
            <color indexed="81"/>
            <rFont val="Tahoma"/>
            <family val="2"/>
          </rPr>
          <t xml:space="preserve">
Copy this number and paste value into cell </t>
        </r>
      </text>
    </comment>
    <comment ref="C48" authorId="0" shapeId="0" xr:uid="{00000000-0006-0000-0000-000007000000}">
      <text>
        <r>
          <rPr>
            <b/>
            <sz val="9"/>
            <color indexed="81"/>
            <rFont val="Tahoma"/>
            <family val="2"/>
          </rPr>
          <t>Grant Olson:</t>
        </r>
        <r>
          <rPr>
            <sz val="9"/>
            <color indexed="81"/>
            <rFont val="Tahoma"/>
            <family val="2"/>
          </rPr>
          <t xml:space="preserve">
We should carefully consider if/when we would want to increase the number of bins used, as this affects overall bin supply and use of mesh covers (which were designed to cover grey RVPP bins in stacks of 4).</t>
        </r>
      </text>
    </comment>
    <comment ref="A62" authorId="0" shapeId="0" xr:uid="{00000000-0006-0000-0000-000008000000}">
      <text>
        <r>
          <rPr>
            <b/>
            <sz val="9"/>
            <color indexed="81"/>
            <rFont val="Tahoma"/>
            <family val="2"/>
          </rPr>
          <t>Grant Olson:</t>
        </r>
        <r>
          <rPr>
            <sz val="9"/>
            <color indexed="81"/>
            <rFont val="Tahoma"/>
            <family val="2"/>
          </rPr>
          <t xml:space="preserve">
We may revise these limits in the future - these are starting points.</t>
        </r>
      </text>
    </comment>
    <comment ref="D62" authorId="0" shapeId="0" xr:uid="{00000000-0006-0000-0000-000009000000}">
      <text>
        <r>
          <rPr>
            <b/>
            <sz val="9"/>
            <color indexed="81"/>
            <rFont val="Tahoma"/>
            <family val="2"/>
          </rPr>
          <t>Grant Olson:</t>
        </r>
        <r>
          <rPr>
            <sz val="9"/>
            <color indexed="81"/>
            <rFont val="Tahoma"/>
            <family val="2"/>
          </rPr>
          <t xml:space="preserve">
Not sure that this parameter limit makes sense. It's just based off of how batches performed on average, not that the larvae this small will actually emerge...</t>
        </r>
      </text>
    </comment>
    <comment ref="H73" authorId="0" shapeId="0" xr:uid="{00000000-0006-0000-0000-00000A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List>
</comments>
</file>

<file path=xl/sharedStrings.xml><?xml version="1.0" encoding="utf-8"?>
<sst xmlns="http://schemas.openxmlformats.org/spreadsheetml/2006/main" count="251" uniqueCount="117">
  <si>
    <t>Mass weighed per bin</t>
  </si>
  <si>
    <t>Number bins made</t>
  </si>
  <si>
    <t>Total mass of batch</t>
  </si>
  <si>
    <t>% of target mass (population)</t>
  </si>
  <si>
    <t>% PP</t>
  </si>
  <si>
    <t>% plank</t>
  </si>
  <si>
    <t>PP mass (mg)</t>
  </si>
  <si>
    <t>Larva mass (mg)</t>
  </si>
  <si>
    <t>% Mortality</t>
  </si>
  <si>
    <t>PART II: DATA INPUT</t>
  </si>
  <si>
    <t>(YELLOW CELLS IN SHEET INDICATE INPUT CELLS)</t>
  </si>
  <si>
    <t>Subsample #</t>
  </si>
  <si>
    <t># PP</t>
  </si>
  <si>
    <t>PP total mass (g)</t>
  </si>
  <si>
    <t># Planks</t>
  </si>
  <si>
    <t>Plank total mass (g)</t>
  </si>
  <si>
    <t># Larvae</t>
  </si>
  <si>
    <t>Larvae total mass (g)</t>
  </si>
  <si>
    <t># Dead</t>
  </si>
  <si>
    <t>PART III: BIN LOADING, CALCULATOR OUTPUT</t>
  </si>
  <si>
    <t>Batch meets parameters?*</t>
  </si>
  <si>
    <t>*NOTE: IF "NO", REVIEW CALCULATOR FOR VIOLATIONS, EXCEPTIONS MAY APPLY</t>
  </si>
  <si>
    <t>Projected proportion endpoint emergence of bins</t>
  </si>
  <si>
    <t>Number pods started</t>
  </si>
  <si>
    <t>Mass total material to input per pod (kg)</t>
  </si>
  <si>
    <t>Mass total material required (kg)</t>
  </si>
  <si>
    <t>Number bins required</t>
  </si>
  <si>
    <t>Mass to weigh per bin (kg)</t>
  </si>
  <si>
    <t>Bin capacity limit (kg)</t>
  </si>
  <si>
    <t>NOTE: IF MASS TO LOAD PER BIN EXCEEDS LIMIT, THEN REFER BELOW FOR # OF BINS REQUIRED FOR BATCH COMPOSITION TO REACH TARGET PROJECTED EMERGENCE</t>
  </si>
  <si>
    <t>Number bins required (&gt;8)</t>
  </si>
  <si>
    <t>PART IV: CALCULATOR</t>
  </si>
  <si>
    <t>NOTE: REVIEW PARAMETER LIMITS LATER ON - CHANGE SOME OF THESE?</t>
  </si>
  <si>
    <t>Proportions of Live+Dead Insects Sampled:</t>
  </si>
  <si>
    <t>PP mass - per insect (mg)</t>
  </si>
  <si>
    <t>Plank mass - per insect (mg)</t>
  </si>
  <si>
    <t>Larvae mass - per insect (mg)</t>
  </si>
  <si>
    <t>Proportion Mortality</t>
  </si>
  <si>
    <t>PP + Planks</t>
  </si>
  <si>
    <t>Larvae</t>
  </si>
  <si>
    <t>PP:Plank ratio</t>
  </si>
  <si>
    <t>PP</t>
  </si>
  <si>
    <t>Planks</t>
  </si>
  <si>
    <t>Tot # Live+Dead</t>
  </si>
  <si>
    <t>AVG</t>
  </si>
  <si>
    <t>BINARY PARAM</t>
  </si>
  <si>
    <t>WITHIN PARAMETERS?</t>
  </si>
  <si>
    <t>PARAMETER LIMIT</t>
  </si>
  <si>
    <t>Proportions of live insects sampled:</t>
  </si>
  <si>
    <t>Tot # Live</t>
  </si>
  <si>
    <t>Projected proportion emergence of PP+Planks</t>
  </si>
  <si>
    <t>Mass per live insect - weighted average (mg)</t>
  </si>
  <si>
    <t>Desired fly population per pod:</t>
  </si>
  <si>
    <t># Live insects to input</t>
  </si>
  <si>
    <t>Timing of input calculator</t>
  </si>
  <si>
    <t>Harvest/binning date</t>
  </si>
  <si>
    <t># Total insects to input (live+dead)</t>
  </si>
  <si>
    <t>PART I: TRAY/HARVEST INFORMATION AND POD INPUT INFORMATION (YELLOW CELLS IN SHEET INDICATE INPUT CELLS)</t>
  </si>
  <si>
    <t>Pod ID input</t>
  </si>
  <si>
    <t>Date Input</t>
  </si>
  <si>
    <t>Timing of input vs. target timing (days over/under)</t>
  </si>
  <si>
    <t>Date</t>
  </si>
  <si>
    <t>Tray ID</t>
  </si>
  <si>
    <t>#1</t>
  </si>
  <si>
    <t>#2</t>
  </si>
  <si>
    <t>#3</t>
  </si>
  <si>
    <t>PRINT ONLY - PP Binning Sample Data Sheet</t>
  </si>
  <si>
    <t>Lower limit</t>
  </si>
  <si>
    <t>Range limits % target mass (population)</t>
  </si>
  <si>
    <t>Upper limit</t>
  </si>
  <si>
    <t>Batch #</t>
  </si>
  <si>
    <t>Today's date</t>
  </si>
  <si>
    <t>Post-sort, assumed proportion PP+plank of total live insects</t>
  </si>
  <si>
    <t>Tray IDs</t>
  </si>
  <si>
    <t>Planks of PP+Planks</t>
  </si>
  <si>
    <t>Mass to input per pod (kg)</t>
  </si>
  <si>
    <t>Dropdown menu list for Pod ID</t>
  </si>
  <si>
    <t>A1</t>
  </si>
  <si>
    <t>A2</t>
  </si>
  <si>
    <t>A3</t>
  </si>
  <si>
    <t>A4</t>
  </si>
  <si>
    <t>A5</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</si>
  <si>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</si>
  <si>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</si>
  <si>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</si>
  <si>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</si>
  <si>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</si>
  <si>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</si>
  <si>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</si>
  <si>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</si>
  <si>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</si>
  <si>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</si>
  <si>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</si>
  <si>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</si>
  <si>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</si>
  <si>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</si>
  <si>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</si>
  <si>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</si>
  <si>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</si>
  <si>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</si>
  <si>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</si>
  <si>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</si>
  <si>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</si>
  <si>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</si>
  <si>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</si>
  <si>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</si>
  <si>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</si>
  <si>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F6</t>
  </si>
  <si>
    <t>USE WITH SORTED TRAY MATERIAL ONLY! SAMPLES FROM PRE-SORT CONVEYOR METHOD</t>
  </si>
  <si>
    <t>(Cells below for Daily Report)</t>
  </si>
  <si>
    <t>Quick stats on trays at time of binning (check for receiving/storage and pod input)
NOTE: %PP AND %PLANK ARE BASED ON ASSUMPTION OF POST-SORT WITH ~5% LARVAE COMPOSITION</t>
  </si>
  <si>
    <t>Days, sampled to start</t>
  </si>
  <si>
    <r>
      <t>Date to input (</t>
    </r>
    <r>
      <rPr>
        <b/>
        <sz val="11"/>
        <color theme="1"/>
        <rFont val="Calibri"/>
        <family val="2"/>
      </rPr>
      <t>±</t>
    </r>
    <r>
      <rPr>
        <b/>
        <sz val="11"/>
        <color theme="1"/>
        <rFont val="Calibri"/>
        <family val="2"/>
        <scheme val="minor"/>
      </rPr>
      <t>1 day is OK)</t>
    </r>
  </si>
  <si>
    <t>PP of PP+Planks+larvae</t>
  </si>
  <si>
    <t>Equation A &amp; B</t>
  </si>
  <si>
    <t>LBT-200805-003</t>
  </si>
  <si>
    <t>LBT-200804-001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</si>
</sst>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mm/dd"/>
  </numFmts>
  <fonts count="7" x14ac:knownFonts="1">
    <font>
      <sz val="11"/>
      <color theme="1"/>
      <name val="Calibri"/>
      <family val="2"/>
      <scheme val="minor"/>
    </font>
    <font>
      <b/>
      <sz val="11"/>
      <color theme="1"/>
      <name val="Calibri"/>
      <family val="2"/>
      <scheme val="minor"/>
    </font>
    <font>
      <b/>
      <u/>
      <sz val="11"/>
      <color theme="1"/>
      <name val="Calibri"/>
      <family val="2"/>
      <scheme val="minor"/>
    </font>
    <font>
      <b/>
      <sz val="9"/>
      <color indexed="81"/>
      <name val="Tahoma"/>
      <family val="2"/>
    </font>
    <font>
      <sz val="9"/>
      <color indexed="81"/>
      <name val="Tahoma"/>
      <family val="2"/>
    </font>
    <font>
      <sz val="8"/>
      <name val="Calibri"/>
      <family val="2"/>
      <scheme val="minor"/>
    </font>
    <font>
      <b/>
      <sz val="11"/>
      <color theme="1"/>
      <name val="Calibri"/>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s>
  <cellStyleXfs count="1">
    <xf numFmtId="0" fontId="0" fillId="0" borderId="0"/>
  </cellStyleXfs>
  <cellXfs count="121">
    <xf numFmtId="0" fontId="0" fillId="0" borderId="0" xfId="0"/>
    <xf numFmtId="0" fontId="1" fillId="0" borderId="0" xfId="0" applyFont="1" applyAlignment="1">
      <alignment horizontal="left"/>
    </xf>
    <xf numFmtId="2" fontId="0" fillId="3" borderId="1" xfId="0" applyNumberFormat="1" applyFill="1" applyBorder="1" applyAlignment="1">
      <alignment horizontal="center"/>
    </xf>
    <xf numFmtId="1"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1" fontId="0" fillId="3" borderId="1" xfId="0" applyNumberFormat="1" applyFill="1" applyBorder="1" applyAlignment="1">
      <alignment horizontal="center"/>
    </xf>
    <xf numFmtId="0" fontId="1" fillId="0" borderId="0" xfId="0" applyFont="1" applyAlignment="1">
      <alignment horizont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7" xfId="0"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8" xfId="0" applyFont="1" applyFill="1" applyBorder="1" applyAlignment="1">
      <alignment horizontal="center" wrapText="1"/>
    </xf>
    <xf numFmtId="2" fontId="1" fillId="3" borderId="9" xfId="0" applyNumberFormat="1" applyFont="1" applyFill="1" applyBorder="1" applyAlignment="1">
      <alignment horizontal="center" vertical="center"/>
    </xf>
    <xf numFmtId="0" fontId="1" fillId="0" borderId="0" xfId="0" applyFont="1" applyAlignment="1">
      <alignment horizontal="center" wrapText="1"/>
    </xf>
    <xf numFmtId="2" fontId="1" fillId="0" borderId="0" xfId="0" applyNumberFormat="1" applyFont="1" applyAlignment="1">
      <alignment horizontal="center" vertical="center"/>
    </xf>
    <xf numFmtId="3" fontId="1" fillId="3" borderId="9" xfId="0" applyNumberFormat="1" applyFont="1" applyFill="1" applyBorder="1" applyAlignment="1">
      <alignment horizontal="center"/>
    </xf>
    <xf numFmtId="1" fontId="1" fillId="3" borderId="9" xfId="0" applyNumberFormat="1" applyFont="1" applyFill="1" applyBorder="1" applyAlignment="1">
      <alignment horizontal="center" vertical="center"/>
    </xf>
    <xf numFmtId="1" fontId="1" fillId="0" borderId="0" xfId="0" applyNumberFormat="1" applyFont="1" applyAlignment="1">
      <alignment horizontal="center" vertical="center"/>
    </xf>
    <xf numFmtId="1" fontId="1" fillId="4" borderId="9" xfId="0" applyNumberFormat="1" applyFont="1" applyFill="1" applyBorder="1" applyAlignment="1">
      <alignment horizontal="center" vertical="center"/>
    </xf>
    <xf numFmtId="164" fontId="1" fillId="4" borderId="9" xfId="0" applyNumberFormat="1" applyFont="1" applyFill="1" applyBorder="1" applyAlignment="1">
      <alignment horizontal="center" vertical="center"/>
    </xf>
    <xf numFmtId="164" fontId="1" fillId="0" borderId="0" xfId="0" applyNumberFormat="1" applyFont="1" applyAlignment="1">
      <alignment horizontal="center" vertical="center"/>
    </xf>
    <xf numFmtId="3" fontId="1" fillId="0" borderId="0" xfId="0" applyNumberFormat="1" applyFont="1" applyAlignment="1">
      <alignment horizontal="center"/>
    </xf>
    <xf numFmtId="0" fontId="2" fillId="0" borderId="12" xfId="0" applyFont="1" applyBorder="1" applyAlignment="1">
      <alignment horizontal="left"/>
    </xf>
    <xf numFmtId="3" fontId="1" fillId="0" borderId="13" xfId="0" applyNumberFormat="1"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15" xfId="0" applyFont="1" applyBorder="1" applyAlignment="1">
      <alignment horizontal="left"/>
    </xf>
    <xf numFmtId="0" fontId="0" fillId="0" borderId="16" xfId="0" applyBorder="1" applyAlignment="1">
      <alignment horizontal="center"/>
    </xf>
    <xf numFmtId="0" fontId="0" fillId="0" borderId="17" xfId="0" applyBorder="1" applyAlignment="1">
      <alignment horizontal="center"/>
    </xf>
    <xf numFmtId="0" fontId="1" fillId="0" borderId="7" xfId="0" applyFont="1" applyBorder="1" applyAlignment="1">
      <alignment horizontal="center" wrapText="1"/>
    </xf>
    <xf numFmtId="2" fontId="1" fillId="0" borderId="7" xfId="0" applyNumberFormat="1" applyFont="1" applyBorder="1" applyAlignment="1">
      <alignment horizontal="center" vertical="center"/>
    </xf>
    <xf numFmtId="0" fontId="1" fillId="5" borderId="0" xfId="0" applyFont="1" applyFill="1" applyAlignment="1">
      <alignment horizontal="left"/>
    </xf>
    <xf numFmtId="0" fontId="0" fillId="5" borderId="0" xfId="0" applyFill="1" applyAlignment="1">
      <alignment horizontal="center"/>
    </xf>
    <xf numFmtId="0" fontId="1" fillId="0" borderId="0" xfId="0" applyFont="1" applyAlignment="1">
      <alignment vertical="center"/>
    </xf>
    <xf numFmtId="1" fontId="0" fillId="0" borderId="0" xfId="0" applyNumberFormat="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1" fontId="0" fillId="3" borderId="5" xfId="0" applyNumberFormat="1" applyFill="1" applyBorder="1" applyAlignment="1">
      <alignment horizontal="center"/>
    </xf>
    <xf numFmtId="1" fontId="0" fillId="3" borderId="20" xfId="0" applyNumberFormat="1" applyFill="1" applyBorder="1" applyAlignment="1">
      <alignment horizontal="center"/>
    </xf>
    <xf numFmtId="0" fontId="0" fillId="3" borderId="22" xfId="0" applyFill="1" applyBorder="1" applyAlignment="1">
      <alignment horizontal="center"/>
    </xf>
    <xf numFmtId="1" fontId="0" fillId="3" borderId="6" xfId="0" applyNumberFormat="1" applyFill="1" applyBorder="1" applyAlignment="1">
      <alignment horizontal="center"/>
    </xf>
    <xf numFmtId="1" fontId="0" fillId="3" borderId="23" xfId="0" applyNumberFormat="1" applyFill="1" applyBorder="1" applyAlignment="1">
      <alignment horizontal="center"/>
    </xf>
    <xf numFmtId="2" fontId="0" fillId="3" borderId="23" xfId="0" applyNumberFormat="1" applyFill="1" applyBorder="1" applyAlignment="1">
      <alignment horizontal="center"/>
    </xf>
    <xf numFmtId="0" fontId="0" fillId="3" borderId="24" xfId="0" applyFill="1" applyBorder="1" applyAlignment="1">
      <alignment horizontal="center"/>
    </xf>
    <xf numFmtId="0" fontId="1" fillId="6" borderId="18" xfId="0" applyFont="1" applyFill="1" applyBorder="1" applyAlignment="1">
      <alignment horizontal="center"/>
    </xf>
    <xf numFmtId="1" fontId="1" fillId="6" borderId="25" xfId="0" applyNumberFormat="1" applyFont="1" applyFill="1" applyBorder="1" applyAlignment="1">
      <alignment horizontal="center"/>
    </xf>
    <xf numFmtId="1" fontId="1" fillId="6" borderId="26" xfId="0" applyNumberFormat="1" applyFont="1" applyFill="1" applyBorder="1" applyAlignment="1">
      <alignment horizontal="center"/>
    </xf>
    <xf numFmtId="1" fontId="1" fillId="6" borderId="27" xfId="0" applyNumberFormat="1" applyFont="1" applyFill="1" applyBorder="1" applyAlignment="1">
      <alignment horizontal="center"/>
    </xf>
    <xf numFmtId="2" fontId="1" fillId="6" borderId="28" xfId="0" applyNumberFormat="1" applyFont="1" applyFill="1" applyBorder="1" applyAlignment="1">
      <alignment horizontal="center"/>
    </xf>
    <xf numFmtId="2" fontId="1" fillId="6" borderId="29" xfId="0" applyNumberFormat="1" applyFont="1" applyFill="1" applyBorder="1" applyAlignment="1">
      <alignment horizontal="center"/>
    </xf>
    <xf numFmtId="0" fontId="1" fillId="3" borderId="30" xfId="0" applyFont="1" applyFill="1" applyBorder="1" applyAlignment="1">
      <alignment horizontal="center" wrapText="1"/>
    </xf>
    <xf numFmtId="2" fontId="1" fillId="6" borderId="0" xfId="0" applyNumberFormat="1" applyFont="1" applyFill="1" applyAlignment="1">
      <alignment horizontal="center"/>
    </xf>
    <xf numFmtId="0" fontId="1" fillId="3" borderId="30"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center"/>
    </xf>
    <xf numFmtId="2" fontId="0" fillId="3" borderId="19" xfId="0" applyNumberFormat="1" applyFill="1" applyBorder="1" applyAlignment="1">
      <alignment horizontal="center"/>
    </xf>
    <xf numFmtId="2" fontId="1" fillId="6" borderId="18" xfId="0" applyNumberFormat="1" applyFont="1" applyFill="1" applyBorder="1" applyAlignment="1">
      <alignment horizontal="center"/>
    </xf>
    <xf numFmtId="0" fontId="1" fillId="3" borderId="1" xfId="0" applyFont="1" applyFill="1" applyBorder="1" applyAlignment="1">
      <alignment horizontal="center" vertical="center" wrapText="1"/>
    </xf>
    <xf numFmtId="1" fontId="1" fillId="6" borderId="18" xfId="0" applyNumberFormat="1" applyFont="1" applyFill="1" applyBorder="1" applyAlignment="1">
      <alignment horizontal="center"/>
    </xf>
    <xf numFmtId="3" fontId="1" fillId="6" borderId="18" xfId="0" applyNumberFormat="1" applyFont="1" applyFill="1" applyBorder="1" applyAlignment="1">
      <alignment horizontal="center"/>
    </xf>
    <xf numFmtId="1" fontId="0" fillId="3" borderId="21" xfId="0" applyNumberFormat="1" applyFill="1" applyBorder="1" applyAlignment="1">
      <alignment horizontal="center"/>
    </xf>
    <xf numFmtId="1" fontId="0" fillId="7" borderId="6" xfId="0" applyNumberFormat="1" applyFill="1" applyBorder="1"/>
    <xf numFmtId="14" fontId="0" fillId="7" borderId="23" xfId="0" applyNumberFormat="1" applyFill="1" applyBorder="1"/>
    <xf numFmtId="3" fontId="1" fillId="3" borderId="1" xfId="0" applyNumberFormat="1" applyFont="1" applyFill="1" applyBorder="1" applyAlignment="1">
      <alignment horizontal="center" vertical="center"/>
    </xf>
    <xf numFmtId="0" fontId="0" fillId="2" borderId="1" xfId="0" applyFill="1" applyBorder="1" applyAlignment="1" applyProtection="1">
      <alignment horizontal="center" vertical="center"/>
      <protection locked="0"/>
    </xf>
    <xf numFmtId="14" fontId="0" fillId="2" borderId="1" xfId="0" applyNumberFormat="1" applyFont="1" applyFill="1" applyBorder="1" applyAlignment="1" applyProtection="1">
      <alignment horizontal="center" vertical="center"/>
      <protection locked="0"/>
    </xf>
    <xf numFmtId="165" fontId="0" fillId="2" borderId="1" xfId="0" applyNumberFormat="1" applyFill="1" applyBorder="1" applyAlignment="1" applyProtection="1">
      <alignment horizontal="center"/>
      <protection locked="0"/>
    </xf>
    <xf numFmtId="0" fontId="1" fillId="0" borderId="33" xfId="0" applyFont="1" applyBorder="1"/>
    <xf numFmtId="0" fontId="1" fillId="0" borderId="31" xfId="0" applyFont="1" applyBorder="1"/>
    <xf numFmtId="0" fontId="1"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0" xfId="0" applyFill="1" applyBorder="1" applyAlignment="1"/>
    <xf numFmtId="0" fontId="0" fillId="3" borderId="1" xfId="0" applyFont="1" applyFill="1" applyBorder="1" applyAlignment="1">
      <alignment horizontal="center" vertical="center"/>
    </xf>
    <xf numFmtId="0" fontId="0" fillId="2"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4" fontId="1" fillId="6" borderId="18" xfId="0" applyNumberFormat="1" applyFont="1" applyFill="1" applyBorder="1" applyAlignment="1">
      <alignment horizontal="center"/>
    </xf>
    <xf numFmtId="0" fontId="0" fillId="0" borderId="0" xfId="0" applyAlignment="1">
      <alignment horizontal="center"/>
    </xf>
    <xf numFmtId="0" fontId="1" fillId="3" borderId="21" xfId="0" applyFont="1" applyFill="1" applyBorder="1" applyAlignment="1">
      <alignment horizontal="center" vertical="center"/>
    </xf>
    <xf numFmtId="0" fontId="1" fillId="3" borderId="1" xfId="0" applyFont="1" applyFill="1" applyBorder="1" applyAlignment="1">
      <alignment horizontal="center" wrapText="1"/>
    </xf>
    <xf numFmtId="0" fontId="0" fillId="0" borderId="0" xfId="0" applyNumberFormat="1" applyFill="1" applyBorder="1" applyAlignment="1" applyProtection="1">
      <alignment horizontal="center"/>
      <protection locked="0"/>
    </xf>
    <xf numFmtId="0" fontId="1" fillId="0" borderId="0" xfId="0" applyFont="1" applyFill="1" applyBorder="1" applyAlignment="1">
      <alignment horizontal="center"/>
    </xf>
    <xf numFmtId="0" fontId="0" fillId="0" borderId="0" xfId="0" applyFill="1" applyBorder="1" applyAlignment="1" applyProtection="1">
      <alignment horizontal="center" vertical="center"/>
      <protection locked="0"/>
    </xf>
    <xf numFmtId="0" fontId="1" fillId="0" borderId="0" xfId="0" applyFont="1" applyFill="1" applyBorder="1" applyAlignment="1">
      <alignment horizontal="center" vertical="center" wrapText="1"/>
    </xf>
    <xf numFmtId="2"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0" fontId="1" fillId="0" borderId="0" xfId="0" applyFont="1" applyFill="1" applyBorder="1" applyAlignment="1"/>
    <xf numFmtId="0" fontId="0" fillId="2" borderId="20"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0" borderId="37" xfId="0" applyBorder="1" applyAlignment="1">
      <alignment horizontal="center"/>
    </xf>
    <xf numFmtId="0" fontId="0" fillId="0" borderId="38" xfId="0" applyBorder="1" applyAlignment="1">
      <alignment horizontal="center"/>
    </xf>
    <xf numFmtId="0" fontId="0" fillId="0" borderId="29" xfId="0" applyBorder="1" applyAlignment="1">
      <alignment horizontal="center"/>
    </xf>
    <xf numFmtId="0" fontId="0" fillId="3" borderId="1" xfId="0" applyFill="1" applyBorder="1" applyAlignment="1" applyProtection="1">
      <alignment horizontal="center" vertical="center"/>
      <protection locked="0"/>
    </xf>
    <xf numFmtId="0" fontId="1" fillId="3" borderId="39" xfId="0" applyFont="1" applyFill="1" applyBorder="1" applyAlignment="1">
      <alignment wrapText="1"/>
    </xf>
    <xf numFmtId="1" fontId="0" fillId="7" borderId="23" xfId="0" applyNumberFormat="1" applyFill="1" applyBorder="1"/>
    <xf numFmtId="14" fontId="0" fillId="3" borderId="1" xfId="0" applyNumberFormat="1" applyFill="1" applyBorder="1" applyAlignment="1">
      <alignment horizontal="center" vertical="center"/>
    </xf>
    <xf numFmtId="0" fontId="0" fillId="0" borderId="33" xfId="0" applyBorder="1" applyAlignment="1">
      <alignment horizontal="center"/>
    </xf>
    <xf numFmtId="0" fontId="1" fillId="3" borderId="19" xfId="0" applyFont="1" applyFill="1" applyBorder="1" applyAlignment="1">
      <alignment horizontal="center" vertical="center"/>
    </xf>
    <xf numFmtId="0" fontId="1" fillId="3" borderId="36" xfId="0" applyFont="1" applyFill="1" applyBorder="1" applyAlignment="1">
      <alignment horizontal="center"/>
    </xf>
    <xf numFmtId="0" fontId="1" fillId="3" borderId="0" xfId="0" applyFont="1" applyFill="1" applyBorder="1" applyAlignment="1">
      <alignment horizontal="center"/>
    </xf>
    <xf numFmtId="0" fontId="1" fillId="3" borderId="21" xfId="0" applyFont="1" applyFill="1" applyBorder="1" applyAlignment="1">
      <alignment horizontal="center" vertical="center"/>
    </xf>
    <xf numFmtId="0" fontId="1" fillId="3" borderId="32" xfId="0" applyFont="1" applyFill="1" applyBorder="1" applyAlignment="1">
      <alignment horizontal="center" vertical="center"/>
    </xf>
    <xf numFmtId="0" fontId="1" fillId="3"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21" xfId="0" applyFont="1" applyFill="1" applyBorder="1" applyAlignment="1">
      <alignment horizontal="center" vertical="top"/>
    </xf>
    <xf numFmtId="0" fontId="1" fillId="3" borderId="2" xfId="0" applyFont="1" applyFill="1" applyBorder="1" applyAlignment="1">
      <alignment horizontal="center" vertical="top"/>
    </xf>
    <xf numFmtId="0" fontId="1" fillId="3" borderId="3" xfId="0" applyFont="1" applyFill="1" applyBorder="1" applyAlignment="1">
      <alignment horizontal="center" vertical="top"/>
    </xf>
    <xf numFmtId="0" fontId="1" fillId="3" borderId="4" xfId="0" applyFont="1" applyFill="1" applyBorder="1" applyAlignment="1">
      <alignment horizontal="center" vertical="top"/>
    </xf>
    <xf numFmtId="0" fontId="1" fillId="3" borderId="21" xfId="0" applyFont="1" applyFill="1" applyBorder="1" applyAlignment="1">
      <alignment horizontal="center" wrapText="1"/>
    </xf>
    <xf numFmtId="0" fontId="1" fillId="3" borderId="22" xfId="0" applyFont="1" applyFill="1" applyBorder="1" applyAlignment="1">
      <alignment horizontal="center" wrapText="1"/>
    </xf>
    <xf numFmtId="0" fontId="1" fillId="3" borderId="10" xfId="0" applyFont="1" applyFill="1" applyBorder="1" applyAlignment="1">
      <alignment horizontal="center"/>
    </xf>
    <xf numFmtId="0" fontId="1" fillId="3" borderId="11" xfId="0" applyFont="1" applyFill="1" applyBorder="1" applyAlignment="1">
      <alignment horizontal="center"/>
    </xf>
    <xf numFmtId="0" fontId="0" fillId="8" borderId="10" xfId="0" applyFill="1" applyBorder="1" applyAlignment="1">
      <alignment horizontal="center"/>
    </xf>
    <xf numFmtId="0" fontId="0" fillId="8" borderId="34" xfId="0" applyFill="1" applyBorder="1" applyAlignment="1">
      <alignment horizontal="center"/>
    </xf>
    <xf numFmtId="0" fontId="0" fillId="8" borderId="35" xfId="0" applyFill="1" applyBorder="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s>
  <tableStyles count="0" defaultTableStyle="TableStyleMedium2" defaultPivotStyle="PivotStyleLight16"/>
  <colors>
    <mruColors>
      <color rgb="FF801AE6"/>
      <color rgb="FFC20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Q109"/>
  <sheetViews>
    <sheetView tabSelected="1" zoomScale="85" zoomScaleNormal="85" workbookViewId="0">
      <selection activeCell="G34" sqref="G34"/>
    </sheetView>
  </sheetViews>
  <sheetFormatPr defaultColWidth="9.28515625" defaultRowHeight="15" x14ac:dyDescent="0.25"/>
  <cols>
    <col min="1" max="1" width="14.7109375" style="83" customWidth="1"/>
    <col min="2" max="2" width="26.5703125" style="83" customWidth="1"/>
    <col min="3" max="3" width="30.28515625" style="83" customWidth="1"/>
    <col min="4" max="4" width="26.42578125" style="83" customWidth="1"/>
    <col min="5" max="5" width="26.28515625" style="83" customWidth="1"/>
    <col min="6" max="6" width="21.7109375" style="83" customWidth="1"/>
    <col min="7" max="7" width="21" style="83" customWidth="1"/>
    <col min="8" max="8" width="27.28515625" style="83" customWidth="1"/>
    <col min="9" max="9" width="29.28515625" style="83" customWidth="1"/>
    <col min="10" max="10" width="25.5703125" style="83" customWidth="1"/>
    <col min="11" max="11" width="17.42578125" style="83" bestFit="1" customWidth="1"/>
    <col min="12" max="13" width="26.28515625" style="83" bestFit="1" customWidth="1"/>
    <col min="14" max="14" width="21.7109375" style="83" customWidth="1"/>
    <col min="15" max="15" width="17.28515625" style="83" customWidth="1"/>
    <col min="16" max="16" width="12.7109375" style="83" bestFit="1" customWidth="1"/>
    <col min="17" max="18" width="12" style="83" bestFit="1" customWidth="1"/>
    <col min="19" max="19" width="9.28515625" style="83"/>
    <col min="20" max="24" width="12" style="83" bestFit="1" customWidth="1"/>
    <col min="25" max="25" width="9.28515625" style="83"/>
    <col min="26" max="26" width="22.28515625" style="83" bestFit="1" customWidth="1"/>
    <col min="27" max="16384" width="9.28515625" style="83"/>
  </cols>
  <sheetData>
    <row r="1" spans="1:17" s="36" customFormat="1" x14ac:dyDescent="0.25">
      <c r="A1" s="35" t="s">
        <v>108</v>
      </c>
    </row>
    <row r="2" spans="1:17" x14ac:dyDescent="0.25">
      <c r="B2" s="1" t="s">
        <v>57</v>
      </c>
    </row>
    <row r="3" spans="1:17" x14ac:dyDescent="0.25">
      <c r="B3" s="59" t="s">
        <v>55</v>
      </c>
      <c r="C3" s="59" t="s">
        <v>73</v>
      </c>
    </row>
    <row r="4" spans="1:17" x14ac:dyDescent="0.25">
      <c r="B4" s="72">
        <v>44070</v>
      </c>
      <c r="C4" s="70" t="s">
        <v>115</v>
      </c>
    </row>
    <row r="5" spans="1:17" x14ac:dyDescent="0.25">
      <c r="B5" s="59" t="s">
        <v>70</v>
      </c>
      <c r="C5" s="70" t="s">
        <v>116</v>
      </c>
      <c r="D5" s="88"/>
    </row>
    <row r="6" spans="1:17" x14ac:dyDescent="0.25">
      <c r="B6" s="80">
        <v>2</v>
      </c>
      <c r="C6" s="70"/>
      <c r="D6" s="88"/>
    </row>
    <row r="7" spans="1:17" x14ac:dyDescent="0.25">
      <c r="B7" s="87"/>
      <c r="C7" s="70"/>
      <c r="D7" s="88"/>
    </row>
    <row r="8" spans="1:17" x14ac:dyDescent="0.25">
      <c r="B8" s="86"/>
      <c r="C8" s="70"/>
      <c r="D8" s="88"/>
      <c r="K8" s="102" t="s">
        <v>109</v>
      </c>
      <c r="L8" s="102"/>
    </row>
    <row r="9" spans="1:17" x14ac:dyDescent="0.25">
      <c r="F9" s="106" t="s">
        <v>68</v>
      </c>
      <c r="G9" s="107"/>
      <c r="K9" s="4" t="s">
        <v>1</v>
      </c>
      <c r="L9" s="4" t="s">
        <v>2</v>
      </c>
    </row>
    <row r="10" spans="1:17" x14ac:dyDescent="0.25">
      <c r="B10" s="4" t="s">
        <v>0</v>
      </c>
      <c r="C10" s="4" t="s">
        <v>1</v>
      </c>
      <c r="D10" s="4" t="s">
        <v>2</v>
      </c>
      <c r="E10" s="4" t="s">
        <v>3</v>
      </c>
      <c r="F10" s="3" t="s">
        <v>67</v>
      </c>
      <c r="G10" s="3" t="s">
        <v>69</v>
      </c>
      <c r="K10" s="98">
        <f>C11</f>
        <v>8</v>
      </c>
      <c r="L10" s="5">
        <f>D11</f>
        <v>90.4</v>
      </c>
    </row>
    <row r="11" spans="1:17" x14ac:dyDescent="0.25">
      <c r="B11" s="70">
        <v>11.3</v>
      </c>
      <c r="C11" s="70">
        <v>8</v>
      </c>
      <c r="D11" s="5">
        <f>PRODUCT(B11:C11)</f>
        <v>90.4</v>
      </c>
      <c r="E11" s="5">
        <f>D11/C36*100</f>
        <v>99.655748209617286</v>
      </c>
      <c r="F11" s="79">
        <v>79</v>
      </c>
      <c r="G11" s="79">
        <v>101</v>
      </c>
    </row>
    <row r="12" spans="1:17" ht="15.75" thickBot="1" x14ac:dyDescent="0.3"/>
    <row r="13" spans="1:17" ht="28.9" customHeight="1" x14ac:dyDescent="0.25">
      <c r="B13" s="59" t="s">
        <v>58</v>
      </c>
      <c r="C13" s="59" t="s">
        <v>59</v>
      </c>
      <c r="D13" s="81" t="s">
        <v>60</v>
      </c>
      <c r="F13" s="63" t="s">
        <v>56</v>
      </c>
      <c r="H13" s="108" t="s">
        <v>110</v>
      </c>
      <c r="I13" s="109"/>
      <c r="J13" s="109"/>
      <c r="K13" s="109"/>
      <c r="L13" s="110"/>
      <c r="M13" s="111" t="s">
        <v>54</v>
      </c>
      <c r="N13" s="112"/>
      <c r="O13" s="112"/>
      <c r="P13" s="113"/>
    </row>
    <row r="14" spans="1:17" ht="31.9" customHeight="1" x14ac:dyDescent="0.25">
      <c r="B14" s="71"/>
      <c r="C14" s="71"/>
      <c r="D14" s="101"/>
      <c r="F14" s="69">
        <f>H74</f>
        <v>960000</v>
      </c>
      <c r="H14" s="4" t="s">
        <v>4</v>
      </c>
      <c r="I14" s="4" t="s">
        <v>5</v>
      </c>
      <c r="J14" s="4" t="s">
        <v>6</v>
      </c>
      <c r="K14" s="4" t="s">
        <v>7</v>
      </c>
      <c r="L14" s="84" t="s">
        <v>8</v>
      </c>
      <c r="M14" s="99" t="s">
        <v>114</v>
      </c>
      <c r="N14" s="99" t="s">
        <v>111</v>
      </c>
      <c r="O14" s="114" t="s">
        <v>112</v>
      </c>
      <c r="P14" s="115"/>
      <c r="Q14" s="85" t="s">
        <v>71</v>
      </c>
    </row>
    <row r="15" spans="1:17" ht="15.75" thickBot="1" x14ac:dyDescent="0.3">
      <c r="H15" s="2">
        <f>(F70-0.025)*100</f>
        <v>52.630104150841483</v>
      </c>
      <c r="I15" s="2">
        <f>MAX((G70-0.025)*100,"0")</f>
        <v>42.369895849158517</v>
      </c>
      <c r="J15" s="5">
        <f>B59</f>
        <v>171.39811066126856</v>
      </c>
      <c r="K15" s="5">
        <f>D59</f>
        <v>154.80923774257579</v>
      </c>
      <c r="L15" s="66">
        <f>E59*100</f>
        <v>0</v>
      </c>
      <c r="M15" s="67">
        <f>(((G70*100))-80.306)/(-8.5896)</f>
        <v>4.125466162666652</v>
      </c>
      <c r="N15" s="100">
        <f>IF(I15&gt;0,M15,M16)</f>
        <v>4.125466162666652</v>
      </c>
      <c r="O15" s="68">
        <f>B4+N15</f>
        <v>44074.125466162666</v>
      </c>
      <c r="P15" s="68"/>
      <c r="Q15" s="68">
        <f ca="1">TODAY()</f>
        <v>44070</v>
      </c>
    </row>
    <row r="16" spans="1:17" s="12" customFormat="1" ht="15.75" thickBot="1" x14ac:dyDescent="0.3">
      <c r="M16" s="67">
        <f>(((F70*100))-188.23)/(-8.7682)</f>
        <v>15.179842595875837</v>
      </c>
    </row>
    <row r="17" spans="2:9" x14ac:dyDescent="0.25">
      <c r="B17" s="6" t="s">
        <v>9</v>
      </c>
      <c r="C17" s="1" t="s">
        <v>10</v>
      </c>
    </row>
    <row r="18" spans="2:9" ht="15.75" thickBot="1" x14ac:dyDescent="0.3"/>
    <row r="19" spans="2:9" x14ac:dyDescent="0.25">
      <c r="B19" s="7" t="s">
        <v>11</v>
      </c>
      <c r="C19" s="8" t="s">
        <v>12</v>
      </c>
      <c r="D19" s="8" t="s">
        <v>13</v>
      </c>
      <c r="E19" s="8" t="s">
        <v>14</v>
      </c>
      <c r="F19" s="8" t="s">
        <v>15</v>
      </c>
      <c r="G19" s="8" t="s">
        <v>16</v>
      </c>
      <c r="H19" s="8" t="s">
        <v>17</v>
      </c>
      <c r="I19" s="9" t="s">
        <v>18</v>
      </c>
    </row>
    <row r="20" spans="2:9" x14ac:dyDescent="0.25">
      <c r="B20" s="10">
        <v>1</v>
      </c>
      <c r="C20" s="70">
        <v>65</v>
      </c>
      <c r="D20" s="70">
        <v>11.22</v>
      </c>
      <c r="E20" s="70">
        <v>0</v>
      </c>
      <c r="F20" s="70">
        <v>0</v>
      </c>
      <c r="G20" s="70">
        <v>59</v>
      </c>
      <c r="H20" s="70">
        <v>9.0500000000000007</v>
      </c>
      <c r="I20" s="93">
        <v>0</v>
      </c>
    </row>
    <row r="21" spans="2:9" x14ac:dyDescent="0.25">
      <c r="B21" s="10">
        <v>2</v>
      </c>
      <c r="C21" s="70">
        <v>57</v>
      </c>
      <c r="D21" s="70">
        <v>9.59</v>
      </c>
      <c r="E21" s="70">
        <v>0</v>
      </c>
      <c r="F21" s="70">
        <v>0</v>
      </c>
      <c r="G21" s="70">
        <v>47</v>
      </c>
      <c r="H21" s="70">
        <v>7.5</v>
      </c>
      <c r="I21" s="93">
        <v>0</v>
      </c>
    </row>
    <row r="22" spans="2:9" ht="15.75" thickBot="1" x14ac:dyDescent="0.3">
      <c r="B22" s="11">
        <v>3</v>
      </c>
      <c r="C22" s="94">
        <v>57</v>
      </c>
      <c r="D22" s="94">
        <v>9.8800000000000008</v>
      </c>
      <c r="E22" s="70">
        <v>0</v>
      </c>
      <c r="F22" s="70">
        <v>0</v>
      </c>
      <c r="G22" s="94">
        <v>41</v>
      </c>
      <c r="H22" s="94">
        <v>6.21</v>
      </c>
      <c r="I22" s="93">
        <v>0</v>
      </c>
    </row>
    <row r="25" spans="2:9" s="12" customFormat="1" ht="15.75" thickBot="1" x14ac:dyDescent="0.3"/>
    <row r="27" spans="2:9" x14ac:dyDescent="0.25">
      <c r="B27" s="1" t="s">
        <v>19</v>
      </c>
    </row>
    <row r="28" spans="2:9" ht="15.75" thickBot="1" x14ac:dyDescent="0.3">
      <c r="B28" s="6"/>
    </row>
    <row r="29" spans="2:9" ht="15.75" thickBot="1" x14ac:dyDescent="0.3">
      <c r="B29" s="13" t="s">
        <v>20</v>
      </c>
      <c r="C29" s="14" t="str">
        <f>IF(COUNTIF(B60:H60,0),"NO","YES")</f>
        <v>NO</v>
      </c>
      <c r="D29" s="1" t="s">
        <v>21</v>
      </c>
    </row>
    <row r="30" spans="2:9" ht="15.75" thickBot="1" x14ac:dyDescent="0.3"/>
    <row r="31" spans="2:9" ht="33.75" customHeight="1" thickBot="1" x14ac:dyDescent="0.3">
      <c r="B31" s="15" t="s">
        <v>22</v>
      </c>
      <c r="C31" s="16">
        <f>B74-E59</f>
        <v>0.9</v>
      </c>
    </row>
    <row r="32" spans="2:9" ht="15" customHeight="1" thickBot="1" x14ac:dyDescent="0.3">
      <c r="B32" s="17"/>
      <c r="C32" s="18"/>
    </row>
    <row r="33" spans="2:7" ht="15.75" thickBot="1" x14ac:dyDescent="0.3">
      <c r="C33" s="116" t="s">
        <v>23</v>
      </c>
      <c r="D33" s="117"/>
    </row>
    <row r="34" spans="2:7" ht="15.75" thickBot="1" x14ac:dyDescent="0.3">
      <c r="C34" s="19">
        <v>1</v>
      </c>
      <c r="D34" s="19">
        <v>2</v>
      </c>
    </row>
    <row r="35" spans="2:7" ht="15.75" thickBot="1" x14ac:dyDescent="0.3"/>
    <row r="36" spans="2:7" ht="30.75" thickBot="1" x14ac:dyDescent="0.3">
      <c r="B36" s="15" t="s">
        <v>24</v>
      </c>
      <c r="C36" s="20">
        <f>F74</f>
        <v>90.712278643326613</v>
      </c>
      <c r="D36" s="20">
        <f>C36</f>
        <v>90.712278643326613</v>
      </c>
    </row>
    <row r="37" spans="2:7" ht="15.75" thickBot="1" x14ac:dyDescent="0.3">
      <c r="B37" s="17"/>
      <c r="C37" s="21"/>
      <c r="F37" s="92"/>
      <c r="G37" s="92"/>
    </row>
    <row r="38" spans="2:7" ht="30.75" thickBot="1" x14ac:dyDescent="0.3">
      <c r="B38" s="15" t="s">
        <v>25</v>
      </c>
      <c r="C38" s="22">
        <f>C36*C34</f>
        <v>90.712278643326613</v>
      </c>
      <c r="D38" s="22">
        <f>D36*D34</f>
        <v>181.42455728665323</v>
      </c>
      <c r="F38" s="78"/>
      <c r="G38" s="78"/>
    </row>
    <row r="39" spans="2:7" ht="15.75" thickBot="1" x14ac:dyDescent="0.3">
      <c r="B39" s="17"/>
      <c r="C39" s="21"/>
    </row>
    <row r="40" spans="2:7" ht="15.75" thickBot="1" x14ac:dyDescent="0.3">
      <c r="B40" s="15" t="s">
        <v>26</v>
      </c>
      <c r="C40" s="22">
        <f>C34*8</f>
        <v>8</v>
      </c>
      <c r="D40" s="22">
        <f>D34*8</f>
        <v>16</v>
      </c>
    </row>
    <row r="41" spans="2:7" ht="15.75" thickBot="1" x14ac:dyDescent="0.3">
      <c r="B41" s="17"/>
      <c r="C41" s="21"/>
      <c r="D41" s="21"/>
    </row>
    <row r="42" spans="2:7" ht="15.75" thickBot="1" x14ac:dyDescent="0.3">
      <c r="B42" s="15" t="s">
        <v>27</v>
      </c>
      <c r="C42" s="23">
        <f>C36/8</f>
        <v>11.339034830415827</v>
      </c>
      <c r="D42" s="23">
        <f>C42</f>
        <v>11.339034830415827</v>
      </c>
    </row>
    <row r="43" spans="2:7" ht="15.75" thickBot="1" x14ac:dyDescent="0.3">
      <c r="B43" s="17"/>
      <c r="C43" s="24"/>
      <c r="D43" s="24"/>
    </row>
    <row r="44" spans="2:7" ht="15.75" thickBot="1" x14ac:dyDescent="0.3">
      <c r="B44" s="13" t="s">
        <v>28</v>
      </c>
      <c r="C44" s="19">
        <v>32</v>
      </c>
      <c r="D44" s="19">
        <v>32</v>
      </c>
    </row>
    <row r="45" spans="2:7" ht="15.75" thickBot="1" x14ac:dyDescent="0.3">
      <c r="B45" s="6"/>
      <c r="C45" s="25"/>
      <c r="D45" s="25"/>
    </row>
    <row r="46" spans="2:7" x14ac:dyDescent="0.25">
      <c r="B46" s="26" t="s">
        <v>29</v>
      </c>
      <c r="C46" s="27"/>
      <c r="D46" s="27"/>
      <c r="E46" s="28"/>
      <c r="F46" s="28"/>
      <c r="G46" s="29"/>
    </row>
    <row r="47" spans="2:7" ht="15.75" thickBot="1" x14ac:dyDescent="0.3">
      <c r="B47" s="30"/>
      <c r="C47" s="25"/>
      <c r="D47" s="25"/>
      <c r="G47" s="31"/>
    </row>
    <row r="48" spans="2:7" ht="15.75" thickBot="1" x14ac:dyDescent="0.3">
      <c r="B48" s="15" t="s">
        <v>30</v>
      </c>
      <c r="C48" s="22">
        <f>ROUNDUP(C38/32,0)</f>
        <v>3</v>
      </c>
      <c r="D48" s="22">
        <f>C48*2</f>
        <v>6</v>
      </c>
      <c r="E48" s="12"/>
      <c r="F48" s="12"/>
      <c r="G48" s="32"/>
    </row>
    <row r="49" spans="1:11" x14ac:dyDescent="0.25">
      <c r="B49" s="17"/>
      <c r="C49" s="18"/>
      <c r="D49" s="18"/>
    </row>
    <row r="51" spans="1:11" s="12" customFormat="1" ht="15.75" thickBot="1" x14ac:dyDescent="0.3">
      <c r="B51" s="33"/>
      <c r="C51" s="34"/>
      <c r="D51" s="34"/>
    </row>
    <row r="53" spans="1:11" x14ac:dyDescent="0.25">
      <c r="B53" s="6" t="s">
        <v>31</v>
      </c>
      <c r="C53" s="35" t="s">
        <v>32</v>
      </c>
      <c r="D53" s="36"/>
      <c r="E53" s="36"/>
    </row>
    <row r="54" spans="1:11" ht="15.75" thickBot="1" x14ac:dyDescent="0.3">
      <c r="F54" s="103" t="s">
        <v>33</v>
      </c>
      <c r="G54" s="103"/>
      <c r="H54" s="103"/>
      <c r="I54" s="103"/>
      <c r="J54" s="103"/>
      <c r="K54" s="37"/>
    </row>
    <row r="55" spans="1:11" x14ac:dyDescent="0.25">
      <c r="A55" s="38"/>
      <c r="B55" s="39" t="s">
        <v>34</v>
      </c>
      <c r="C55" s="40" t="s">
        <v>35</v>
      </c>
      <c r="D55" s="41" t="s">
        <v>36</v>
      </c>
      <c r="E55" s="8" t="s">
        <v>37</v>
      </c>
      <c r="F55" s="8" t="s">
        <v>38</v>
      </c>
      <c r="G55" s="8" t="s">
        <v>39</v>
      </c>
      <c r="H55" s="8" t="s">
        <v>40</v>
      </c>
      <c r="I55" s="8" t="s">
        <v>41</v>
      </c>
      <c r="J55" s="8" t="s">
        <v>42</v>
      </c>
      <c r="K55" s="9" t="s">
        <v>43</v>
      </c>
    </row>
    <row r="56" spans="1:11" x14ac:dyDescent="0.25">
      <c r="B56" s="42">
        <f>IFERROR(D20/C20*1000,"")</f>
        <v>172.61538461538461</v>
      </c>
      <c r="C56" s="5" t="str">
        <f>IFERROR(F20/E20*1000,"")</f>
        <v/>
      </c>
      <c r="D56" s="43">
        <f>IFERROR(H20/G20*1000,"")</f>
        <v>153.3898305084746</v>
      </c>
      <c r="E56" s="2">
        <f>IFERROR(I20/K56,"")</f>
        <v>0</v>
      </c>
      <c r="F56" s="2">
        <f>SUM(I56:J56)</f>
        <v>0.52419354838709675</v>
      </c>
      <c r="G56" s="2">
        <f>G20/K56</f>
        <v>0.47580645161290325</v>
      </c>
      <c r="H56" s="2" t="str">
        <f>IFERROR(I56/J56,"")</f>
        <v/>
      </c>
      <c r="I56" s="2">
        <f>C20/K56</f>
        <v>0.52419354838709675</v>
      </c>
      <c r="J56" s="2">
        <f>E20/K56</f>
        <v>0</v>
      </c>
      <c r="K56" s="44">
        <f>SUM(C20,E20,G20,I20)</f>
        <v>124</v>
      </c>
    </row>
    <row r="57" spans="1:11" x14ac:dyDescent="0.25">
      <c r="B57" s="42">
        <f>IFERROR(D21/C21*1000,"")</f>
        <v>168.24561403508773</v>
      </c>
      <c r="C57" s="5" t="str">
        <f>IFERROR(F21/E21*1000,"")</f>
        <v/>
      </c>
      <c r="D57" s="43">
        <f>IFERROR(H21/G21*1000,"")</f>
        <v>159.57446808510639</v>
      </c>
      <c r="E57" s="2">
        <f>IFERROR(I21/K57,"")</f>
        <v>0</v>
      </c>
      <c r="F57" s="2">
        <f>SUM(I57:J57)</f>
        <v>0.54807692307692313</v>
      </c>
      <c r="G57" s="2">
        <f>G21/K57</f>
        <v>0.45192307692307693</v>
      </c>
      <c r="H57" s="2" t="str">
        <f t="shared" ref="H57:H58" si="0">IFERROR(I57/J57,"")</f>
        <v/>
      </c>
      <c r="I57" s="2">
        <f>C21/K57</f>
        <v>0.54807692307692313</v>
      </c>
      <c r="J57" s="2">
        <f>E21/K57</f>
        <v>0</v>
      </c>
      <c r="K57" s="44">
        <f>SUM(C21,E21,G21,I21)</f>
        <v>104</v>
      </c>
    </row>
    <row r="58" spans="1:11" ht="15.75" thickBot="1" x14ac:dyDescent="0.3">
      <c r="B58" s="45">
        <f>IFERROR(D22/C22*1000,"")</f>
        <v>173.33333333333334</v>
      </c>
      <c r="C58" s="46" t="str">
        <f>IFERROR(F22/E22*1000,"")</f>
        <v/>
      </c>
      <c r="D58" s="43">
        <f>IFERROR(H22/G22*1000,"")</f>
        <v>151.46341463414635</v>
      </c>
      <c r="E58" s="2">
        <f>IFERROR(I22/K58,"")</f>
        <v>0</v>
      </c>
      <c r="F58" s="47">
        <f>SUM(I58:J58)</f>
        <v>0.58163265306122447</v>
      </c>
      <c r="G58" s="47">
        <f>G22/K58</f>
        <v>0.41836734693877553</v>
      </c>
      <c r="H58" s="47" t="str">
        <f t="shared" si="0"/>
        <v/>
      </c>
      <c r="I58" s="47">
        <f>C22/K58</f>
        <v>0.58163265306122447</v>
      </c>
      <c r="J58" s="47">
        <f>E22/K58</f>
        <v>0</v>
      </c>
      <c r="K58" s="48">
        <f>SUM(C22,E22,G22,I22)</f>
        <v>98</v>
      </c>
    </row>
    <row r="59" spans="1:11" ht="15.75" thickBot="1" x14ac:dyDescent="0.3">
      <c r="A59" s="49" t="s">
        <v>44</v>
      </c>
      <c r="B59" s="50">
        <f>AVERAGE(B56:B58)</f>
        <v>171.39811066126856</v>
      </c>
      <c r="C59" s="51" t="str">
        <f>IFERROR(AVERAGE(C56:C58),"0")</f>
        <v>0</v>
      </c>
      <c r="D59" s="52">
        <f t="shared" ref="D59:J59" si="1">AVERAGE(D56:D58)</f>
        <v>154.80923774257579</v>
      </c>
      <c r="E59" s="53">
        <f t="shared" si="1"/>
        <v>0</v>
      </c>
      <c r="F59" s="53">
        <f t="shared" si="1"/>
        <v>0.55130104150841486</v>
      </c>
      <c r="G59" s="54">
        <f t="shared" si="1"/>
        <v>0.4486989584915852</v>
      </c>
      <c r="H59" s="54" t="e">
        <f t="shared" si="1"/>
        <v>#DIV/0!</v>
      </c>
      <c r="I59" s="53">
        <f t="shared" si="1"/>
        <v>0.55130104150841486</v>
      </c>
      <c r="J59" s="54">
        <f t="shared" si="1"/>
        <v>0</v>
      </c>
    </row>
    <row r="60" spans="1:11" ht="11.25" customHeight="1" x14ac:dyDescent="0.25">
      <c r="A60" s="55" t="s">
        <v>45</v>
      </c>
      <c r="B60" s="55">
        <f>IF((B61="YES"),1,0)</f>
        <v>1</v>
      </c>
      <c r="C60" s="55">
        <f>IF((C61="YES"),1,0)</f>
        <v>1</v>
      </c>
      <c r="D60" s="55">
        <f t="shared" ref="D60:H60" si="2">IF((D61="YES"),1,0)</f>
        <v>1</v>
      </c>
      <c r="E60" s="55">
        <f t="shared" si="2"/>
        <v>1</v>
      </c>
      <c r="F60" s="55">
        <f t="shared" si="2"/>
        <v>0</v>
      </c>
      <c r="G60" s="55">
        <f t="shared" si="2"/>
        <v>0</v>
      </c>
      <c r="H60" s="55" t="e">
        <f t="shared" si="2"/>
        <v>#DIV/0!</v>
      </c>
      <c r="I60" s="56"/>
      <c r="J60" s="56"/>
    </row>
    <row r="61" spans="1:11" ht="30" x14ac:dyDescent="0.25">
      <c r="A61" s="55" t="s">
        <v>46</v>
      </c>
      <c r="B61" s="57" t="str">
        <f>IF(B59&gt;=B62,"YES","NO")</f>
        <v>YES</v>
      </c>
      <c r="C61" s="57" t="str">
        <f>IF(C59&gt;=C62,"YES","NO")</f>
        <v>YES</v>
      </c>
      <c r="D61" s="57" t="str">
        <f t="shared" ref="D61" si="3">IF(D59&gt;=D62,"YES","NO")</f>
        <v>YES</v>
      </c>
      <c r="E61" s="57" t="str">
        <f>IF(E59&lt;=E62,"YES","NO")</f>
        <v>YES</v>
      </c>
      <c r="F61" s="57" t="str">
        <f t="shared" ref="F61" si="4">IF(F59&gt;=F62,"YES","NO")</f>
        <v>NO</v>
      </c>
      <c r="G61" s="57" t="str">
        <f>IF(G59&lt;=G62,"YES","NO")</f>
        <v>NO</v>
      </c>
      <c r="H61" s="57" t="e">
        <f>IF(H59&gt;=H62,"YES","NO")</f>
        <v>#DIV/0!</v>
      </c>
    </row>
    <row r="62" spans="1:11" ht="30" x14ac:dyDescent="0.25">
      <c r="A62" s="81" t="s">
        <v>47</v>
      </c>
      <c r="B62" s="58">
        <v>109</v>
      </c>
      <c r="C62" s="58">
        <v>110</v>
      </c>
      <c r="D62" s="58">
        <v>73</v>
      </c>
      <c r="E62" s="58">
        <v>0.11</v>
      </c>
      <c r="F62" s="58">
        <v>0.57999999999999996</v>
      </c>
      <c r="G62" s="58">
        <v>0.36</v>
      </c>
      <c r="H62" s="58">
        <v>0.71</v>
      </c>
    </row>
    <row r="65" spans="1:8" x14ac:dyDescent="0.25">
      <c r="B65" s="104" t="s">
        <v>48</v>
      </c>
      <c r="C65" s="105"/>
      <c r="D65" s="105"/>
      <c r="E65" s="105"/>
      <c r="F65" s="105"/>
      <c r="G65" s="105"/>
    </row>
    <row r="66" spans="1:8" x14ac:dyDescent="0.25">
      <c r="B66" s="59" t="s">
        <v>41</v>
      </c>
      <c r="C66" s="59" t="s">
        <v>42</v>
      </c>
      <c r="D66" s="59" t="s">
        <v>38</v>
      </c>
      <c r="E66" s="59" t="s">
        <v>39</v>
      </c>
      <c r="F66" s="59" t="s">
        <v>113</v>
      </c>
      <c r="G66" s="59" t="s">
        <v>74</v>
      </c>
      <c r="H66" s="59" t="s">
        <v>49</v>
      </c>
    </row>
    <row r="67" spans="1:8" x14ac:dyDescent="0.25">
      <c r="B67" s="2">
        <f>IFERROR(C20/H67,"")</f>
        <v>0.52419354838709675</v>
      </c>
      <c r="C67" s="2">
        <f>IFERROR(E20/H67,"")</f>
        <v>0</v>
      </c>
      <c r="D67" s="2">
        <f>(SUM(C20,E20))/H67</f>
        <v>0.52419354838709675</v>
      </c>
      <c r="E67" s="2">
        <f>IFERROR(G20/H67,"")</f>
        <v>0.47580645161290325</v>
      </c>
      <c r="F67" s="2">
        <f>B67/(B67+C67+E67)</f>
        <v>0.52419354838709675</v>
      </c>
      <c r="G67" s="2">
        <f>1-F67</f>
        <v>0.47580645161290325</v>
      </c>
      <c r="H67" s="60">
        <f>SUM(C20,E20,G20)</f>
        <v>124</v>
      </c>
    </row>
    <row r="68" spans="1:8" x14ac:dyDescent="0.25">
      <c r="B68" s="2">
        <f>IFERROR(C21/H68,"")</f>
        <v>0.54807692307692313</v>
      </c>
      <c r="C68" s="2">
        <f>IFERROR(E21/H68,"")</f>
        <v>0</v>
      </c>
      <c r="D68" s="2">
        <f>(SUM(C21,E21))/H68</f>
        <v>0.54807692307692313</v>
      </c>
      <c r="E68" s="2">
        <f>IFERROR(G21/H68,"")</f>
        <v>0.45192307692307693</v>
      </c>
      <c r="F68" s="2">
        <f t="shared" ref="F68:F69" si="5">B68/(B68+C68+E68)</f>
        <v>0.54807692307692313</v>
      </c>
      <c r="G68" s="2">
        <f t="shared" ref="G68:G69" si="6">1-F68</f>
        <v>0.45192307692307687</v>
      </c>
      <c r="H68" s="60">
        <f>SUM(C21,E21,G21)</f>
        <v>104</v>
      </c>
    </row>
    <row r="69" spans="1:8" ht="15.75" thickBot="1" x14ac:dyDescent="0.3">
      <c r="B69" s="61">
        <f>IFERROR(C22/H69,"")</f>
        <v>0.58163265306122447</v>
      </c>
      <c r="C69" s="61">
        <f>IFERROR(E22/H69,"")</f>
        <v>0</v>
      </c>
      <c r="D69" s="61">
        <f>(SUM(C22,E22))/H69</f>
        <v>0.58163265306122447</v>
      </c>
      <c r="E69" s="61">
        <f>IFERROR(G22/H69,"")</f>
        <v>0.41836734693877553</v>
      </c>
      <c r="F69" s="2">
        <f t="shared" si="5"/>
        <v>0.58163265306122447</v>
      </c>
      <c r="G69" s="2">
        <f t="shared" si="6"/>
        <v>0.41836734693877553</v>
      </c>
      <c r="H69" s="60">
        <f>SUM(C22,E22,G22)</f>
        <v>98</v>
      </c>
    </row>
    <row r="70" spans="1:8" ht="15.75" thickBot="1" x14ac:dyDescent="0.3">
      <c r="A70" s="49" t="s">
        <v>44</v>
      </c>
      <c r="B70" s="62">
        <f>AVERAGE(B67:B69)</f>
        <v>0.55130104150841486</v>
      </c>
      <c r="C70" s="62">
        <f t="shared" ref="C70:D70" si="7">AVERAGE(C67:C69)</f>
        <v>0</v>
      </c>
      <c r="D70" s="62">
        <f t="shared" si="7"/>
        <v>0.55130104150841486</v>
      </c>
      <c r="E70" s="62">
        <f>AVERAGE(E67:E69)</f>
        <v>0.4486989584915852</v>
      </c>
      <c r="F70" s="62">
        <f>AVERAGE(F67:F69)</f>
        <v>0.55130104150841486</v>
      </c>
      <c r="G70" s="62">
        <f>AVERAGE(G67:G69)</f>
        <v>0.4486989584915852</v>
      </c>
    </row>
    <row r="73" spans="1:8" ht="45.75" thickBot="1" x14ac:dyDescent="0.3">
      <c r="B73" s="63" t="s">
        <v>50</v>
      </c>
      <c r="C73" s="63" t="s">
        <v>51</v>
      </c>
      <c r="D73" s="63" t="s">
        <v>72</v>
      </c>
      <c r="E73" s="63" t="s">
        <v>52</v>
      </c>
      <c r="F73" s="63" t="s">
        <v>75</v>
      </c>
      <c r="G73" s="63" t="s">
        <v>53</v>
      </c>
      <c r="H73" s="63" t="s">
        <v>56</v>
      </c>
    </row>
    <row r="74" spans="1:8" ht="15.75" thickBot="1" x14ac:dyDescent="0.3">
      <c r="B74" s="62">
        <v>0.9</v>
      </c>
      <c r="C74" s="64">
        <f>(B59*(F70/(SUM(F70:G70))))+(C59*(G70/(SUM(F70:G70))))</f>
        <v>94.491956920131898</v>
      </c>
      <c r="D74" s="82">
        <v>0.95</v>
      </c>
      <c r="E74" s="65">
        <v>864000</v>
      </c>
      <c r="F74" s="64">
        <f>(G74*(C74/1000000))</f>
        <v>90.712278643326613</v>
      </c>
      <c r="G74" s="65">
        <f>E74/B74</f>
        <v>960000</v>
      </c>
      <c r="H74" s="65">
        <f>G74+(G74*E59)</f>
        <v>960000</v>
      </c>
    </row>
    <row r="76" spans="1:8" ht="48" customHeight="1" x14ac:dyDescent="0.25">
      <c r="B76" s="89"/>
      <c r="C76" s="89"/>
      <c r="D76" s="89"/>
      <c r="E76" s="89"/>
      <c r="F76" s="89"/>
    </row>
    <row r="77" spans="1:8" ht="15.75" thickBot="1" x14ac:dyDescent="0.3">
      <c r="B77" s="90" t="s">
        <v>76</v>
      </c>
      <c r="C77" s="91"/>
      <c r="D77" s="91"/>
      <c r="E77" s="91"/>
      <c r="F77" s="91"/>
    </row>
    <row r="78" spans="1:8" x14ac:dyDescent="0.25">
      <c r="B78" s="95"/>
    </row>
    <row r="79" spans="1:8" x14ac:dyDescent="0.25">
      <c r="B79" s="96" t="s">
        <v>77</v>
      </c>
    </row>
    <row r="80" spans="1:8" x14ac:dyDescent="0.25">
      <c r="B80" s="96" t="s">
        <v>78</v>
      </c>
    </row>
    <row r="81" spans="2:2" x14ac:dyDescent="0.25">
      <c r="B81" s="96" t="s">
        <v>79</v>
      </c>
    </row>
    <row r="82" spans="2:2" x14ac:dyDescent="0.25">
      <c r="B82" s="96" t="s">
        <v>80</v>
      </c>
    </row>
    <row r="83" spans="2:2" x14ac:dyDescent="0.25">
      <c r="B83" s="96" t="s">
        <v>81</v>
      </c>
    </row>
    <row r="84" spans="2:2" x14ac:dyDescent="0.25">
      <c r="B84" s="96" t="s">
        <v>82</v>
      </c>
    </row>
    <row r="85" spans="2:2" x14ac:dyDescent="0.25">
      <c r="B85" s="96" t="s">
        <v>83</v>
      </c>
    </row>
    <row r="86" spans="2:2" x14ac:dyDescent="0.25">
      <c r="B86" s="96" t="s">
        <v>84</v>
      </c>
    </row>
    <row r="87" spans="2:2" x14ac:dyDescent="0.25">
      <c r="B87" s="96" t="s">
        <v>85</v>
      </c>
    </row>
    <row r="88" spans="2:2" x14ac:dyDescent="0.25">
      <c r="B88" s="96" t="s">
        <v>86</v>
      </c>
    </row>
    <row r="89" spans="2:2" x14ac:dyDescent="0.25">
      <c r="B89" s="96" t="s">
        <v>87</v>
      </c>
    </row>
    <row r="90" spans="2:2" x14ac:dyDescent="0.25">
      <c r="B90" s="96" t="s">
        <v>88</v>
      </c>
    </row>
    <row r="91" spans="2:2" x14ac:dyDescent="0.25">
      <c r="B91" s="96" t="s">
        <v>89</v>
      </c>
    </row>
    <row r="92" spans="2:2" x14ac:dyDescent="0.25">
      <c r="B92" s="96" t="s">
        <v>90</v>
      </c>
    </row>
    <row r="93" spans="2:2" x14ac:dyDescent="0.25">
      <c r="B93" s="96" t="s">
        <v>91</v>
      </c>
    </row>
    <row r="94" spans="2:2" x14ac:dyDescent="0.25">
      <c r="B94" s="96" t="s">
        <v>92</v>
      </c>
    </row>
    <row r="95" spans="2:2" x14ac:dyDescent="0.25">
      <c r="B95" s="96" t="s">
        <v>93</v>
      </c>
    </row>
    <row r="96" spans="2:2" x14ac:dyDescent="0.25">
      <c r="B96" s="96" t="s">
        <v>94</v>
      </c>
    </row>
    <row r="97" spans="2:2" x14ac:dyDescent="0.25">
      <c r="B97" s="96" t="s">
        <v>95</v>
      </c>
    </row>
    <row r="98" spans="2:2" x14ac:dyDescent="0.25">
      <c r="B98" s="96" t="s">
        <v>96</v>
      </c>
    </row>
    <row r="99" spans="2:2" x14ac:dyDescent="0.25">
      <c r="B99" s="96" t="s">
        <v>97</v>
      </c>
    </row>
    <row r="100" spans="2:2" x14ac:dyDescent="0.25">
      <c r="B100" s="96" t="s">
        <v>98</v>
      </c>
    </row>
    <row r="101" spans="2:2" x14ac:dyDescent="0.25">
      <c r="B101" s="96" t="s">
        <v>99</v>
      </c>
    </row>
    <row r="102" spans="2:2" x14ac:dyDescent="0.25">
      <c r="B102" s="96" t="s">
        <v>100</v>
      </c>
    </row>
    <row r="103" spans="2:2" x14ac:dyDescent="0.25">
      <c r="B103" s="96" t="s">
        <v>101</v>
      </c>
    </row>
    <row r="104" spans="2:2" x14ac:dyDescent="0.25">
      <c r="B104" s="96" t="s">
        <v>102</v>
      </c>
    </row>
    <row r="105" spans="2:2" x14ac:dyDescent="0.25">
      <c r="B105" s="96" t="s">
        <v>103</v>
      </c>
    </row>
    <row r="106" spans="2:2" x14ac:dyDescent="0.25">
      <c r="B106" s="96" t="s">
        <v>104</v>
      </c>
    </row>
    <row r="107" spans="2:2" x14ac:dyDescent="0.25">
      <c r="B107" s="96" t="s">
        <v>105</v>
      </c>
    </row>
    <row r="108" spans="2:2" x14ac:dyDescent="0.25">
      <c r="B108" s="96" t="s">
        <v>106</v>
      </c>
    </row>
    <row r="109" spans="2:2" ht="15.75" thickBot="1" x14ac:dyDescent="0.3">
      <c r="B109" s="97" t="s">
        <v>107</v>
      </c>
    </row>
  </sheetData>
  <mergeCells count="8">
    <mergeCell ref="M13:P13"/>
    <mergeCell ref="O14:P14"/>
    <mergeCell ref="C33:D33"/>
    <mergeCell ref="K8:L8"/>
    <mergeCell ref="F54:J54"/>
    <mergeCell ref="B65:G65"/>
    <mergeCell ref="F9:G9"/>
    <mergeCell ref="H13:L13"/>
  </mergeCells>
  <phoneticPr fontId="5" type="noConversion"/>
  <conditionalFormatting sqref="C29 B61:H61">
    <cfRule type="containsText" dxfId="3" priority="5" operator="containsText" text="NO">
      <formula>NOT(ISERROR(SEARCH("NO",B29)))</formula>
    </cfRule>
    <cfRule type="containsText" dxfId="2" priority="6" operator="containsText" text="YES">
      <formula>NOT(ISERROR(SEARCH("YES",B29)))</formula>
    </cfRule>
  </conditionalFormatting>
  <conditionalFormatting sqref="E11">
    <cfRule type="cellIs" dxfId="1" priority="1" operator="lessThan">
      <formula>$F$11</formula>
    </cfRule>
    <cfRule type="cellIs" dxfId="0" priority="2" operator="greaterThan">
      <formula>$G$11</formula>
    </cfRule>
  </conditionalFormatting>
  <dataValidations count="1">
    <dataValidation type="list" allowBlank="1" showInputMessage="1" showErrorMessage="1" sqref="B14" xr:uid="{00000000-0002-0000-0000-000000000000}">
      <formula1>$B$78:$B$109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1"/>
  <sheetViews>
    <sheetView view="pageBreakPreview" topLeftCell="A13" zoomScale="130" zoomScaleNormal="100" zoomScaleSheetLayoutView="130" workbookViewId="0">
      <selection activeCell="M12" sqref="M12"/>
    </sheetView>
  </sheetViews>
  <sheetFormatPr defaultRowHeight="15" x14ac:dyDescent="0.25"/>
  <cols>
    <col min="1" max="1" width="11.28515625" customWidth="1"/>
    <col min="5" max="5" width="11.7109375" customWidth="1"/>
    <col min="7" max="7" width="13" customWidth="1"/>
  </cols>
  <sheetData>
    <row r="1" spans="1:8" ht="15.75" thickBot="1" x14ac:dyDescent="0.3">
      <c r="A1" s="73" t="s">
        <v>61</v>
      </c>
      <c r="C1" s="118" t="s">
        <v>66</v>
      </c>
      <c r="D1" s="119"/>
      <c r="E1" s="119"/>
      <c r="F1" s="119"/>
      <c r="G1" s="119"/>
      <c r="H1" s="120"/>
    </row>
    <row r="2" spans="1:8" x14ac:dyDescent="0.25">
      <c r="A2" s="74" t="s">
        <v>62</v>
      </c>
    </row>
    <row r="3" spans="1:8" ht="30" x14ac:dyDescent="0.25">
      <c r="A3" s="75" t="s">
        <v>11</v>
      </c>
      <c r="B3" s="75" t="s">
        <v>12</v>
      </c>
      <c r="C3" s="75" t="s">
        <v>13</v>
      </c>
      <c r="D3" s="75" t="s">
        <v>14</v>
      </c>
      <c r="E3" s="75" t="s">
        <v>15</v>
      </c>
      <c r="F3" s="75" t="s">
        <v>16</v>
      </c>
      <c r="G3" s="75" t="s">
        <v>17</v>
      </c>
      <c r="H3" s="75" t="s">
        <v>18</v>
      </c>
    </row>
    <row r="4" spans="1:8" x14ac:dyDescent="0.25">
      <c r="A4" s="76" t="s">
        <v>63</v>
      </c>
      <c r="B4" s="77"/>
      <c r="C4" s="77"/>
      <c r="D4" s="77"/>
      <c r="E4" s="77"/>
      <c r="F4" s="77"/>
      <c r="G4" s="77"/>
      <c r="H4" s="77"/>
    </row>
    <row r="5" spans="1:8" x14ac:dyDescent="0.25">
      <c r="A5" s="76" t="s">
        <v>64</v>
      </c>
      <c r="B5" s="77"/>
      <c r="C5" s="77"/>
      <c r="D5" s="77"/>
      <c r="E5" s="77"/>
      <c r="F5" s="77"/>
      <c r="G5" s="77"/>
      <c r="H5" s="77"/>
    </row>
    <row r="6" spans="1:8" x14ac:dyDescent="0.25">
      <c r="A6" s="76" t="s">
        <v>65</v>
      </c>
      <c r="B6" s="77"/>
      <c r="C6" s="77"/>
      <c r="D6" s="77"/>
      <c r="E6" s="77"/>
      <c r="F6" s="77"/>
      <c r="G6" s="77"/>
      <c r="H6" s="77"/>
    </row>
    <row r="8" spans="1:8" x14ac:dyDescent="0.25">
      <c r="A8" s="73" t="s">
        <v>61</v>
      </c>
    </row>
    <row r="9" spans="1:8" x14ac:dyDescent="0.25">
      <c r="A9" s="74" t="s">
        <v>62</v>
      </c>
    </row>
    <row r="10" spans="1:8" ht="30" x14ac:dyDescent="0.25">
      <c r="A10" s="75" t="s">
        <v>11</v>
      </c>
      <c r="B10" s="75" t="s">
        <v>12</v>
      </c>
      <c r="C10" s="75" t="s">
        <v>13</v>
      </c>
      <c r="D10" s="75" t="s">
        <v>14</v>
      </c>
      <c r="E10" s="75" t="s">
        <v>15</v>
      </c>
      <c r="F10" s="75" t="s">
        <v>16</v>
      </c>
      <c r="G10" s="75" t="s">
        <v>17</v>
      </c>
      <c r="H10" s="75" t="s">
        <v>18</v>
      </c>
    </row>
    <row r="11" spans="1:8" x14ac:dyDescent="0.25">
      <c r="A11" s="76" t="s">
        <v>63</v>
      </c>
      <c r="B11" s="77"/>
      <c r="C11" s="77"/>
      <c r="D11" s="77"/>
      <c r="E11" s="77"/>
      <c r="F11" s="77"/>
      <c r="G11" s="77"/>
      <c r="H11" s="77"/>
    </row>
    <row r="12" spans="1:8" x14ac:dyDescent="0.25">
      <c r="A12" s="76" t="s">
        <v>64</v>
      </c>
      <c r="B12" s="77"/>
      <c r="C12" s="77"/>
      <c r="D12" s="77"/>
      <c r="E12" s="77"/>
      <c r="F12" s="77"/>
      <c r="G12" s="77"/>
      <c r="H12" s="77"/>
    </row>
    <row r="13" spans="1:8" x14ac:dyDescent="0.25">
      <c r="A13" s="76" t="s">
        <v>65</v>
      </c>
      <c r="B13" s="77"/>
      <c r="C13" s="77"/>
      <c r="D13" s="77"/>
      <c r="E13" s="77"/>
      <c r="F13" s="77"/>
      <c r="G13" s="77"/>
      <c r="H13" s="77"/>
    </row>
    <row r="15" spans="1:8" x14ac:dyDescent="0.25">
      <c r="A15" s="73" t="s">
        <v>61</v>
      </c>
    </row>
    <row r="16" spans="1:8" x14ac:dyDescent="0.25">
      <c r="A16" s="74" t="s">
        <v>62</v>
      </c>
    </row>
    <row r="17" spans="1:8" ht="30" x14ac:dyDescent="0.25">
      <c r="A17" s="75" t="s">
        <v>11</v>
      </c>
      <c r="B17" s="75" t="s">
        <v>12</v>
      </c>
      <c r="C17" s="75" t="s">
        <v>13</v>
      </c>
      <c r="D17" s="75" t="s">
        <v>14</v>
      </c>
      <c r="E17" s="75" t="s">
        <v>15</v>
      </c>
      <c r="F17" s="75" t="s">
        <v>16</v>
      </c>
      <c r="G17" s="75" t="s">
        <v>17</v>
      </c>
      <c r="H17" s="75" t="s">
        <v>18</v>
      </c>
    </row>
    <row r="18" spans="1:8" x14ac:dyDescent="0.25">
      <c r="A18" s="76" t="s">
        <v>63</v>
      </c>
      <c r="B18" s="77"/>
      <c r="C18" s="77"/>
      <c r="D18" s="77"/>
      <c r="E18" s="77"/>
      <c r="F18" s="77"/>
      <c r="G18" s="77"/>
      <c r="H18" s="77"/>
    </row>
    <row r="19" spans="1:8" x14ac:dyDescent="0.25">
      <c r="A19" s="76" t="s">
        <v>64</v>
      </c>
      <c r="B19" s="77"/>
      <c r="C19" s="77"/>
      <c r="D19" s="77"/>
      <c r="E19" s="77"/>
      <c r="F19" s="77"/>
      <c r="G19" s="77"/>
      <c r="H19" s="77"/>
    </row>
    <row r="20" spans="1:8" x14ac:dyDescent="0.25">
      <c r="A20" s="76" t="s">
        <v>65</v>
      </c>
      <c r="B20" s="77"/>
      <c r="C20" s="77"/>
      <c r="D20" s="77"/>
      <c r="E20" s="77"/>
      <c r="F20" s="77"/>
      <c r="G20" s="77"/>
      <c r="H20" s="77"/>
    </row>
    <row r="22" spans="1:8" x14ac:dyDescent="0.25">
      <c r="A22" s="73" t="s">
        <v>61</v>
      </c>
    </row>
    <row r="23" spans="1:8" x14ac:dyDescent="0.25">
      <c r="A23" s="74" t="s">
        <v>62</v>
      </c>
    </row>
    <row r="24" spans="1:8" ht="30" x14ac:dyDescent="0.25">
      <c r="A24" s="75" t="s">
        <v>11</v>
      </c>
      <c r="B24" s="75" t="s">
        <v>12</v>
      </c>
      <c r="C24" s="75" t="s">
        <v>13</v>
      </c>
      <c r="D24" s="75" t="s">
        <v>14</v>
      </c>
      <c r="E24" s="75" t="s">
        <v>15</v>
      </c>
      <c r="F24" s="75" t="s">
        <v>16</v>
      </c>
      <c r="G24" s="75" t="s">
        <v>17</v>
      </c>
      <c r="H24" s="75" t="s">
        <v>18</v>
      </c>
    </row>
    <row r="25" spans="1:8" x14ac:dyDescent="0.25">
      <c r="A25" s="76" t="s">
        <v>63</v>
      </c>
      <c r="B25" s="77"/>
      <c r="C25" s="77"/>
      <c r="D25" s="77"/>
      <c r="E25" s="77"/>
      <c r="F25" s="77"/>
      <c r="G25" s="77"/>
      <c r="H25" s="77"/>
    </row>
    <row r="26" spans="1:8" x14ac:dyDescent="0.25">
      <c r="A26" s="76" t="s">
        <v>64</v>
      </c>
      <c r="B26" s="77"/>
      <c r="C26" s="77"/>
      <c r="D26" s="77"/>
      <c r="E26" s="77"/>
      <c r="F26" s="77"/>
      <c r="G26" s="77"/>
      <c r="H26" s="77"/>
    </row>
    <row r="27" spans="1:8" x14ac:dyDescent="0.25">
      <c r="A27" s="76" t="s">
        <v>65</v>
      </c>
      <c r="B27" s="77"/>
      <c r="C27" s="77"/>
      <c r="D27" s="77"/>
      <c r="E27" s="77"/>
      <c r="F27" s="77"/>
      <c r="G27" s="77"/>
      <c r="H27" s="77"/>
    </row>
    <row r="29" spans="1:8" x14ac:dyDescent="0.25">
      <c r="A29" s="73" t="s">
        <v>61</v>
      </c>
    </row>
    <row r="30" spans="1:8" x14ac:dyDescent="0.25">
      <c r="A30" s="74" t="s">
        <v>62</v>
      </c>
    </row>
    <row r="31" spans="1:8" ht="30" x14ac:dyDescent="0.25">
      <c r="A31" s="75" t="s">
        <v>11</v>
      </c>
      <c r="B31" s="75" t="s">
        <v>12</v>
      </c>
      <c r="C31" s="75" t="s">
        <v>13</v>
      </c>
      <c r="D31" s="75" t="s">
        <v>14</v>
      </c>
      <c r="E31" s="75" t="s">
        <v>15</v>
      </c>
      <c r="F31" s="75" t="s">
        <v>16</v>
      </c>
      <c r="G31" s="75" t="s">
        <v>17</v>
      </c>
      <c r="H31" s="75" t="s">
        <v>18</v>
      </c>
    </row>
    <row r="32" spans="1:8" x14ac:dyDescent="0.25">
      <c r="A32" s="76" t="s">
        <v>63</v>
      </c>
      <c r="B32" s="77"/>
      <c r="C32" s="77"/>
      <c r="D32" s="77"/>
      <c r="E32" s="77"/>
      <c r="F32" s="77"/>
      <c r="G32" s="77"/>
      <c r="H32" s="77"/>
    </row>
    <row r="33" spans="1:8" x14ac:dyDescent="0.25">
      <c r="A33" s="76" t="s">
        <v>64</v>
      </c>
      <c r="B33" s="77"/>
      <c r="C33" s="77"/>
      <c r="D33" s="77"/>
      <c r="E33" s="77"/>
      <c r="F33" s="77"/>
      <c r="G33" s="77"/>
      <c r="H33" s="77"/>
    </row>
    <row r="34" spans="1:8" x14ac:dyDescent="0.25">
      <c r="A34" s="76" t="s">
        <v>65</v>
      </c>
      <c r="B34" s="77"/>
      <c r="C34" s="77"/>
      <c r="D34" s="77"/>
      <c r="E34" s="77"/>
      <c r="F34" s="77"/>
      <c r="G34" s="77"/>
      <c r="H34" s="77"/>
    </row>
    <row r="37" spans="1:8" ht="15.75" thickBot="1" x14ac:dyDescent="0.3">
      <c r="C37" s="78"/>
      <c r="D37" s="78"/>
      <c r="E37" s="78"/>
      <c r="F37" s="78"/>
      <c r="G37" s="78"/>
      <c r="H37" s="78"/>
    </row>
    <row r="38" spans="1:8" ht="15.75" thickBot="1" x14ac:dyDescent="0.3">
      <c r="A38" s="73" t="s">
        <v>61</v>
      </c>
      <c r="C38" s="118" t="s">
        <v>66</v>
      </c>
      <c r="D38" s="119"/>
      <c r="E38" s="119"/>
      <c r="F38" s="119"/>
      <c r="G38" s="119"/>
      <c r="H38" s="120"/>
    </row>
    <row r="39" spans="1:8" x14ac:dyDescent="0.25">
      <c r="A39" s="74" t="s">
        <v>62</v>
      </c>
    </row>
    <row r="40" spans="1:8" ht="30" x14ac:dyDescent="0.25">
      <c r="A40" s="75" t="s">
        <v>11</v>
      </c>
      <c r="B40" s="75" t="s">
        <v>12</v>
      </c>
      <c r="C40" s="75" t="s">
        <v>13</v>
      </c>
      <c r="D40" s="75" t="s">
        <v>14</v>
      </c>
      <c r="E40" s="75" t="s">
        <v>15</v>
      </c>
      <c r="F40" s="75" t="s">
        <v>16</v>
      </c>
      <c r="G40" s="75" t="s">
        <v>17</v>
      </c>
      <c r="H40" s="75" t="s">
        <v>18</v>
      </c>
    </row>
    <row r="41" spans="1:8" x14ac:dyDescent="0.25">
      <c r="A41" s="76" t="s">
        <v>63</v>
      </c>
      <c r="B41" s="77"/>
      <c r="C41" s="77"/>
      <c r="D41" s="77"/>
      <c r="E41" s="77"/>
      <c r="F41" s="77"/>
      <c r="G41" s="77"/>
      <c r="H41" s="77"/>
    </row>
    <row r="42" spans="1:8" x14ac:dyDescent="0.25">
      <c r="A42" s="76" t="s">
        <v>64</v>
      </c>
      <c r="B42" s="77"/>
      <c r="C42" s="77"/>
      <c r="D42" s="77"/>
      <c r="E42" s="77"/>
      <c r="F42" s="77"/>
      <c r="G42" s="77"/>
      <c r="H42" s="77"/>
    </row>
    <row r="43" spans="1:8" x14ac:dyDescent="0.25">
      <c r="A43" s="76" t="s">
        <v>65</v>
      </c>
      <c r="B43" s="77"/>
      <c r="C43" s="77"/>
      <c r="D43" s="77"/>
      <c r="E43" s="77"/>
      <c r="F43" s="77"/>
      <c r="G43" s="77"/>
      <c r="H43" s="77"/>
    </row>
    <row r="45" spans="1:8" x14ac:dyDescent="0.25">
      <c r="A45" s="73" t="s">
        <v>61</v>
      </c>
    </row>
    <row r="46" spans="1:8" x14ac:dyDescent="0.25">
      <c r="A46" s="74" t="s">
        <v>62</v>
      </c>
    </row>
    <row r="47" spans="1:8" ht="30" x14ac:dyDescent="0.25">
      <c r="A47" s="75" t="s">
        <v>11</v>
      </c>
      <c r="B47" s="75" t="s">
        <v>12</v>
      </c>
      <c r="C47" s="75" t="s">
        <v>13</v>
      </c>
      <c r="D47" s="75" t="s">
        <v>14</v>
      </c>
      <c r="E47" s="75" t="s">
        <v>15</v>
      </c>
      <c r="F47" s="75" t="s">
        <v>16</v>
      </c>
      <c r="G47" s="75" t="s">
        <v>17</v>
      </c>
      <c r="H47" s="75" t="s">
        <v>18</v>
      </c>
    </row>
    <row r="48" spans="1:8" x14ac:dyDescent="0.25">
      <c r="A48" s="76" t="s">
        <v>63</v>
      </c>
      <c r="B48" s="77"/>
      <c r="C48" s="77"/>
      <c r="D48" s="77"/>
      <c r="E48" s="77"/>
      <c r="F48" s="77"/>
      <c r="G48" s="77"/>
      <c r="H48" s="77"/>
    </row>
    <row r="49" spans="1:8" x14ac:dyDescent="0.25">
      <c r="A49" s="76" t="s">
        <v>64</v>
      </c>
      <c r="B49" s="77"/>
      <c r="C49" s="77"/>
      <c r="D49" s="77"/>
      <c r="E49" s="77"/>
      <c r="F49" s="77"/>
      <c r="G49" s="77"/>
      <c r="H49" s="77"/>
    </row>
    <row r="50" spans="1:8" x14ac:dyDescent="0.25">
      <c r="A50" s="76" t="s">
        <v>65</v>
      </c>
      <c r="B50" s="77"/>
      <c r="C50" s="77"/>
      <c r="D50" s="77"/>
      <c r="E50" s="77"/>
      <c r="F50" s="77"/>
      <c r="G50" s="77"/>
      <c r="H50" s="77"/>
    </row>
    <row r="52" spans="1:8" x14ac:dyDescent="0.25">
      <c r="A52" s="73" t="s">
        <v>61</v>
      </c>
    </row>
    <row r="53" spans="1:8" x14ac:dyDescent="0.25">
      <c r="A53" s="74" t="s">
        <v>62</v>
      </c>
    </row>
    <row r="54" spans="1:8" ht="30" x14ac:dyDescent="0.25">
      <c r="A54" s="75" t="s">
        <v>11</v>
      </c>
      <c r="B54" s="75" t="s">
        <v>12</v>
      </c>
      <c r="C54" s="75" t="s">
        <v>13</v>
      </c>
      <c r="D54" s="75" t="s">
        <v>14</v>
      </c>
      <c r="E54" s="75" t="s">
        <v>15</v>
      </c>
      <c r="F54" s="75" t="s">
        <v>16</v>
      </c>
      <c r="G54" s="75" t="s">
        <v>17</v>
      </c>
      <c r="H54" s="75" t="s">
        <v>18</v>
      </c>
    </row>
    <row r="55" spans="1:8" x14ac:dyDescent="0.25">
      <c r="A55" s="76" t="s">
        <v>63</v>
      </c>
      <c r="B55" s="77"/>
      <c r="C55" s="77"/>
      <c r="D55" s="77"/>
      <c r="E55" s="77"/>
      <c r="F55" s="77"/>
      <c r="G55" s="77"/>
      <c r="H55" s="77"/>
    </row>
    <row r="56" spans="1:8" x14ac:dyDescent="0.25">
      <c r="A56" s="76" t="s">
        <v>64</v>
      </c>
      <c r="B56" s="77"/>
      <c r="C56" s="77"/>
      <c r="D56" s="77"/>
      <c r="E56" s="77"/>
      <c r="F56" s="77"/>
      <c r="G56" s="77"/>
      <c r="H56" s="77"/>
    </row>
    <row r="57" spans="1:8" x14ac:dyDescent="0.25">
      <c r="A57" s="76" t="s">
        <v>65</v>
      </c>
      <c r="B57" s="77"/>
      <c r="C57" s="77"/>
      <c r="D57" s="77"/>
      <c r="E57" s="77"/>
      <c r="F57" s="77"/>
      <c r="G57" s="77"/>
      <c r="H57" s="77"/>
    </row>
    <row r="59" spans="1:8" x14ac:dyDescent="0.25">
      <c r="A59" s="73" t="s">
        <v>61</v>
      </c>
    </row>
    <row r="60" spans="1:8" x14ac:dyDescent="0.25">
      <c r="A60" s="74" t="s">
        <v>62</v>
      </c>
    </row>
    <row r="61" spans="1:8" ht="30" x14ac:dyDescent="0.25">
      <c r="A61" s="75" t="s">
        <v>11</v>
      </c>
      <c r="B61" s="75" t="s">
        <v>12</v>
      </c>
      <c r="C61" s="75" t="s">
        <v>13</v>
      </c>
      <c r="D61" s="75" t="s">
        <v>14</v>
      </c>
      <c r="E61" s="75" t="s">
        <v>15</v>
      </c>
      <c r="F61" s="75" t="s">
        <v>16</v>
      </c>
      <c r="G61" s="75" t="s">
        <v>17</v>
      </c>
      <c r="H61" s="75" t="s">
        <v>18</v>
      </c>
    </row>
    <row r="62" spans="1:8" x14ac:dyDescent="0.25">
      <c r="A62" s="76" t="s">
        <v>63</v>
      </c>
      <c r="B62" s="77"/>
      <c r="C62" s="77"/>
      <c r="D62" s="77"/>
      <c r="E62" s="77"/>
      <c r="F62" s="77"/>
      <c r="G62" s="77"/>
      <c r="H62" s="77"/>
    </row>
    <row r="63" spans="1:8" x14ac:dyDescent="0.25">
      <c r="A63" s="76" t="s">
        <v>64</v>
      </c>
      <c r="B63" s="77"/>
      <c r="C63" s="77"/>
      <c r="D63" s="77"/>
      <c r="E63" s="77"/>
      <c r="F63" s="77"/>
      <c r="G63" s="77"/>
      <c r="H63" s="77"/>
    </row>
    <row r="64" spans="1:8" x14ac:dyDescent="0.25">
      <c r="A64" s="76" t="s">
        <v>65</v>
      </c>
      <c r="B64" s="77"/>
      <c r="C64" s="77"/>
      <c r="D64" s="77"/>
      <c r="E64" s="77"/>
      <c r="F64" s="77"/>
      <c r="G64" s="77"/>
      <c r="H64" s="77"/>
    </row>
    <row r="66" spans="1:8" x14ac:dyDescent="0.25">
      <c r="A66" s="73" t="s">
        <v>61</v>
      </c>
    </row>
    <row r="67" spans="1:8" x14ac:dyDescent="0.25">
      <c r="A67" s="74" t="s">
        <v>62</v>
      </c>
    </row>
    <row r="68" spans="1:8" ht="30" x14ac:dyDescent="0.25">
      <c r="A68" s="75" t="s">
        <v>11</v>
      </c>
      <c r="B68" s="75" t="s">
        <v>12</v>
      </c>
      <c r="C68" s="75" t="s">
        <v>13</v>
      </c>
      <c r="D68" s="75" t="s">
        <v>14</v>
      </c>
      <c r="E68" s="75" t="s">
        <v>15</v>
      </c>
      <c r="F68" s="75" t="s">
        <v>16</v>
      </c>
      <c r="G68" s="75" t="s">
        <v>17</v>
      </c>
      <c r="H68" s="75" t="s">
        <v>18</v>
      </c>
    </row>
    <row r="69" spans="1:8" x14ac:dyDescent="0.25">
      <c r="A69" s="76" t="s">
        <v>63</v>
      </c>
      <c r="B69" s="77"/>
      <c r="C69" s="77"/>
      <c r="D69" s="77"/>
      <c r="E69" s="77"/>
      <c r="F69" s="77"/>
      <c r="G69" s="77"/>
      <c r="H69" s="77"/>
    </row>
    <row r="70" spans="1:8" x14ac:dyDescent="0.25">
      <c r="A70" s="76" t="s">
        <v>64</v>
      </c>
      <c r="B70" s="77"/>
      <c r="C70" s="77"/>
      <c r="D70" s="77"/>
      <c r="E70" s="77"/>
      <c r="F70" s="77"/>
      <c r="G70" s="77"/>
      <c r="H70" s="77"/>
    </row>
    <row r="71" spans="1:8" x14ac:dyDescent="0.25">
      <c r="A71" s="76" t="s">
        <v>65</v>
      </c>
      <c r="B71" s="77"/>
      <c r="C71" s="77"/>
      <c r="D71" s="77"/>
      <c r="E71" s="77"/>
      <c r="F71" s="77"/>
      <c r="G71" s="77"/>
      <c r="H71" s="77"/>
    </row>
  </sheetData>
  <mergeCells count="2">
    <mergeCell ref="C1:H1"/>
    <mergeCell ref="C38:H38"/>
  </mergeCells>
  <pageMargins left="0.7" right="0.7" top="0.75" bottom="0.75" header="0.3" footer="0.3"/>
  <pageSetup scale="97" orientation="portrait" r:id="rId1"/>
  <rowBreaks count="1" manualBreakCount="1">
    <brk id="36"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E7C23C1-069E-4E30-B2EE-27D73FB45B4C}"/>
</file>

<file path=customXml/itemProps2.xml><?xml version="1.0" encoding="utf-8"?>
<ds:datastoreItem xmlns:ds="http://schemas.openxmlformats.org/officeDocument/2006/customXml" ds:itemID="{34F233F2-AFB9-4C9D-B624-0D15A51C63DC}"/>
</file>

<file path=customXml/itemProps3.xml><?xml version="1.0" encoding="utf-8"?>
<ds:datastoreItem xmlns:ds="http://schemas.openxmlformats.org/officeDocument/2006/customXml" ds:itemID="{79966675-2D31-43EB-8A71-B6E7B65B5F0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200827-2</vt:lpstr>
      <vt:lpstr>PRINT ONLY - PP Binning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Olson</dc:creator>
  <cp:lastModifiedBy>rockyview300</cp:lastModifiedBy>
  <cp:lastPrinted>2019-12-09T15:24:38Z</cp:lastPrinted>
  <dcterms:created xsi:type="dcterms:W3CDTF">2019-11-19T21:06:52Z</dcterms:created>
  <dcterms:modified xsi:type="dcterms:W3CDTF">2020-08-27T22:13:33Z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