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DB5F19AC-279E-493D-B371-CFD195F530C1}" xr6:coauthVersionLast="45" xr6:coauthVersionMax="45" xr10:uidLastSave="{00000000-0000-0000-0000-000000000000}"/>
  <bookViews>
    <workbookView xWindow="-120" yWindow="-120" windowWidth="29040" windowHeight="15225" xr2:uid="{00000000-000D-0000-FFFF-FFFF00000000}"/>
  </bookViews>
  <sheets>
    <sheet name="200924-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7" l="1"/>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<sst xmlns="http://schemas.openxmlformats.org/spreadsheetml/2006/main" count="252" uniqueCount="118">
  <si>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</si>
  <si>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</si>
  <si>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</si>
  <si>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</si>
  <si>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</si>
  <si>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</si>
  <si>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</si>
  <si>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</si>
  <si>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</si>
  <si>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</si>
  <si>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</si>
  <si>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</si>
  <si>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</si>
  <si>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</si>
  <si>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</si>
  <si>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</si>
  <si>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</si>
  <si>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</si>
  <si>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</si>
  <si>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</si>
  <si>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</si>
  <si>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</si>
  <si>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</si>
  <si>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</si>
  <si>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</si>
  <si>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</si>
  <si>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</si>
  <si>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</si>
  <si>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</si>
  <si>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</si>
  <si>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</si>
  <si>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</si>
  <si>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</si>
  <si>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</si>
  <si>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</si>
  <si>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</si>
  <si>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</si>
  <si>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</si>
  <si>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</si>
  <si>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</si>
  <si>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</si>
  <si>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</si>
  <si>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</si>
  <si>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</si>
  <si>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</si>
  <si>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</si>
  <si>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</si>
  <si>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</si>
  <si>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</si>
  <si>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</si>
  <si>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</si>
  <si>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</si>
  <si>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</si>
  <si>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</si>
  <si>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</si>
  <si>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</si>
  <si>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</si>
  <si>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</si>
  <si>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</si>
  <si>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</si>
  <si>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</si>
  <si>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</si>
  <si>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</si>
  <si>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</si>
  <si>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</si>
  <si>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</si>
  <si>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</si>
  <si>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</si>
  <si>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</si>
  <si>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</si>
  <si>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</si>
  <si>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</si>
  <si>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</si>
  <si>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</si>
  <si>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</si>
  <si>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</si>
  <si>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</si>
  <si>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</si>
  <si>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</si>
  <si>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</si>
  <si>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</si>
  <si>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</si>
  <si>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</si>
  <si>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</si>
  <si>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</si>
  <si>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</si>
  <si>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</si>
  <si>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</si>
  <si>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</si>
  <si>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</si>
  <si>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</si>
  <si>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</si>
  <si>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</si>
  <si>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</si>
  <si>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</si>
  <si>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</si>
  <si>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</si>
  <si>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</si>
  <si>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</si>
  <si>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</si>
  <si>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</si>
  <si>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</si>
  <si>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</si>
  <si>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</si>
  <si>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</si>
  <si>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</si>
  <si>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</si>
  <si>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</si>
  <si>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</si>
  <si>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</si>
  <si>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</si>
  <si>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</si>
  <si>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</si>
  <si>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</si>
  <si>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</si>
  <si>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</si>
  <si>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400BT-200901-002</t>
  </si>
  <si>
    <t>LBT-200830-001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</si>
</sst>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A7" zoomScale="85" zoomScaleNormal="85" workbookViewId="0">
      <selection activeCell="B15" sqref="B15"/>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44098</v>
      </c>
      <c r="C4" s="70" t="s">
        <v>116</v>
      </c>
    </row>
    <row r="5" spans="1:17" x14ac:dyDescent="0.25">
      <c r="B5" s="59" t="s">
        <v>70</v>
      </c>
      <c r="C5" s="70" t="s">
        <v>117</v>
      </c>
      <c r="D5" s="88"/>
    </row>
    <row r="6" spans="1:17" x14ac:dyDescent="0.25">
      <c r="B6" s="80">
        <v>2</v>
      </c>
      <c r="C6" s="70"/>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146.4</v>
      </c>
    </row>
    <row r="11" spans="1:17" x14ac:dyDescent="0.25">
      <c r="B11" s="70">
        <v>18.3</v>
      </c>
      <c r="C11" s="70">
        <v>8</v>
      </c>
      <c r="D11" s="5">
        <f>PRODUCT(B11:C11)</f>
        <v>146.4</v>
      </c>
      <c r="E11" s="5">
        <f>D11/C36*100</f>
        <v>99.919810068431033</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t="s">
        <v>107</v>
      </c>
      <c r="C14" s="71">
        <v>44102</v>
      </c>
      <c r="D14" s="101">
        <f>O15</f>
        <v>44102.837121810808</v>
      </c>
      <c r="F14" s="69">
        <f>H74</f>
        <v>992672.66067266068</v>
      </c>
      <c r="H14" s="4" t="s">
        <v>4</v>
      </c>
      <c r="I14" s="4" t="s">
        <v>5</v>
      </c>
      <c r="J14" s="4" t="s">
        <v>6</v>
      </c>
      <c r="K14" s="4" t="s">
        <v>7</v>
      </c>
      <c r="L14" s="84" t="s">
        <v>8</v>
      </c>
      <c r="M14" s="99" t="s">
        <v>114</v>
      </c>
      <c r="N14" s="99" t="s">
        <v>111</v>
      </c>
      <c r="O14" s="112" t="s">
        <v>112</v>
      </c>
      <c r="P14" s="113"/>
      <c r="Q14" s="85" t="s">
        <v>71</v>
      </c>
    </row>
    <row r="15" spans="1:17" ht="15.75" thickBot="1" x14ac:dyDescent="0.3">
      <c r="H15" s="2">
        <f>(F70-0.025)*100</f>
        <v>58.742941506099399</v>
      </c>
      <c r="I15" s="2">
        <f>MAX((G70-0.025)*100,"0")</f>
        <v>36.257058493900601</v>
      </c>
      <c r="J15" s="5">
        <f>B59</f>
        <v>156.91878136707427</v>
      </c>
      <c r="K15" s="5">
        <f>D59</f>
        <v>146.95714285714288</v>
      </c>
      <c r="L15" s="66">
        <f>E59*100</f>
        <v>3.4034021534021526</v>
      </c>
      <c r="M15" s="67">
        <f>(((G70*100))-80.306)/(-8.5896)</f>
        <v>4.8371218108060203</v>
      </c>
      <c r="N15" s="100">
        <f>IF(I15&gt;0,M15,M16)</f>
        <v>4.8371218108060203</v>
      </c>
      <c r="O15" s="68">
        <f>B4+N15</f>
        <v>44102.837121810808</v>
      </c>
      <c r="P15" s="68"/>
      <c r="Q15" s="68">
        <f ca="1">TODAY()</f>
        <v>44099</v>
      </c>
    </row>
    <row r="16" spans="1:17" s="12" customFormat="1" ht="15.75" thickBot="1" x14ac:dyDescent="0.3">
      <c r="M16" s="67">
        <f>(((F70*100))-188.23)/(-8.7682)</f>
        <v>14.482682704990829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49</v>
      </c>
      <c r="D20" s="70">
        <v>8.1199999999999992</v>
      </c>
      <c r="E20" s="70">
        <v>0</v>
      </c>
      <c r="F20" s="70">
        <v>0</v>
      </c>
      <c r="G20" s="70">
        <v>28</v>
      </c>
      <c r="H20" s="70">
        <v>4.09</v>
      </c>
      <c r="I20" s="93">
        <v>3</v>
      </c>
    </row>
    <row r="21" spans="2:9" x14ac:dyDescent="0.25">
      <c r="B21" s="10">
        <v>2</v>
      </c>
      <c r="C21" s="70">
        <v>47</v>
      </c>
      <c r="D21" s="70">
        <v>7.44</v>
      </c>
      <c r="E21" s="70">
        <v>2</v>
      </c>
      <c r="F21" s="70">
        <v>0.21</v>
      </c>
      <c r="G21" s="70">
        <v>25</v>
      </c>
      <c r="H21" s="70">
        <v>3.72</v>
      </c>
      <c r="I21" s="93">
        <v>3</v>
      </c>
    </row>
    <row r="22" spans="2:9" ht="15.75" thickBot="1" x14ac:dyDescent="0.3">
      <c r="B22" s="11">
        <v>3</v>
      </c>
      <c r="C22" s="94">
        <v>43</v>
      </c>
      <c r="D22" s="94">
        <v>6.31</v>
      </c>
      <c r="E22" s="70">
        <v>3</v>
      </c>
      <c r="F22" s="70">
        <v>0.56000000000000005</v>
      </c>
      <c r="G22" s="94">
        <v>30</v>
      </c>
      <c r="H22" s="94">
        <v>4.38</v>
      </c>
      <c r="I22" s="93">
        <v>2</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0.86596597846597845</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146.51749227679332</v>
      </c>
      <c r="D36" s="20">
        <f>C36</f>
        <v>146.51749227679332</v>
      </c>
    </row>
    <row r="37" spans="2:7" ht="15.75" thickBot="1" x14ac:dyDescent="0.3">
      <c r="B37" s="17"/>
      <c r="C37" s="21"/>
      <c r="F37" s="92"/>
      <c r="G37" s="92"/>
    </row>
    <row r="38" spans="2:7" ht="30.75" thickBot="1" x14ac:dyDescent="0.3">
      <c r="B38" s="15" t="s">
        <v>25</v>
      </c>
      <c r="C38" s="22">
        <f>C36*C34</f>
        <v>146.51749227679332</v>
      </c>
      <c r="D38" s="22">
        <f>D36*D34</f>
        <v>293.03498455358664</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18.314686534599165</v>
      </c>
      <c r="D42" s="23">
        <f>C42</f>
        <v>18.314686534599165</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165.71428571428569</v>
      </c>
      <c r="C56" s="5" t="str">
        <f>IFERROR(F20/E20*1000,"")</f>
        <v/>
      </c>
      <c r="D56" s="43">
        <f>IFERROR(H20/G20*1000,"")</f>
        <v>146.07142857142858</v>
      </c>
      <c r="E56" s="2">
        <f>IFERROR(I20/K56,"")</f>
        <v>3.7499999999999999E-2</v>
      </c>
      <c r="F56" s="2">
        <f>SUM(I56:J56)</f>
        <v>0.61250000000000004</v>
      </c>
      <c r="G56" s="2">
        <f>G20/K56</f>
        <v>0.35</v>
      </c>
      <c r="H56" s="2" t="str">
        <f>IFERROR(I56/J56,"")</f>
        <v/>
      </c>
      <c r="I56" s="2">
        <f>C20/K56</f>
        <v>0.61250000000000004</v>
      </c>
      <c r="J56" s="2">
        <f>E20/K56</f>
        <v>0</v>
      </c>
      <c r="K56" s="44">
        <f>SUM(C20,E20,G20,I20)</f>
        <v>80</v>
      </c>
    </row>
    <row r="57" spans="1:11" x14ac:dyDescent="0.25">
      <c r="B57" s="42">
        <f>IFERROR(D21/C21*1000,"")</f>
        <v>158.29787234042553</v>
      </c>
      <c r="C57" s="5">
        <f>IFERROR(F21/E21*1000,"")</f>
        <v>105</v>
      </c>
      <c r="D57" s="43">
        <f>IFERROR(H21/G21*1000,"")</f>
        <v>148.80000000000001</v>
      </c>
      <c r="E57" s="2">
        <f>IFERROR(I21/K57,"")</f>
        <v>3.896103896103896E-2</v>
      </c>
      <c r="F57" s="2">
        <f>SUM(I57:J57)</f>
        <v>0.63636363636363635</v>
      </c>
      <c r="G57" s="2">
        <f>G21/K57</f>
        <v>0.32467532467532467</v>
      </c>
      <c r="H57" s="2">
        <f t="shared" ref="H57:H58" si="0">IFERROR(I57/J57,"")</f>
        <v>23.499999999999996</v>
      </c>
      <c r="I57" s="2">
        <f>C21/K57</f>
        <v>0.61038961038961037</v>
      </c>
      <c r="J57" s="2">
        <f>E21/K57</f>
        <v>2.5974025974025976E-2</v>
      </c>
      <c r="K57" s="44">
        <f>SUM(C21,E21,G21,I21)</f>
        <v>77</v>
      </c>
    </row>
    <row r="58" spans="1:11" ht="15.75" thickBot="1" x14ac:dyDescent="0.3">
      <c r="B58" s="45">
        <f>IFERROR(D22/C22*1000,"")</f>
        <v>146.74418604651163</v>
      </c>
      <c r="C58" s="46">
        <f>IFERROR(F22/E22*1000,"")</f>
        <v>186.66666666666669</v>
      </c>
      <c r="D58" s="43">
        <f>IFERROR(H22/G22*1000,"")</f>
        <v>146</v>
      </c>
      <c r="E58" s="2">
        <f>IFERROR(I22/K58,"")</f>
        <v>2.564102564102564E-2</v>
      </c>
      <c r="F58" s="47">
        <f>SUM(I58:J58)</f>
        <v>0.58974358974358976</v>
      </c>
      <c r="G58" s="47">
        <f>G22/K58</f>
        <v>0.38461538461538464</v>
      </c>
      <c r="H58" s="47">
        <f t="shared" si="0"/>
        <v>14.333333333333334</v>
      </c>
      <c r="I58" s="47">
        <f>C22/K58</f>
        <v>0.55128205128205132</v>
      </c>
      <c r="J58" s="47">
        <f>E22/K58</f>
        <v>3.8461538461538464E-2</v>
      </c>
      <c r="K58" s="48">
        <f>SUM(C22,E22,G22,I22)</f>
        <v>78</v>
      </c>
    </row>
    <row r="59" spans="1:11" ht="15.75" thickBot="1" x14ac:dyDescent="0.3">
      <c r="A59" s="49" t="s">
        <v>44</v>
      </c>
      <c r="B59" s="50">
        <f>AVERAGE(B56:B58)</f>
        <v>156.91878136707427</v>
      </c>
      <c r="C59" s="51">
        <f>IFERROR(AVERAGE(C56:C58),"0")</f>
        <v>145.83333333333334</v>
      </c>
      <c r="D59" s="52">
        <f t="shared" ref="D59:J59" si="1">AVERAGE(D56:D58)</f>
        <v>146.95714285714288</v>
      </c>
      <c r="E59" s="53">
        <f t="shared" si="1"/>
        <v>3.4034021534021526E-2</v>
      </c>
      <c r="F59" s="53">
        <f t="shared" si="1"/>
        <v>0.61286907536907542</v>
      </c>
      <c r="G59" s="54">
        <f t="shared" si="1"/>
        <v>0.35309690309690311</v>
      </c>
      <c r="H59" s="54">
        <f t="shared" si="1"/>
        <v>18.916666666666664</v>
      </c>
      <c r="I59" s="53">
        <f t="shared" si="1"/>
        <v>0.59139055389055384</v>
      </c>
      <c r="J59" s="54">
        <f t="shared" si="1"/>
        <v>2.1478521478521483E-2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0.63636363636363635</v>
      </c>
      <c r="C67" s="2">
        <f>IFERROR(E20/H67,"")</f>
        <v>0</v>
      </c>
      <c r="D67" s="2">
        <f>(SUM(C20,E20))/H67</f>
        <v>0.63636363636363635</v>
      </c>
      <c r="E67" s="2">
        <f>IFERROR(G20/H67,"")</f>
        <v>0.36363636363636365</v>
      </c>
      <c r="F67" s="2">
        <f>B67/(B67+C67+E67)</f>
        <v>0.63636363636363635</v>
      </c>
      <c r="G67" s="2">
        <f>1-F67</f>
        <v>0.36363636363636365</v>
      </c>
      <c r="H67" s="60">
        <f>SUM(C20,E20,G20)</f>
        <v>77</v>
      </c>
    </row>
    <row r="68" spans="1:8" x14ac:dyDescent="0.25">
      <c r="B68" s="2">
        <f>IFERROR(C21/H68,"")</f>
        <v>0.63513513513513509</v>
      </c>
      <c r="C68" s="2">
        <f>IFERROR(E21/H68,"")</f>
        <v>2.7027027027027029E-2</v>
      </c>
      <c r="D68" s="2">
        <f>(SUM(C21,E21))/H68</f>
        <v>0.66216216216216217</v>
      </c>
      <c r="E68" s="2">
        <f>IFERROR(G21/H68,"")</f>
        <v>0.33783783783783783</v>
      </c>
      <c r="F68" s="2">
        <f t="shared" ref="F68:F69" si="5">B68/(B68+C68+E68)</f>
        <v>0.6351351351351352</v>
      </c>
      <c r="G68" s="2">
        <f t="shared" ref="G68:G69" si="6">1-F68</f>
        <v>0.3648648648648648</v>
      </c>
      <c r="H68" s="60">
        <f>SUM(C21,E21,G21)</f>
        <v>74</v>
      </c>
    </row>
    <row r="69" spans="1:8" ht="15.75" thickBot="1" x14ac:dyDescent="0.3">
      <c r="B69" s="61">
        <f>IFERROR(C22/H69,"")</f>
        <v>0.56578947368421051</v>
      </c>
      <c r="C69" s="61">
        <f>IFERROR(E22/H69,"")</f>
        <v>3.9473684210526314E-2</v>
      </c>
      <c r="D69" s="61">
        <f>(SUM(C22,E22))/H69</f>
        <v>0.60526315789473684</v>
      </c>
      <c r="E69" s="61">
        <f>IFERROR(G22/H69,"")</f>
        <v>0.39473684210526316</v>
      </c>
      <c r="F69" s="2">
        <f t="shared" si="5"/>
        <v>0.56578947368421051</v>
      </c>
      <c r="G69" s="2">
        <f t="shared" si="6"/>
        <v>0.43421052631578949</v>
      </c>
      <c r="H69" s="60">
        <f>SUM(C22,E22,G22)</f>
        <v>76</v>
      </c>
    </row>
    <row r="70" spans="1:8" ht="15.75" thickBot="1" x14ac:dyDescent="0.3">
      <c r="A70" s="49" t="s">
        <v>44</v>
      </c>
      <c r="B70" s="62">
        <f>AVERAGE(B67:B69)</f>
        <v>0.61242941506099402</v>
      </c>
      <c r="C70" s="62">
        <f t="shared" ref="C70:D70" si="7">AVERAGE(C67:C69)</f>
        <v>2.2166903745851115E-2</v>
      </c>
      <c r="D70" s="62">
        <f t="shared" si="7"/>
        <v>0.63459631880684508</v>
      </c>
      <c r="E70" s="62">
        <f>AVERAGE(E67:E69)</f>
        <v>0.36540368119315492</v>
      </c>
      <c r="F70" s="62">
        <f>AVERAGE(F67:F69)</f>
        <v>0.61242941506099402</v>
      </c>
      <c r="G70" s="62">
        <f>AVERAGE(G67:G69)</f>
        <v>0.38757058493900604</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152.62238778832636</v>
      </c>
      <c r="D74" s="82">
        <v>0.95</v>
      </c>
      <c r="E74" s="65">
        <v>864000</v>
      </c>
      <c r="F74" s="64">
        <f>(G74*(C74/1000000))</f>
        <v>146.51749227679332</v>
      </c>
      <c r="G74" s="65">
        <f>E74/B74</f>
        <v>960000</v>
      </c>
      <c r="H74" s="65">
        <f>G74+(G74*E59)</f>
        <v>992672.66067266068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EF66BD-77AE-475B-824B-13CEF6A387D5}"/>
</file>

<file path=customXml/itemProps2.xml><?xml version="1.0" encoding="utf-8"?>
<ds:datastoreItem xmlns:ds="http://schemas.openxmlformats.org/officeDocument/2006/customXml" ds:itemID="{024C5E25-C7F0-4FB4-8180-A8627BCC5073}"/>
</file>

<file path=customXml/itemProps3.xml><?xml version="1.0" encoding="utf-8"?>
<ds:datastoreItem xmlns:ds="http://schemas.openxmlformats.org/officeDocument/2006/customXml" ds:itemID="{DBA79B4E-47D2-4383-B742-E451D7E522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200924-2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Mark Knip</cp:lastModifiedBy>
  <cp:lastPrinted>2019-12-09T15:24:38Z</cp:lastPrinted>
  <dcterms:created xsi:type="dcterms:W3CDTF">2019-11-19T21:06:52Z</dcterms:created>
  <dcterms:modified xsi:type="dcterms:W3CDTF">2020-09-25T13:29:40Z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