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D4E5D5A3-E5E7-418E-BA87-0E643B63868F}" xr6:coauthVersionLast="45" xr6:coauthVersionMax="45" xr10:uidLastSave="{00000000-0000-0000-0000-000000000000}"/>
  <bookViews>
    <workbookView xWindow="0" yWindow="0" windowWidth="28800" windowHeight="15600" xr2:uid="{00000000-000D-0000-FFFF-FFFF00000000}"/>
  </bookViews>
  <sheets>
    <sheet name="200929-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<sst xmlns="http://schemas.openxmlformats.org/spreadsheetml/2006/main" count="251" uniqueCount="118">
  <si>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</si>
  <si>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</si>
  <si>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</si>
  <si>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</si>
  <si>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</si>
  <si>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</si>
  <si>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</si>
  <si>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</si>
  <si>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</si>
  <si>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</si>
  <si>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</si>
  <si>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</si>
  <si>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</si>
  <si>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</si>
  <si>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</si>
  <si>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</si>
  <si>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</si>
  <si>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</si>
  <si>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</si>
  <si>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</si>
  <si>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</si>
  <si>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</si>
  <si>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</si>
  <si>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</si>
  <si>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</si>
  <si>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</si>
  <si>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</si>
  <si>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</si>
  <si>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</si>
  <si>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</si>
  <si>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</si>
  <si>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</si>
  <si>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</si>
  <si>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</si>
  <si>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</si>
  <si>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</si>
  <si>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</si>
  <si>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</si>
  <si>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</si>
  <si>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</si>
  <si>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</si>
  <si>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</si>
  <si>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</si>
  <si>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</si>
  <si>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</si>
  <si>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</si>
  <si>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</si>
  <si>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</si>
  <si>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</si>
  <si>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</si>
  <si>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</si>
  <si>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</si>
  <si>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</si>
  <si>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</si>
  <si>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</si>
  <si>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</si>
  <si>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</si>
  <si>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</si>
  <si>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</si>
  <si>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</si>
  <si>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</si>
  <si>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</si>
  <si>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</si>
  <si>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</si>
  <si>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</si>
  <si>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</si>
  <si>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</si>
  <si>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</si>
  <si>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</si>
  <si>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</si>
  <si>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</si>
  <si>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</si>
  <si>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</si>
  <si>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</si>
  <si>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</si>
  <si>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</si>
  <si>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</si>
  <si>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</si>
  <si>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</si>
  <si>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</si>
  <si>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</si>
  <si>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</si>
  <si>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</si>
  <si>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</si>
  <si>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</si>
  <si>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</si>
  <si>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</si>
  <si>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</si>
  <si>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</si>
  <si>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</si>
  <si>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</si>
  <si>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</si>
  <si>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</si>
  <si>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</si>
  <si>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</si>
  <si>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</si>
  <si>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</si>
  <si>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</si>
  <si>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</si>
  <si>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</si>
  <si>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</si>
  <si>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</si>
  <si>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</si>
  <si>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</si>
  <si>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</si>
  <si>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</si>
  <si>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</si>
  <si>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</si>
  <si>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</si>
  <si>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</si>
  <si>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</si>
  <si>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</si>
  <si>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</si>
  <si>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</si>
  <si>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</si>
  <si>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LARVAE</t>
  </si>
  <si>
    <t>LBT-200830-004</t>
  </si>
  <si>
    <t>LBT-200829-004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</si>
</sst>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B11" sqref="B11"/>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44103</v>
      </c>
      <c r="C4" s="70" t="s">
        <v>116</v>
      </c>
    </row>
    <row r="5" spans="1:17" x14ac:dyDescent="0.25">
      <c r="B5" s="59" t="s">
        <v>70</v>
      </c>
      <c r="C5" s="70" t="s">
        <v>117</v>
      </c>
      <c r="D5" s="88"/>
    </row>
    <row r="6" spans="1:17" x14ac:dyDescent="0.25">
      <c r="B6" s="80">
        <v>1</v>
      </c>
      <c r="C6" s="70"/>
      <c r="D6" s="88"/>
    </row>
    <row r="7" spans="1:17" x14ac:dyDescent="0.25">
      <c r="B7" s="87"/>
      <c r="C7" s="70"/>
      <c r="D7" s="88"/>
    </row>
    <row r="8" spans="1:17" x14ac:dyDescent="0.25">
      <c r="B8" s="86"/>
      <c r="C8" s="70"/>
      <c r="D8" s="88"/>
      <c r="K8" s="109" t="s">
        <v>109</v>
      </c>
      <c r="L8" s="109"/>
    </row>
    <row r="9" spans="1:17" x14ac:dyDescent="0.25">
      <c r="F9" s="113" t="s">
        <v>68</v>
      </c>
      <c r="G9" s="114"/>
      <c r="K9" s="4" t="s">
        <v>1</v>
      </c>
      <c r="L9" s="4" t="s">
        <v>2</v>
      </c>
    </row>
    <row r="10" spans="1:17" x14ac:dyDescent="0.25">
      <c r="B10" s="4" t="s">
        <v>0</v>
      </c>
      <c r="C10" s="4" t="s">
        <v>1</v>
      </c>
      <c r="D10" s="4" t="s">
        <v>2</v>
      </c>
      <c r="E10" s="4" t="s">
        <v>3</v>
      </c>
      <c r="F10" s="3" t="s">
        <v>67</v>
      </c>
      <c r="G10" s="3" t="s">
        <v>69</v>
      </c>
      <c r="K10" s="98">
        <f>C11</f>
        <v>8</v>
      </c>
      <c r="L10" s="5">
        <f>D11</f>
        <v>190.4</v>
      </c>
    </row>
    <row r="11" spans="1:17" x14ac:dyDescent="0.25">
      <c r="B11" s="70">
        <v>23.8</v>
      </c>
      <c r="C11" s="70">
        <v>8</v>
      </c>
      <c r="D11" s="5">
        <f>PRODUCT(B11:C11)</f>
        <v>190.4</v>
      </c>
      <c r="E11" s="5">
        <f>D11/C36*100</f>
        <v>100.12644000533592</v>
      </c>
      <c r="F11" s="79">
        <v>79</v>
      </c>
      <c r="G11" s="79">
        <v>101</v>
      </c>
    </row>
    <row r="12" spans="1:17" ht="15.75" thickBot="1" x14ac:dyDescent="0.3"/>
    <row r="13" spans="1:17" ht="28.9" customHeight="1" x14ac:dyDescent="0.25">
      <c r="B13" s="59" t="s">
        <v>58</v>
      </c>
      <c r="C13" s="59" t="s">
        <v>59</v>
      </c>
      <c r="D13" s="81" t="s">
        <v>60</v>
      </c>
      <c r="F13" s="63" t="s">
        <v>56</v>
      </c>
      <c r="H13" s="115" t="s">
        <v>110</v>
      </c>
      <c r="I13" s="116"/>
      <c r="J13" s="116"/>
      <c r="K13" s="116"/>
      <c r="L13" s="117"/>
      <c r="M13" s="102" t="s">
        <v>54</v>
      </c>
      <c r="N13" s="103"/>
      <c r="O13" s="103"/>
      <c r="P13" s="104"/>
    </row>
    <row r="14" spans="1:17" ht="31.9" customHeight="1" x14ac:dyDescent="0.25">
      <c r="B14" s="71"/>
      <c r="C14" s="71"/>
      <c r="D14" s="101">
        <f>O15</f>
        <v>44107.789393123305</v>
      </c>
      <c r="F14" s="69">
        <f>H74</f>
        <v>979363.54869816778</v>
      </c>
      <c r="H14" s="4" t="s">
        <v>4</v>
      </c>
      <c r="I14" s="4" t="s">
        <v>5</v>
      </c>
      <c r="J14" s="4" t="s">
        <v>6</v>
      </c>
      <c r="K14" s="4" t="s">
        <v>7</v>
      </c>
      <c r="L14" s="84" t="s">
        <v>8</v>
      </c>
      <c r="M14" s="99" t="s">
        <v>114</v>
      </c>
      <c r="N14" s="99" t="s">
        <v>111</v>
      </c>
      <c r="O14" s="105" t="s">
        <v>112</v>
      </c>
      <c r="P14" s="106"/>
      <c r="Q14" s="85" t="s">
        <v>71</v>
      </c>
    </row>
    <row r="15" spans="1:17" ht="15.75" thickBot="1" x14ac:dyDescent="0.3">
      <c r="H15" s="2">
        <f>(F70-0.025)*100</f>
        <v>58.33297117195422</v>
      </c>
      <c r="I15" s="2">
        <f>MAX((G70-0.025)*100,"0")</f>
        <v>36.667028828045773</v>
      </c>
      <c r="J15" s="5">
        <f>B59</f>
        <v>218.48890608875126</v>
      </c>
      <c r="K15" s="5">
        <f>D59</f>
        <v>245.78149920255183</v>
      </c>
      <c r="L15" s="66">
        <f>E59*100</f>
        <v>2.0170363227258115</v>
      </c>
      <c r="M15" s="67">
        <f>(((G70*100))-80.306)/(-8.5896)</f>
        <v>4.7893931233065823</v>
      </c>
      <c r="N15" s="100">
        <f>IF(I15&gt;0,M15,M16)</f>
        <v>4.7893931233065823</v>
      </c>
      <c r="O15" s="68">
        <f>B4+N15</f>
        <v>44107.789393123305</v>
      </c>
      <c r="P15" s="68"/>
      <c r="Q15" s="68">
        <f ca="1">TODAY()</f>
        <v>44103</v>
      </c>
    </row>
    <row r="16" spans="1:17" s="12" customFormat="1" ht="15.75" thickBot="1" x14ac:dyDescent="0.3">
      <c r="M16" s="67">
        <f>(((F70*100))-188.23)/(-8.7682)</f>
        <v>14.529439203946735</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115</v>
      </c>
      <c r="H19" s="8" t="s">
        <v>17</v>
      </c>
      <c r="I19" s="9" t="s">
        <v>18</v>
      </c>
    </row>
    <row r="20" spans="2:9" x14ac:dyDescent="0.25">
      <c r="B20" s="10">
        <v>1</v>
      </c>
      <c r="C20" s="70">
        <v>40</v>
      </c>
      <c r="D20" s="70">
        <v>8.81</v>
      </c>
      <c r="E20" s="70">
        <v>4</v>
      </c>
      <c r="F20" s="70">
        <v>0.65</v>
      </c>
      <c r="G20" s="70">
        <v>21</v>
      </c>
      <c r="H20" s="70">
        <v>5.67</v>
      </c>
      <c r="I20" s="93">
        <v>3</v>
      </c>
    </row>
    <row r="21" spans="2:9" x14ac:dyDescent="0.25">
      <c r="B21" s="10">
        <v>2</v>
      </c>
      <c r="C21" s="70">
        <v>38</v>
      </c>
      <c r="D21" s="70">
        <v>8.67</v>
      </c>
      <c r="E21" s="70">
        <v>3</v>
      </c>
      <c r="F21" s="70">
        <v>0.52</v>
      </c>
      <c r="G21" s="70">
        <v>19</v>
      </c>
      <c r="H21" s="70">
        <v>4.1900000000000004</v>
      </c>
      <c r="I21" s="93">
        <v>1</v>
      </c>
    </row>
    <row r="22" spans="2:9" ht="15.75" thickBot="1" x14ac:dyDescent="0.3">
      <c r="B22" s="11">
        <v>3</v>
      </c>
      <c r="C22" s="94">
        <v>34</v>
      </c>
      <c r="D22" s="94">
        <v>7.04</v>
      </c>
      <c r="E22" s="70">
        <v>3</v>
      </c>
      <c r="F22" s="70">
        <v>0.49</v>
      </c>
      <c r="G22" s="94">
        <v>22</v>
      </c>
      <c r="H22" s="94">
        <v>5.43</v>
      </c>
      <c r="I22" s="93">
        <v>0</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0.87982963677274195</v>
      </c>
    </row>
    <row r="32" spans="2:9" ht="15" customHeight="1" thickBot="1" x14ac:dyDescent="0.3">
      <c r="B32" s="17"/>
      <c r="C32" s="18"/>
    </row>
    <row r="33" spans="2:7" ht="15.75" thickBot="1" x14ac:dyDescent="0.3">
      <c r="C33" s="107" t="s">
        <v>23</v>
      </c>
      <c r="D33" s="108"/>
    </row>
    <row r="34" spans="2:7" ht="15.75" thickBot="1" x14ac:dyDescent="0.3">
      <c r="C34" s="19">
        <v>1</v>
      </c>
      <c r="D34" s="19">
        <v>2</v>
      </c>
    </row>
    <row r="35" spans="2:7" ht="15.75" thickBot="1" x14ac:dyDescent="0.3"/>
    <row r="36" spans="2:7" ht="30.75" thickBot="1" x14ac:dyDescent="0.3">
      <c r="B36" s="15" t="s">
        <v>24</v>
      </c>
      <c r="C36" s="20">
        <f>F74</f>
        <v>190.15956223935777</v>
      </c>
      <c r="D36" s="20">
        <f>C36</f>
        <v>190.15956223935777</v>
      </c>
    </row>
    <row r="37" spans="2:7" ht="15.75" thickBot="1" x14ac:dyDescent="0.3">
      <c r="B37" s="17"/>
      <c r="C37" s="21"/>
      <c r="F37" s="92"/>
      <c r="G37" s="92"/>
    </row>
    <row r="38" spans="2:7" ht="30.75" thickBot="1" x14ac:dyDescent="0.3">
      <c r="B38" s="15" t="s">
        <v>25</v>
      </c>
      <c r="C38" s="22">
        <f>C36*C34</f>
        <v>190.15956223935777</v>
      </c>
      <c r="D38" s="22">
        <f>D36*D34</f>
        <v>380.31912447871554</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23.769945279919721</v>
      </c>
      <c r="D42" s="23">
        <f>C42</f>
        <v>23.769945279919721</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6</v>
      </c>
      <c r="D48" s="22">
        <f>C48*2</f>
        <v>12</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0" t="s">
        <v>33</v>
      </c>
      <c r="G54" s="110"/>
      <c r="H54" s="110"/>
      <c r="I54" s="110"/>
      <c r="J54" s="110"/>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220.25</v>
      </c>
      <c r="C56" s="5">
        <f>IFERROR(F20/E20*1000,"")</f>
        <v>162.5</v>
      </c>
      <c r="D56" s="43">
        <f>IFERROR(H20/G20*1000,"")</f>
        <v>270</v>
      </c>
      <c r="E56" s="2">
        <f>IFERROR(I20/K56,"")</f>
        <v>4.4117647058823532E-2</v>
      </c>
      <c r="F56" s="2">
        <f>SUM(I56:J56)</f>
        <v>0.6470588235294118</v>
      </c>
      <c r="G56" s="2">
        <f>G20/K56</f>
        <v>0.30882352941176472</v>
      </c>
      <c r="H56" s="2">
        <f>IFERROR(I56/J56,"")</f>
        <v>10</v>
      </c>
      <c r="I56" s="2">
        <f>C20/K56</f>
        <v>0.58823529411764708</v>
      </c>
      <c r="J56" s="2">
        <f>E20/K56</f>
        <v>5.8823529411764705E-2</v>
      </c>
      <c r="K56" s="44">
        <f>SUM(C20,E20,G20,I20)</f>
        <v>68</v>
      </c>
    </row>
    <row r="57" spans="1:11" x14ac:dyDescent="0.25">
      <c r="B57" s="42">
        <f>IFERROR(D21/C21*1000,"")</f>
        <v>228.15789473684211</v>
      </c>
      <c r="C57" s="5">
        <f>IFERROR(F21/E21*1000,"")</f>
        <v>173.33333333333334</v>
      </c>
      <c r="D57" s="43">
        <f>IFERROR(H21/G21*1000,"")</f>
        <v>220.5263157894737</v>
      </c>
      <c r="E57" s="2">
        <f>IFERROR(I21/K57,"")</f>
        <v>1.6393442622950821E-2</v>
      </c>
      <c r="F57" s="2">
        <f>SUM(I57:J57)</f>
        <v>0.67213114754098369</v>
      </c>
      <c r="G57" s="2">
        <f>G21/K57</f>
        <v>0.31147540983606559</v>
      </c>
      <c r="H57" s="2">
        <f t="shared" ref="H57:H58" si="0">IFERROR(I57/J57,"")</f>
        <v>12.666666666666668</v>
      </c>
      <c r="I57" s="2">
        <f>C21/K57</f>
        <v>0.62295081967213117</v>
      </c>
      <c r="J57" s="2">
        <f>E21/K57</f>
        <v>4.9180327868852458E-2</v>
      </c>
      <c r="K57" s="44">
        <f>SUM(C21,E21,G21,I21)</f>
        <v>61</v>
      </c>
    </row>
    <row r="58" spans="1:11" ht="15.75" thickBot="1" x14ac:dyDescent="0.3">
      <c r="B58" s="45">
        <f>IFERROR(D22/C22*1000,"")</f>
        <v>207.05882352941177</v>
      </c>
      <c r="C58" s="46">
        <f>IFERROR(F22/E22*1000,"")</f>
        <v>163.33333333333334</v>
      </c>
      <c r="D58" s="43">
        <f>IFERROR(H22/G22*1000,"")</f>
        <v>246.81818181818178</v>
      </c>
      <c r="E58" s="2">
        <f>IFERROR(I22/K58,"")</f>
        <v>0</v>
      </c>
      <c r="F58" s="47">
        <f>SUM(I58:J58)</f>
        <v>0.6271186440677966</v>
      </c>
      <c r="G58" s="47">
        <f>G22/K58</f>
        <v>0.3728813559322034</v>
      </c>
      <c r="H58" s="47">
        <f t="shared" si="0"/>
        <v>11.333333333333332</v>
      </c>
      <c r="I58" s="47">
        <f>C22/K58</f>
        <v>0.57627118644067798</v>
      </c>
      <c r="J58" s="47">
        <f>E22/K58</f>
        <v>5.0847457627118647E-2</v>
      </c>
      <c r="K58" s="48">
        <f>SUM(C22,E22,G22,I22)</f>
        <v>59</v>
      </c>
    </row>
    <row r="59" spans="1:11" ht="15.75" thickBot="1" x14ac:dyDescent="0.3">
      <c r="A59" s="49" t="s">
        <v>44</v>
      </c>
      <c r="B59" s="50">
        <f>AVERAGE(B56:B58)</f>
        <v>218.48890608875126</v>
      </c>
      <c r="C59" s="51">
        <f>IFERROR(AVERAGE(C56:C58),"0")</f>
        <v>166.38888888888891</v>
      </c>
      <c r="D59" s="52">
        <f t="shared" ref="D59:J59" si="1">AVERAGE(D56:D58)</f>
        <v>245.78149920255183</v>
      </c>
      <c r="E59" s="53">
        <f t="shared" si="1"/>
        <v>2.0170363227258115E-2</v>
      </c>
      <c r="F59" s="53">
        <f t="shared" si="1"/>
        <v>0.64876953837939733</v>
      </c>
      <c r="G59" s="54">
        <f t="shared" si="1"/>
        <v>0.33106009839334455</v>
      </c>
      <c r="H59" s="54">
        <f t="shared" si="1"/>
        <v>11.333333333333334</v>
      </c>
      <c r="I59" s="53">
        <f t="shared" si="1"/>
        <v>0.59581910007681871</v>
      </c>
      <c r="J59" s="54">
        <f t="shared" si="1"/>
        <v>5.2950438302578597E-2</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11" t="s">
        <v>48</v>
      </c>
      <c r="C65" s="112"/>
      <c r="D65" s="112"/>
      <c r="E65" s="112"/>
      <c r="F65" s="112"/>
      <c r="G65" s="112"/>
    </row>
    <row r="66" spans="1:8" x14ac:dyDescent="0.25">
      <c r="B66" s="59" t="s">
        <v>41</v>
      </c>
      <c r="C66" s="59" t="s">
        <v>42</v>
      </c>
      <c r="D66" s="59" t="s">
        <v>38</v>
      </c>
      <c r="E66" s="59" t="s">
        <v>39</v>
      </c>
      <c r="F66" s="59" t="s">
        <v>113</v>
      </c>
      <c r="G66" s="59" t="s">
        <v>74</v>
      </c>
      <c r="H66" s="59" t="s">
        <v>49</v>
      </c>
    </row>
    <row r="67" spans="1:8" x14ac:dyDescent="0.25">
      <c r="B67" s="2">
        <f>IFERROR(C20/H67,"")</f>
        <v>0.61538461538461542</v>
      </c>
      <c r="C67" s="2">
        <f>IFERROR(E20/H67,"")</f>
        <v>6.1538461538461542E-2</v>
      </c>
      <c r="D67" s="2">
        <f>(SUM(C20,E20))/H67</f>
        <v>0.67692307692307696</v>
      </c>
      <c r="E67" s="2">
        <f>IFERROR(G20/H67,"")</f>
        <v>0.32307692307692309</v>
      </c>
      <c r="F67" s="2">
        <f>B67/(B67+C67+E67)</f>
        <v>0.61538461538461542</v>
      </c>
      <c r="G67" s="2">
        <f>1-F67</f>
        <v>0.38461538461538458</v>
      </c>
      <c r="H67" s="60">
        <f>SUM(C20,E20,G20)</f>
        <v>65</v>
      </c>
    </row>
    <row r="68" spans="1:8" x14ac:dyDescent="0.25">
      <c r="B68" s="2">
        <f>IFERROR(C21/H68,"")</f>
        <v>0.6333333333333333</v>
      </c>
      <c r="C68" s="2">
        <f>IFERROR(E21/H68,"")</f>
        <v>0.05</v>
      </c>
      <c r="D68" s="2">
        <f>(SUM(C21,E21))/H68</f>
        <v>0.68333333333333335</v>
      </c>
      <c r="E68" s="2">
        <f>IFERROR(G21/H68,"")</f>
        <v>0.31666666666666665</v>
      </c>
      <c r="F68" s="2">
        <f t="shared" ref="F68:F69" si="5">B68/(B68+C68+E68)</f>
        <v>0.6333333333333333</v>
      </c>
      <c r="G68" s="2">
        <f t="shared" ref="G68:G69" si="6">1-F68</f>
        <v>0.3666666666666667</v>
      </c>
      <c r="H68" s="60">
        <f>SUM(C21,E21,G21)</f>
        <v>60</v>
      </c>
    </row>
    <row r="69" spans="1:8" ht="15.75" thickBot="1" x14ac:dyDescent="0.3">
      <c r="B69" s="61">
        <f>IFERROR(C22/H69,"")</f>
        <v>0.57627118644067798</v>
      </c>
      <c r="C69" s="61">
        <f>IFERROR(E22/H69,"")</f>
        <v>5.0847457627118647E-2</v>
      </c>
      <c r="D69" s="61">
        <f>(SUM(C22,E22))/H69</f>
        <v>0.6271186440677966</v>
      </c>
      <c r="E69" s="61">
        <f>IFERROR(G22/H69,"")</f>
        <v>0.3728813559322034</v>
      </c>
      <c r="F69" s="2">
        <f t="shared" si="5"/>
        <v>0.57627118644067798</v>
      </c>
      <c r="G69" s="2">
        <f t="shared" si="6"/>
        <v>0.42372881355932202</v>
      </c>
      <c r="H69" s="60">
        <f>SUM(C22,E22,G22)</f>
        <v>59</v>
      </c>
    </row>
    <row r="70" spans="1:8" ht="15.75" thickBot="1" x14ac:dyDescent="0.3">
      <c r="A70" s="49" t="s">
        <v>44</v>
      </c>
      <c r="B70" s="62">
        <f>AVERAGE(B67:B69)</f>
        <v>0.6083297117195422</v>
      </c>
      <c r="C70" s="62">
        <f t="shared" ref="C70:D70" si="7">AVERAGE(C67:C69)</f>
        <v>5.4128639721860071E-2</v>
      </c>
      <c r="D70" s="62">
        <f t="shared" si="7"/>
        <v>0.6624583514414023</v>
      </c>
      <c r="E70" s="62">
        <f>AVERAGE(E67:E69)</f>
        <v>0.33754164855859764</v>
      </c>
      <c r="F70" s="62">
        <f>AVERAGE(F67:F69)</f>
        <v>0.6083297117195422</v>
      </c>
      <c r="G70" s="62">
        <f>AVERAGE(G67:G69)</f>
        <v>0.39167028828045775</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198.08287733266434</v>
      </c>
      <c r="D74" s="82">
        <v>0.95</v>
      </c>
      <c r="E74" s="65">
        <v>864000</v>
      </c>
      <c r="F74" s="64">
        <f>(G74*(C74/1000000))</f>
        <v>190.15956223935777</v>
      </c>
      <c r="G74" s="65">
        <f>E74/B74</f>
        <v>960000</v>
      </c>
      <c r="H74" s="65">
        <f>G74+(G74*E59)</f>
        <v>979363.54869816778</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B65:G65"/>
    <mergeCell ref="F9:G9"/>
    <mergeCell ref="H13:L13"/>
    <mergeCell ref="M13:P13"/>
    <mergeCell ref="O14:P14"/>
    <mergeCell ref="C33:D33"/>
    <mergeCell ref="K8:L8"/>
    <mergeCell ref="F54:J54"/>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C011F9B-42D0-4E70-891E-C72ECE30207E}"/>
</file>

<file path=customXml/itemProps2.xml><?xml version="1.0" encoding="utf-8"?>
<ds:datastoreItem xmlns:ds="http://schemas.openxmlformats.org/officeDocument/2006/customXml" ds:itemID="{3F0E4C0F-B740-4B15-B781-40FFF88A1BE1}"/>
</file>

<file path=customXml/itemProps3.xml><?xml version="1.0" encoding="utf-8"?>
<ds:datastoreItem xmlns:ds="http://schemas.openxmlformats.org/officeDocument/2006/customXml" ds:itemID="{987A85CC-ABB0-4F15-BC1E-64ABCF762D0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200929-1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2020-09-30T04:09:21Z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