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S:\PRODUCTION - ROCKY VIEW\A300\PP-Binning\PP Binning-2020\OCTOBER PP BINNING\"/>
    </mc:Choice>
  </mc:AlternateContent>
  <xr:revisionPtr revIDLastSave="0" documentId="13_ncr:1_{03F4F46B-7095-41C2-819C-267F27CB5CBB}" xr6:coauthVersionLast="45" xr6:coauthVersionMax="45" xr10:uidLastSave="{00000000-0000-0000-0000-000000000000}"/>
  <bookViews>
    <workbookView xWindow="0" yWindow="600" windowWidth="28800" windowHeight="15600" xr2:uid="{00000000-000D-0000-FFFF-FFFF00000000}"/>
  </bookViews>
  <sheets>
    <sheet name="201006-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<sst xmlns="http://schemas.openxmlformats.org/spreadsheetml/2006/main" count="251" uniqueCount="118">
  <si>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</si>
  <si>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</si>
  <si>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</si>
  <si>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</si>
  <si>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</si>
  <si>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</si>
  <si>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</si>
  <si>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</si>
  <si>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</si>
  <si>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</si>
  <si>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</si>
  <si>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</si>
  <si>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</si>
  <si>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</si>
  <si>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</si>
  <si>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</si>
  <si>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</si>
  <si>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</si>
  <si>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</si>
  <si>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</si>
  <si>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</si>
  <si>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</si>
  <si>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</si>
  <si>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</si>
  <si>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</si>
  <si>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</si>
  <si>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</si>
  <si>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</si>
  <si>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</si>
  <si>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</si>
  <si>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</si>
  <si>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</si>
  <si>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</si>
  <si>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</si>
  <si>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</si>
  <si>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</si>
  <si>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</si>
  <si>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</si>
  <si>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</si>
  <si>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</si>
  <si>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</si>
  <si>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</si>
  <si>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</si>
  <si>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</si>
  <si>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</si>
  <si>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</si>
  <si>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</si>
  <si>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</si>
  <si>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</si>
  <si>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</si>
  <si>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</si>
  <si>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</si>
  <si>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</si>
  <si>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</si>
  <si>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</si>
  <si>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</si>
  <si>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</si>
  <si>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</si>
  <si>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</si>
  <si>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</si>
  <si>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</si>
  <si>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</si>
  <si>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</si>
  <si>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</si>
  <si>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</si>
  <si>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</si>
  <si>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</si>
  <si>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</si>
  <si>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</si>
  <si>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</si>
  <si>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</si>
  <si>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</si>
  <si>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</si>
  <si>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</si>
  <si>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</si>
  <si>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</si>
  <si>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</si>
  <si>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</si>
  <si>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</si>
  <si>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</si>
  <si>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</si>
  <si>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</si>
  <si>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</si>
  <si>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</si>
  <si>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</si>
  <si>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</si>
  <si>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</si>
  <si>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</si>
  <si>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</si>
  <si>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</si>
  <si>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</si>
  <si>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</si>
  <si>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</si>
  <si>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</si>
  <si>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</si>
  <si>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</si>
  <si>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</si>
  <si>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</si>
  <si>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</si>
  <si>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</si>
  <si>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</si>
  <si>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</si>
  <si>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</si>
  <si>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</si>
  <si>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</si>
  <si>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</si>
  <si>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</si>
  <si>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</si>
  <si>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</si>
  <si>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</si>
  <si>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</si>
  <si>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</si>
  <si>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</si>
  <si>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</si>
  <si>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</si>
  <si>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</si>
  <si>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LBT-200904-003</t>
  </si>
  <si>
    <t>LBT-200901-005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</si>
</sst>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1" sqref="B11"/>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44110</v>
      </c>
      <c r="C4" s="70" t="s">
        <v>116</v>
      </c>
    </row>
    <row r="5" spans="1:17" x14ac:dyDescent="0.25">
      <c r="B5" s="59" t="s">
        <v>70</v>
      </c>
      <c r="C5" s="70" t="s">
        <v>117</v>
      </c>
      <c r="D5" s="88"/>
    </row>
    <row r="6" spans="1:17" x14ac:dyDescent="0.25">
      <c r="B6" s="80">
        <v>1</v>
      </c>
      <c r="C6" s="70"/>
      <c r="D6" s="88"/>
    </row>
    <row r="7" spans="1:17" x14ac:dyDescent="0.25">
      <c r="B7" s="87"/>
      <c r="C7" s="70"/>
      <c r="D7" s="88"/>
    </row>
    <row r="8" spans="1:17" x14ac:dyDescent="0.25">
      <c r="B8" s="86"/>
      <c r="C8" s="70"/>
      <c r="D8" s="88"/>
      <c r="K8" s="109" t="s">
        <v>109</v>
      </c>
      <c r="L8" s="109"/>
    </row>
    <row r="9" spans="1:17" x14ac:dyDescent="0.25">
      <c r="F9" s="113" t="s">
        <v>68</v>
      </c>
      <c r="G9" s="114"/>
      <c r="K9" s="4" t="s">
        <v>1</v>
      </c>
      <c r="L9" s="4" t="s">
        <v>2</v>
      </c>
    </row>
    <row r="10" spans="1:17" x14ac:dyDescent="0.25">
      <c r="B10" s="4" t="s">
        <v>0</v>
      </c>
      <c r="C10" s="4" t="s">
        <v>1</v>
      </c>
      <c r="D10" s="4" t="s">
        <v>2</v>
      </c>
      <c r="E10" s="4" t="s">
        <v>3</v>
      </c>
      <c r="F10" s="3" t="s">
        <v>67</v>
      </c>
      <c r="G10" s="3" t="s">
        <v>69</v>
      </c>
      <c r="K10" s="98">
        <f>C11</f>
        <v>8</v>
      </c>
      <c r="L10" s="5">
        <f>D11</f>
        <v>146.4</v>
      </c>
    </row>
    <row r="11" spans="1:17" x14ac:dyDescent="0.25">
      <c r="B11" s="70">
        <v>18.3</v>
      </c>
      <c r="C11" s="70">
        <v>8</v>
      </c>
      <c r="D11" s="5">
        <f>PRODUCT(B11:C11)</f>
        <v>146.4</v>
      </c>
      <c r="E11" s="5">
        <f>D11/C36*100</f>
        <v>100.06897537329844</v>
      </c>
      <c r="F11" s="79">
        <v>79</v>
      </c>
      <c r="G11" s="79">
        <v>101</v>
      </c>
    </row>
    <row r="12" spans="1:17" ht="15.75" thickBot="1" x14ac:dyDescent="0.3"/>
    <row r="13" spans="1:17" ht="28.9" customHeight="1" x14ac:dyDescent="0.25">
      <c r="B13" s="59" t="s">
        <v>58</v>
      </c>
      <c r="C13" s="59" t="s">
        <v>59</v>
      </c>
      <c r="D13" s="81" t="s">
        <v>60</v>
      </c>
      <c r="F13" s="63" t="s">
        <v>56</v>
      </c>
      <c r="H13" s="115" t="s">
        <v>110</v>
      </c>
      <c r="I13" s="116"/>
      <c r="J13" s="116"/>
      <c r="K13" s="116"/>
      <c r="L13" s="117"/>
      <c r="M13" s="102" t="s">
        <v>54</v>
      </c>
      <c r="N13" s="103"/>
      <c r="O13" s="103"/>
      <c r="P13" s="104"/>
    </row>
    <row r="14" spans="1:17" ht="31.9" customHeight="1" x14ac:dyDescent="0.25">
      <c r="B14" s="71"/>
      <c r="C14" s="71"/>
      <c r="D14" s="101"/>
      <c r="F14" s="69">
        <f>H74</f>
        <v>1008794.921777378</v>
      </c>
      <c r="H14" s="4" t="s">
        <v>4</v>
      </c>
      <c r="I14" s="4" t="s">
        <v>5</v>
      </c>
      <c r="J14" s="4" t="s">
        <v>6</v>
      </c>
      <c r="K14" s="4" t="s">
        <v>7</v>
      </c>
      <c r="L14" s="84" t="s">
        <v>8</v>
      </c>
      <c r="M14" s="99" t="s">
        <v>114</v>
      </c>
      <c r="N14" s="99" t="s">
        <v>111</v>
      </c>
      <c r="O14" s="105" t="s">
        <v>112</v>
      </c>
      <c r="P14" s="106"/>
      <c r="Q14" s="85" t="s">
        <v>71</v>
      </c>
    </row>
    <row r="15" spans="1:17" ht="15.75" thickBot="1" x14ac:dyDescent="0.3">
      <c r="H15" s="2">
        <f>(F70-0.025)*100</f>
        <v>62.121452743298455</v>
      </c>
      <c r="I15" s="2">
        <f>MAX((G70-0.025)*100,"0")</f>
        <v>32.878547256701545</v>
      </c>
      <c r="J15" s="5">
        <f>B59</f>
        <v>148.23128447596534</v>
      </c>
      <c r="K15" s="5">
        <f>D59</f>
        <v>109.18681318681318</v>
      </c>
      <c r="L15" s="66">
        <f>E59*100</f>
        <v>5.0828043518102</v>
      </c>
      <c r="M15" s="67">
        <f>(((G70*100))-80.306)/(-8.5896)</f>
        <v>5.2304476044633565</v>
      </c>
      <c r="N15" s="100">
        <f>IF(I15&gt;0,M15,M16)</f>
        <v>5.2304476044633565</v>
      </c>
      <c r="O15" s="68">
        <f>B4+N15</f>
        <v>44115.230447604466</v>
      </c>
      <c r="P15" s="68"/>
      <c r="Q15" s="68">
        <f ca="1">TODAY()</f>
        <v>44110</v>
      </c>
    </row>
    <row r="16" spans="1:17" s="12" customFormat="1" ht="15.75" thickBot="1" x14ac:dyDescent="0.3">
      <c r="M16" s="67">
        <f>(((F70*100))-188.23)/(-8.7682)</f>
        <v>14.097368588387756</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47</v>
      </c>
      <c r="D20" s="70">
        <v>7.08</v>
      </c>
      <c r="E20" s="70">
        <v>0</v>
      </c>
      <c r="F20" s="70">
        <v>0</v>
      </c>
      <c r="G20" s="70">
        <v>26</v>
      </c>
      <c r="H20" s="70">
        <v>2.96</v>
      </c>
      <c r="I20" s="93">
        <v>3</v>
      </c>
    </row>
    <row r="21" spans="2:9" x14ac:dyDescent="0.25">
      <c r="B21" s="10">
        <v>2</v>
      </c>
      <c r="C21" s="70">
        <v>52</v>
      </c>
      <c r="D21" s="70">
        <v>7.93</v>
      </c>
      <c r="E21" s="70">
        <v>1</v>
      </c>
      <c r="F21" s="70">
        <v>0.19</v>
      </c>
      <c r="G21" s="70">
        <v>21</v>
      </c>
      <c r="H21" s="70">
        <v>2.15</v>
      </c>
      <c r="I21" s="93">
        <v>4</v>
      </c>
    </row>
    <row r="22" spans="2:9" ht="15.75" thickBot="1" x14ac:dyDescent="0.3">
      <c r="B22" s="11">
        <v>3</v>
      </c>
      <c r="C22" s="94">
        <v>45</v>
      </c>
      <c r="D22" s="94">
        <v>6.37</v>
      </c>
      <c r="E22" s="70">
        <v>1</v>
      </c>
      <c r="F22" s="70">
        <v>0.13</v>
      </c>
      <c r="G22" s="94">
        <v>30</v>
      </c>
      <c r="H22" s="94">
        <v>3.34</v>
      </c>
      <c r="I22" s="93">
        <v>5</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0.84917195648189803</v>
      </c>
    </row>
    <row r="32" spans="2:9" ht="15" customHeight="1" thickBot="1" x14ac:dyDescent="0.3">
      <c r="B32" s="17"/>
      <c r="C32" s="18"/>
    </row>
    <row r="33" spans="2:7" ht="15.75" thickBot="1" x14ac:dyDescent="0.3">
      <c r="C33" s="107" t="s">
        <v>23</v>
      </c>
      <c r="D33" s="108"/>
    </row>
    <row r="34" spans="2:7" ht="15.75" thickBot="1" x14ac:dyDescent="0.3">
      <c r="C34" s="19">
        <v>1</v>
      </c>
      <c r="D34" s="19">
        <v>2</v>
      </c>
    </row>
    <row r="35" spans="2:7" ht="15.75" thickBot="1" x14ac:dyDescent="0.3"/>
    <row r="36" spans="2:7" ht="30.75" thickBot="1" x14ac:dyDescent="0.3">
      <c r="B36" s="15" t="s">
        <v>24</v>
      </c>
      <c r="C36" s="20">
        <f>F74</f>
        <v>146.29908965677703</v>
      </c>
      <c r="D36" s="20">
        <f>C36</f>
        <v>146.29908965677703</v>
      </c>
    </row>
    <row r="37" spans="2:7" ht="15.75" thickBot="1" x14ac:dyDescent="0.3">
      <c r="B37" s="17"/>
      <c r="C37" s="21"/>
      <c r="F37" s="92"/>
      <c r="G37" s="92"/>
    </row>
    <row r="38" spans="2:7" ht="30.75" thickBot="1" x14ac:dyDescent="0.3">
      <c r="B38" s="15" t="s">
        <v>25</v>
      </c>
      <c r="C38" s="22">
        <f>C36*C34</f>
        <v>146.29908965677703</v>
      </c>
      <c r="D38" s="22">
        <f>D36*D34</f>
        <v>292.59817931355406</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18.287386207097128</v>
      </c>
      <c r="D42" s="23">
        <f>C42</f>
        <v>18.287386207097128</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0" t="s">
        <v>33</v>
      </c>
      <c r="G54" s="110"/>
      <c r="H54" s="110"/>
      <c r="I54" s="110"/>
      <c r="J54" s="110"/>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150.63829787234042</v>
      </c>
      <c r="C56" s="5" t="str">
        <f>IFERROR(F20/E20*1000,"")</f>
        <v/>
      </c>
      <c r="D56" s="43">
        <f>IFERROR(H20/G20*1000,"")</f>
        <v>113.84615384615385</v>
      </c>
      <c r="E56" s="2">
        <f>IFERROR(I20/K56,"")</f>
        <v>3.9473684210526314E-2</v>
      </c>
      <c r="F56" s="2">
        <f>SUM(I56:J56)</f>
        <v>0.61842105263157898</v>
      </c>
      <c r="G56" s="2">
        <f>G20/K56</f>
        <v>0.34210526315789475</v>
      </c>
      <c r="H56" s="2" t="str">
        <f>IFERROR(I56/J56,"")</f>
        <v/>
      </c>
      <c r="I56" s="2">
        <f>C20/K56</f>
        <v>0.61842105263157898</v>
      </c>
      <c r="J56" s="2">
        <f>E20/K56</f>
        <v>0</v>
      </c>
      <c r="K56" s="44">
        <f>SUM(C20,E20,G20,I20)</f>
        <v>76</v>
      </c>
    </row>
    <row r="57" spans="1:11" x14ac:dyDescent="0.25">
      <c r="B57" s="42">
        <f>IFERROR(D21/C21*1000,"")</f>
        <v>152.5</v>
      </c>
      <c r="C57" s="5">
        <f>IFERROR(F21/E21*1000,"")</f>
        <v>190</v>
      </c>
      <c r="D57" s="43">
        <f>IFERROR(H21/G21*1000,"")</f>
        <v>102.38095238095238</v>
      </c>
      <c r="E57" s="2">
        <f>IFERROR(I21/K57,"")</f>
        <v>5.128205128205128E-2</v>
      </c>
      <c r="F57" s="2">
        <f>SUM(I57:J57)</f>
        <v>0.6794871794871794</v>
      </c>
      <c r="G57" s="2">
        <f>G21/K57</f>
        <v>0.26923076923076922</v>
      </c>
      <c r="H57" s="2">
        <f t="shared" ref="H57:H58" si="0">IFERROR(I57/J57,"")</f>
        <v>52</v>
      </c>
      <c r="I57" s="2">
        <f>C21/K57</f>
        <v>0.66666666666666663</v>
      </c>
      <c r="J57" s="2">
        <f>E21/K57</f>
        <v>1.282051282051282E-2</v>
      </c>
      <c r="K57" s="44">
        <f>SUM(C21,E21,G21,I21)</f>
        <v>78</v>
      </c>
    </row>
    <row r="58" spans="1:11" ht="15.75" thickBot="1" x14ac:dyDescent="0.3">
      <c r="B58" s="45">
        <f>IFERROR(D22/C22*1000,"")</f>
        <v>141.55555555555554</v>
      </c>
      <c r="C58" s="46">
        <f>IFERROR(F22/E22*1000,"")</f>
        <v>130</v>
      </c>
      <c r="D58" s="43">
        <f>IFERROR(H22/G22*1000,"")</f>
        <v>111.33333333333333</v>
      </c>
      <c r="E58" s="2">
        <f>IFERROR(I22/K58,"")</f>
        <v>6.1728395061728392E-2</v>
      </c>
      <c r="F58" s="47">
        <f>SUM(I58:J58)</f>
        <v>0.56790123456790131</v>
      </c>
      <c r="G58" s="47">
        <f>G22/K58</f>
        <v>0.37037037037037035</v>
      </c>
      <c r="H58" s="47">
        <f t="shared" si="0"/>
        <v>45.000000000000007</v>
      </c>
      <c r="I58" s="47">
        <f>C22/K58</f>
        <v>0.55555555555555558</v>
      </c>
      <c r="J58" s="47">
        <f>E22/K58</f>
        <v>1.2345679012345678E-2</v>
      </c>
      <c r="K58" s="48">
        <f>SUM(C22,E22,G22,I22)</f>
        <v>81</v>
      </c>
    </row>
    <row r="59" spans="1:11" ht="15.75" thickBot="1" x14ac:dyDescent="0.3">
      <c r="A59" s="49" t="s">
        <v>44</v>
      </c>
      <c r="B59" s="50">
        <f>AVERAGE(B56:B58)</f>
        <v>148.23128447596534</v>
      </c>
      <c r="C59" s="51">
        <f>IFERROR(AVERAGE(C56:C58),"0")</f>
        <v>160</v>
      </c>
      <c r="D59" s="52">
        <f t="shared" ref="D59:J59" si="1">AVERAGE(D56:D58)</f>
        <v>109.18681318681318</v>
      </c>
      <c r="E59" s="53">
        <f t="shared" si="1"/>
        <v>5.0828043518101995E-2</v>
      </c>
      <c r="F59" s="53">
        <f t="shared" si="1"/>
        <v>0.62193648889555331</v>
      </c>
      <c r="G59" s="54">
        <f t="shared" si="1"/>
        <v>0.32723546758634475</v>
      </c>
      <c r="H59" s="54">
        <f t="shared" si="1"/>
        <v>48.5</v>
      </c>
      <c r="I59" s="53">
        <f t="shared" si="1"/>
        <v>0.6135477582846004</v>
      </c>
      <c r="J59" s="54">
        <f t="shared" si="1"/>
        <v>8.3887306109528322E-3</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11" t="s">
        <v>48</v>
      </c>
      <c r="C65" s="112"/>
      <c r="D65" s="112"/>
      <c r="E65" s="112"/>
      <c r="F65" s="112"/>
      <c r="G65" s="112"/>
    </row>
    <row r="66" spans="1:8" x14ac:dyDescent="0.25">
      <c r="B66" s="59" t="s">
        <v>41</v>
      </c>
      <c r="C66" s="59" t="s">
        <v>42</v>
      </c>
      <c r="D66" s="59" t="s">
        <v>38</v>
      </c>
      <c r="E66" s="59" t="s">
        <v>39</v>
      </c>
      <c r="F66" s="59" t="s">
        <v>113</v>
      </c>
      <c r="G66" s="59" t="s">
        <v>74</v>
      </c>
      <c r="H66" s="59" t="s">
        <v>49</v>
      </c>
    </row>
    <row r="67" spans="1:8" x14ac:dyDescent="0.25">
      <c r="B67" s="2">
        <f>IFERROR(C20/H67,"")</f>
        <v>0.64383561643835618</v>
      </c>
      <c r="C67" s="2">
        <f>IFERROR(E20/H67,"")</f>
        <v>0</v>
      </c>
      <c r="D67" s="2">
        <f>(SUM(C20,E20))/H67</f>
        <v>0.64383561643835618</v>
      </c>
      <c r="E67" s="2">
        <f>IFERROR(G20/H67,"")</f>
        <v>0.35616438356164382</v>
      </c>
      <c r="F67" s="2">
        <f>B67/(B67+C67+E67)</f>
        <v>0.64383561643835618</v>
      </c>
      <c r="G67" s="2">
        <f>1-F67</f>
        <v>0.35616438356164382</v>
      </c>
      <c r="H67" s="60">
        <f>SUM(C20,E20,G20)</f>
        <v>73</v>
      </c>
    </row>
    <row r="68" spans="1:8" x14ac:dyDescent="0.25">
      <c r="B68" s="2">
        <f>IFERROR(C21/H68,"")</f>
        <v>0.70270270270270274</v>
      </c>
      <c r="C68" s="2">
        <f>IFERROR(E21/H68,"")</f>
        <v>1.3513513513513514E-2</v>
      </c>
      <c r="D68" s="2">
        <f>(SUM(C21,E21))/H68</f>
        <v>0.71621621621621623</v>
      </c>
      <c r="E68" s="2">
        <f>IFERROR(G21/H68,"")</f>
        <v>0.28378378378378377</v>
      </c>
      <c r="F68" s="2">
        <f t="shared" ref="F68:F69" si="5">B68/(B68+C68+E68)</f>
        <v>0.70270270270270274</v>
      </c>
      <c r="G68" s="2">
        <f t="shared" ref="G68:G69" si="6">1-F68</f>
        <v>0.29729729729729726</v>
      </c>
      <c r="H68" s="60">
        <f>SUM(C21,E21,G21)</f>
        <v>74</v>
      </c>
    </row>
    <row r="69" spans="1:8" ht="15.75" thickBot="1" x14ac:dyDescent="0.3">
      <c r="B69" s="61">
        <f>IFERROR(C22/H69,"")</f>
        <v>0.59210526315789469</v>
      </c>
      <c r="C69" s="61">
        <f>IFERROR(E22/H69,"")</f>
        <v>1.3157894736842105E-2</v>
      </c>
      <c r="D69" s="61">
        <f>(SUM(C22,E22))/H69</f>
        <v>0.60526315789473684</v>
      </c>
      <c r="E69" s="61">
        <f>IFERROR(G22/H69,"")</f>
        <v>0.39473684210526316</v>
      </c>
      <c r="F69" s="2">
        <f t="shared" si="5"/>
        <v>0.59210526315789469</v>
      </c>
      <c r="G69" s="2">
        <f t="shared" si="6"/>
        <v>0.40789473684210531</v>
      </c>
      <c r="H69" s="60">
        <f>SUM(C22,E22,G22)</f>
        <v>76</v>
      </c>
    </row>
    <row r="70" spans="1:8" ht="15.75" thickBot="1" x14ac:dyDescent="0.3">
      <c r="A70" s="49" t="s">
        <v>44</v>
      </c>
      <c r="B70" s="62">
        <f>AVERAGE(B67:B69)</f>
        <v>0.64621452743298458</v>
      </c>
      <c r="C70" s="62">
        <f t="shared" ref="C70:D70" si="7">AVERAGE(C67:C69)</f>
        <v>8.8904694167852068E-3</v>
      </c>
      <c r="D70" s="62">
        <f t="shared" si="7"/>
        <v>0.65510499684976964</v>
      </c>
      <c r="E70" s="62">
        <f>AVERAGE(E67:E69)</f>
        <v>0.34489500315023025</v>
      </c>
      <c r="F70" s="62">
        <f>AVERAGE(F67:F69)</f>
        <v>0.64621452743298458</v>
      </c>
      <c r="G70" s="62">
        <f>AVERAGE(G67:G69)</f>
        <v>0.35378547256701548</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152.39488505914272</v>
      </c>
      <c r="D74" s="82">
        <v>0.95</v>
      </c>
      <c r="E74" s="65">
        <v>864000</v>
      </c>
      <c r="F74" s="64">
        <f>(G74*(C74/1000000))</f>
        <v>146.29908965677703</v>
      </c>
      <c r="G74" s="65">
        <f>E74/B74</f>
        <v>960000</v>
      </c>
      <c r="H74" s="65">
        <f>G74+(G74*E59)</f>
        <v>1008794.921777378</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EF73B2A-B598-41EA-9A0A-5AD9B898ED54}"/>
</file>

<file path=customXml/itemProps2.xml><?xml version="1.0" encoding="utf-8"?>
<ds:datastoreItem xmlns:ds="http://schemas.openxmlformats.org/officeDocument/2006/customXml" ds:itemID="{525D1533-6C13-49CB-A9A4-2CE8AACA53AB}"/>
</file>

<file path=customXml/itemProps3.xml><?xml version="1.0" encoding="utf-8"?>
<ds:datastoreItem xmlns:ds="http://schemas.openxmlformats.org/officeDocument/2006/customXml" ds:itemID="{CE655D21-20CD-4D9B-BA6E-EDDC45E2013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201006-1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2020-10-06T16:15:48Z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