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USE" sheetId="1" r:id="rId4"/>
    <sheet state="visible" name="Formulaic Template" sheetId="2" r:id="rId5"/>
    <sheet state="visible" name="datasheet" sheetId="3" r:id="rId6"/>
    <sheet state="visible" name="powers" sheetId="4" r:id="rId7"/>
    <sheet state="visible" name="calculations" sheetId="5" r:id="rId8"/>
  </sheets>
  <definedNames>
    <definedName name="ENHANCED_STRENGTH">powers!$B$93</definedName>
    <definedName name="STR">datasheet!$C$5</definedName>
    <definedName name="CHARACTERISTIC_POINTS">calculations!$B$57</definedName>
    <definedName name="INT">datasheet!$C$9</definedName>
    <definedName name="STATIC_POWER_SLOTS">powers!$G$1</definedName>
    <definedName name="ORIGIN">powers!$D$1</definedName>
    <definedName name="EVADE">datasheet!$J$11</definedName>
    <definedName name="FLIGHT_LEVITATE">powers!$H$108</definedName>
    <definedName name="HEALING_RATE">datasheet!$C$20</definedName>
    <definedName name="LUCKY">powers!$B$165</definedName>
    <definedName name="EF_UNARMED_BONUS_DAMAGE">calculations!$N$25</definedName>
    <definedName name="COMMON_POWER_LIMITS">calculations!$B$11:$B$24</definedName>
    <definedName name="ENHANCED_SPEED">powers!$B$87</definedName>
    <definedName name="POWER_LEVELS">calculations!$B$7:$B$9</definedName>
    <definedName name="CLOSE_COMBAT_ATTACK_SIZE">calculations!$N$17</definedName>
    <definedName name="DAMAGE_MOD">calculations!$B$47</definedName>
    <definedName name="PASSIONS">datasheet!$F$25:$L$30</definedName>
    <definedName name="ENDURANCE">datasheet!$J$10</definedName>
    <definedName name="POWERS_LIMITS_DESCRIPTIONS">calculations!$D$74:$D$83</definedName>
    <definedName name="ORIGIN_CHARACTERISTIC_VALUE">calculations!$E$18</definedName>
    <definedName name="TOTAL_LIMITS">powers!$G$6</definedName>
    <definedName name="STATIC_ACTION_POINTS">powers!$D$9</definedName>
    <definedName name="ATHLETICS">datasheet!$J$5</definedName>
    <definedName name="POWER_LEVEL">powers!$D$2</definedName>
    <definedName name="SWIM">datasheet!$J$19</definedName>
    <definedName name="CHA">datasheet!$C$11</definedName>
    <definedName name="POWER_POINTS_RECOVERY">calculations!$B$70</definedName>
    <definedName name="BONUS_SKILL_POINTS">calculations!$B$62</definedName>
    <definedName name="MAX_CORE_POWERS">calculations!$B$66</definedName>
    <definedName name="ENTRAP_SINGLE">powers!$H$102</definedName>
    <definedName name="ACTION_POINTS">calculations!$H$9</definedName>
    <definedName name="TOTAL_POWERS">powers!$G$4</definedName>
    <definedName name="EF_DAMAGE">calculations!$M$25</definedName>
    <definedName name="ENHANCED_BODY">powers!$B$99</definedName>
    <definedName name="BASE_HP_CALC">calculations!$B$5</definedName>
    <definedName name="DURABILITY">powers!$B$57</definedName>
    <definedName name="UNARMED">datasheet!$J$20</definedName>
    <definedName name="CONCEAL">datasheet!$J$7</definedName>
    <definedName name="ENHANCED_SPEED_MULTIPLIER">calculations!$D$6</definedName>
    <definedName name="HERO_LIMITS">powers!$I$2:$I$10</definedName>
    <definedName name="COMBAT_STYLE">datasheet!$J$22</definedName>
    <definedName name="DAMAGE_MOD_TABLE">calculations!$B$27:$C$44</definedName>
    <definedName name="CAREER_SKILL_POINTS">calculations!$B$61</definedName>
    <definedName name="HEIGHTENED_SENSES">calculations!$H$21:$H$31</definedName>
    <definedName name="BLAST_SIZE">calculations!$J$17</definedName>
    <definedName name="CON">datasheet!$C$6</definedName>
    <definedName name="BONUS_HIT_POINTS">calculations!$B$59</definedName>
    <definedName name="ORIGINS">calculations!$D$11:$D$17</definedName>
    <definedName name="BASE_ALLOTMENTS">calculations!$B$71</definedName>
    <definedName name="INFLUENCE">datasheet!$J$13</definedName>
    <definedName name="FIRST_AID">datasheet!$J$12</definedName>
    <definedName name="TOTAL_BOOSTS">powers!$G$5</definedName>
    <definedName name="LIMIT_HERO">powers!$H$2:$H$10</definedName>
    <definedName name="POW">datasheet!$C$10</definedName>
    <definedName name="STREETWISE">datasheet!$J$18</definedName>
    <definedName name="DRIVE">datasheet!$J$9</definedName>
    <definedName name="FOCUSED_STRENGTH">powers!$H$94</definedName>
    <definedName name="ENHANCED_REACTIONS">powers!$B$81</definedName>
    <definedName name="PERCEPTION">datasheet!$J$16</definedName>
    <definedName name="CLOSE_COMBAT_ATTACK_CHARISMA">powers!$K$25</definedName>
    <definedName name="BASE_HP_CALC_GLASS_JAW">calculations!$D$5</definedName>
    <definedName name="BLAST_DAMAGE">calculations!$I$17</definedName>
    <definedName name="CULTURE_SKILL_POINTS">calculations!$B$60</definedName>
    <definedName name="CLOSE_COMBAT_ATTACK_SOURCE">calculations!$K$13</definedName>
    <definedName name="ENTRAP_FRAGILE">powers!$H$101</definedName>
    <definedName name="NATIVE_TONGUE">datasheet!$J$15</definedName>
    <definedName name="POWER_POINTS">calculations!$B$69</definedName>
    <definedName name="COMBAT_EXPERTISES">calculations!$E$21:$E$33</definedName>
    <definedName name="BRAWN">datasheet!$J$6</definedName>
    <definedName name="MAX_PER_CHARACTERISTIC">calculations!$B$58</definedName>
    <definedName name="LIFE_SUPPORTS">calculations!$E$35:$E$43</definedName>
    <definedName name="INSIGHT">datasheet!$J$14</definedName>
    <definedName name="STEALTH">datasheet!$J$17</definedName>
    <definedName name="CHA_DAMAGE_MOD">calculations!$D$47</definedName>
    <definedName name="DAMAGE_MOD_CALC">calculations!$B$46</definedName>
    <definedName name="CHA_DAMAGE_MOD_CALC">calculations!$D$46</definedName>
    <definedName name="POWER_SLOTS">calculations!$E$50</definedName>
    <definedName name="BONUS_BOOSTS">calculations!$B$67</definedName>
    <definedName name="SIZ">datasheet!$C$7</definedName>
    <definedName name="WILLPOWER">datasheet!$J$21</definedName>
    <definedName name="CLOSE_COMBAT_ATTACK_DAMAGE">calculations!$M$17</definedName>
    <definedName name="MAX_SKILL_PER_CATEGORY">calculations!$B$63</definedName>
    <definedName name="DECEIT">datasheet!$J$8</definedName>
    <definedName name="DEX">datasheet!$C$8</definedName>
    <definedName name="MAX_LIMITS">calculations!$B$68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6">
      <text>
        <t xml:space="preserve">5 points minimum per standard, and in 3 professional</t>
      </text>
    </comment>
    <comment authorId="0" ref="B37">
      <text>
        <t xml:space="preserve">add points to a max of 3 professional skills</t>
      </text>
    </comment>
    <comment authorId="0" ref="B40">
      <text>
        <t xml:space="preserve">No More than 30 of these in one skill</t>
      </text>
    </comment>
  </commentList>
</comments>
</file>

<file path=xl/sharedStrings.xml><?xml version="1.0" encoding="utf-8"?>
<sst xmlns="http://schemas.openxmlformats.org/spreadsheetml/2006/main" count="977" uniqueCount="681">
  <si>
    <t>Enter in your data into Datasheet, click on formulatic template for a fancy sheet</t>
  </si>
  <si>
    <t>Powers are done on the power sheet</t>
  </si>
  <si>
    <r>
      <rPr>
        <rFont val="Cabin Condensed"/>
        <b/>
        <color rgb="FFFFFFFF"/>
        <sz val="12.0"/>
      </rPr>
      <t>NAME</t>
    </r>
    <r>
      <rPr>
        <rFont val="Cabin Condensed"/>
        <color rgb="FFFFFFFF"/>
        <sz val="12.0"/>
      </rPr>
      <t xml:space="preserve"> </t>
    </r>
    <r>
      <rPr>
        <rFont val="Cabin Condensed"/>
        <i/>
        <color rgb="FFFFFFFF"/>
        <sz val="12.0"/>
      </rPr>
      <t>(Details)</t>
    </r>
  </si>
  <si>
    <t>Backstory?</t>
  </si>
  <si>
    <t>Characteristics</t>
  </si>
  <si>
    <t>Attributes</t>
  </si>
  <si>
    <t>D20</t>
  </si>
  <si>
    <t>Hit Location</t>
  </si>
  <si>
    <t>AP</t>
  </si>
  <si>
    <t>HP</t>
  </si>
  <si>
    <t>STR</t>
  </si>
  <si>
    <t>Action Points</t>
  </si>
  <si>
    <t>19-20</t>
  </si>
  <si>
    <t>Head</t>
  </si>
  <si>
    <t>CON</t>
  </si>
  <si>
    <t>Damage Mod.</t>
  </si>
  <si>
    <t>16-18</t>
  </si>
  <si>
    <t>Left Arm</t>
  </si>
  <si>
    <t>SIZ</t>
  </si>
  <si>
    <t>Power Points</t>
  </si>
  <si>
    <t>13-15</t>
  </si>
  <si>
    <t>Right Arm</t>
  </si>
  <si>
    <t>DEX</t>
  </si>
  <si>
    <t>Movement</t>
  </si>
  <si>
    <t>6</t>
  </si>
  <si>
    <t>10-12</t>
  </si>
  <si>
    <t>Chest</t>
  </si>
  <si>
    <t>INT</t>
  </si>
  <si>
    <t>Initiative</t>
  </si>
  <si>
    <t>07-09</t>
  </si>
  <si>
    <t>Abdomen</t>
  </si>
  <si>
    <t>POW</t>
  </si>
  <si>
    <t>Healing Rate</t>
  </si>
  <si>
    <t>04-06</t>
  </si>
  <si>
    <t>Left Leg</t>
  </si>
  <si>
    <t>CHA</t>
  </si>
  <si>
    <t>Power Recovery</t>
  </si>
  <si>
    <t>01-03</t>
  </si>
  <si>
    <t>Right Leg</t>
  </si>
  <si>
    <t xml:space="preserve">Skills: </t>
  </si>
  <si>
    <t>Passions:</t>
  </si>
  <si>
    <t>Core Powers</t>
  </si>
  <si>
    <t>Combat Style</t>
  </si>
  <si>
    <t>Weapons</t>
  </si>
  <si>
    <t>Size/Force</t>
  </si>
  <si>
    <t>Reach</t>
  </si>
  <si>
    <t>Damage</t>
  </si>
  <si>
    <t>AP/HP</t>
  </si>
  <si>
    <t>Effects &amp; Traits</t>
  </si>
  <si>
    <t>Fill in cells with this colour</t>
  </si>
  <si>
    <t>Standard Skills</t>
  </si>
  <si>
    <t>Professional Skills</t>
  </si>
  <si>
    <t>stats</t>
  </si>
  <si>
    <t>Total</t>
  </si>
  <si>
    <t>Racial Avg</t>
  </si>
  <si>
    <t>skills</t>
  </si>
  <si>
    <t>base</t>
  </si>
  <si>
    <t>Points</t>
  </si>
  <si>
    <t>XP</t>
  </si>
  <si>
    <t>total</t>
  </si>
  <si>
    <t>points</t>
  </si>
  <si>
    <t>str</t>
  </si>
  <si>
    <t>Athletics</t>
  </si>
  <si>
    <t>Acrobatics</t>
  </si>
  <si>
    <t>con</t>
  </si>
  <si>
    <t>Brawn</t>
  </si>
  <si>
    <t>Art ()</t>
  </si>
  <si>
    <t>siz</t>
  </si>
  <si>
    <t>Conceal</t>
  </si>
  <si>
    <t>Boating</t>
  </si>
  <si>
    <t>dex</t>
  </si>
  <si>
    <t>Deceit</t>
  </si>
  <si>
    <t>Computers</t>
  </si>
  <si>
    <t>int</t>
  </si>
  <si>
    <t>Drive</t>
  </si>
  <si>
    <t>Courtesy</t>
  </si>
  <si>
    <t>pow</t>
  </si>
  <si>
    <t>Endurance</t>
  </si>
  <si>
    <t>Craft ()</t>
  </si>
  <si>
    <t>cha</t>
  </si>
  <si>
    <t>Evade</t>
  </si>
  <si>
    <t>Culture ()</t>
  </si>
  <si>
    <t>total points</t>
  </si>
  <si>
    <t>First aid</t>
  </si>
  <si>
    <t>Demolitions</t>
  </si>
  <si>
    <t>points left</t>
  </si>
  <si>
    <t>Influence</t>
  </si>
  <si>
    <t>Electronics</t>
  </si>
  <si>
    <t>Points allowed</t>
  </si>
  <si>
    <t>Insight</t>
  </si>
  <si>
    <t>Engineering ()</t>
  </si>
  <si>
    <t>Max Points/Characteristic</t>
  </si>
  <si>
    <t>Native tongue</t>
  </si>
  <si>
    <t>Forgery</t>
  </si>
  <si>
    <t>Perception</t>
  </si>
  <si>
    <t>Gambling</t>
  </si>
  <si>
    <t>Researcher</t>
  </si>
  <si>
    <t>Intimidate</t>
  </si>
  <si>
    <t>INT+DEX</t>
  </si>
  <si>
    <t>Stealth</t>
  </si>
  <si>
    <t>Knowledge ()</t>
  </si>
  <si>
    <t>Exp Mod</t>
  </si>
  <si>
    <t>Streetwise</t>
  </si>
  <si>
    <t>Language ()</t>
  </si>
  <si>
    <t>Unarmed</t>
  </si>
  <si>
    <t>Mechanisms</t>
  </si>
  <si>
    <t>Luck Points</t>
  </si>
  <si>
    <t>Willpower</t>
  </si>
  <si>
    <t>Medicine</t>
  </si>
  <si>
    <t xml:space="preserve">Combat Style </t>
  </si>
  <si>
    <t>Navigation ()</t>
  </si>
  <si>
    <t>Power Point Recovery</t>
  </si>
  <si>
    <t>Perform ()</t>
  </si>
  <si>
    <t>Init Bonus</t>
  </si>
  <si>
    <t>Passions</t>
  </si>
  <si>
    <t>Pilot</t>
  </si>
  <si>
    <t>Base Movement</t>
  </si>
  <si>
    <t>Ride</t>
  </si>
  <si>
    <t>Damage Mod</t>
  </si>
  <si>
    <t>STR+SIZ</t>
  </si>
  <si>
    <t>Science ()</t>
  </si>
  <si>
    <t>Seduction</t>
  </si>
  <si>
    <t>HP Per Location</t>
  </si>
  <si>
    <t>standard</t>
  </si>
  <si>
    <t>Sleight</t>
  </si>
  <si>
    <t>Survival</t>
  </si>
  <si>
    <t>System ops</t>
  </si>
  <si>
    <t>Track</t>
  </si>
  <si>
    <t>Arm</t>
  </si>
  <si>
    <t>Super Powers</t>
  </si>
  <si>
    <t>Leg</t>
  </si>
  <si>
    <t>Core Powers (Boosts, Limits)</t>
  </si>
  <si>
    <t>Character Limits</t>
  </si>
  <si>
    <t>50 point Allocations</t>
  </si>
  <si>
    <t>40 point Allocations</t>
  </si>
  <si>
    <t>30 point Allocations</t>
  </si>
  <si>
    <t>20 point Allocations</t>
  </si>
  <si>
    <t>10 point Allocations</t>
  </si>
  <si>
    <t>Origin:</t>
  </si>
  <si>
    <t>Training (INT)</t>
  </si>
  <si>
    <t>Static Power Slots:</t>
  </si>
  <si>
    <t>Hero Limits</t>
  </si>
  <si>
    <t>Notes</t>
  </si>
  <si>
    <t>Power Level:</t>
  </si>
  <si>
    <t>Epic</t>
  </si>
  <si>
    <t>Power Slots:</t>
  </si>
  <si>
    <t>Distinctive Appearance</t>
  </si>
  <si>
    <t>External Power Source</t>
  </si>
  <si>
    <t>Max Core Powers:</t>
  </si>
  <si>
    <t>Powers:</t>
  </si>
  <si>
    <t>Fatal Flaw</t>
  </si>
  <si>
    <t>Bonus boosts:</t>
  </si>
  <si>
    <t>Boosts:</t>
  </si>
  <si>
    <t>Impaired Recovery</t>
  </si>
  <si>
    <t>Max Limits:</t>
  </si>
  <si>
    <t>Limits:</t>
  </si>
  <si>
    <t>Linked</t>
  </si>
  <si>
    <t>Base Allotments:</t>
  </si>
  <si>
    <t>Used Power Slots:</t>
  </si>
  <si>
    <t>Omnipower</t>
  </si>
  <si>
    <t>Physical Limitation</t>
  </si>
  <si>
    <t>Static Action Points</t>
  </si>
  <si>
    <t>Powered Form</t>
  </si>
  <si>
    <t>Vulnerability</t>
  </si>
  <si>
    <t>Power</t>
  </si>
  <si>
    <t>Boosts</t>
  </si>
  <si>
    <t>Limits</t>
  </si>
  <si>
    <t>ADH</t>
  </si>
  <si>
    <t>Adhesion</t>
  </si>
  <si>
    <t>Expert Grappler</t>
  </si>
  <si>
    <t>Limited Surfaces</t>
  </si>
  <si>
    <t>Sticky Fingers</t>
  </si>
  <si>
    <t>Low Speed</t>
  </si>
  <si>
    <t>Sudden Stop</t>
  </si>
  <si>
    <t>Uncontrolled Stickiness</t>
  </si>
  <si>
    <t>WallRunner</t>
  </si>
  <si>
    <t>Custom</t>
  </si>
  <si>
    <t>BLAST</t>
  </si>
  <si>
    <t>Blast</t>
  </si>
  <si>
    <t>Armor Piercing</t>
  </si>
  <si>
    <t>Inaccurate</t>
  </si>
  <si>
    <t>Detonate</t>
  </si>
  <si>
    <t>Low Penetration</t>
  </si>
  <si>
    <t>Ongoing Damage</t>
  </si>
  <si>
    <t>Short Range</t>
  </si>
  <si>
    <t>Salvo</t>
  </si>
  <si>
    <t>CCA</t>
  </si>
  <si>
    <t>Close Combat Attack</t>
  </si>
  <si>
    <t>Quick Draw</t>
  </si>
  <si>
    <t>Handheld</t>
  </si>
  <si>
    <t>Charisma Based</t>
  </si>
  <si>
    <t>Note: Update CLOSE_COMBAT_ATTACK_SOURCE to use correct source attribute(s).</t>
  </si>
  <si>
    <t>Ranged Parry</t>
  </si>
  <si>
    <t>Poor Defense</t>
  </si>
  <si>
    <t>Toxic</t>
  </si>
  <si>
    <t>Slow</t>
  </si>
  <si>
    <t>Weapon Traits</t>
  </si>
  <si>
    <t>CE</t>
  </si>
  <si>
    <t>Combat Expert</t>
  </si>
  <si>
    <t>Signature Weapon</t>
  </si>
  <si>
    <t>Weapon Focus</t>
  </si>
  <si>
    <t>Expert Strike</t>
  </si>
  <si>
    <t>Weapon Wear</t>
  </si>
  <si>
    <t>Precise Strike</t>
  </si>
  <si>
    <t>Ready for Action</t>
  </si>
  <si>
    <t>Speed Load</t>
  </si>
  <si>
    <t>CREATE</t>
  </si>
  <si>
    <t>Creation</t>
  </si>
  <si>
    <t>Complex Creations</t>
  </si>
  <si>
    <t>Fragile Creations</t>
  </si>
  <si>
    <t>Distant Creations</t>
  </si>
  <si>
    <t>Limited Creations</t>
  </si>
  <si>
    <t>Durable Creations</t>
  </si>
  <si>
    <t>Obvious Creations</t>
  </si>
  <si>
    <t>Large Creations</t>
  </si>
  <si>
    <t>DEFLECT</t>
  </si>
  <si>
    <t>Deflect</t>
  </si>
  <si>
    <t>Extra Parry</t>
  </si>
  <si>
    <t>Active Blocking</t>
  </si>
  <si>
    <t>Fast Shield</t>
  </si>
  <si>
    <t>No Attack Option</t>
  </si>
  <si>
    <t>Ranged Redirect</t>
  </si>
  <si>
    <t>One Attack Form</t>
  </si>
  <si>
    <t>Tower Shield</t>
  </si>
  <si>
    <t>DUPE</t>
  </si>
  <si>
    <t>Duplication</t>
  </si>
  <si>
    <t>Additional Duplicate</t>
  </si>
  <si>
    <t>Passionate Duplicates</t>
  </si>
  <si>
    <t>Army of One</t>
  </si>
  <si>
    <t>Sympathetic Bond</t>
  </si>
  <si>
    <t>Human Target</t>
  </si>
  <si>
    <t>Weak Duplicates</t>
  </si>
  <si>
    <t>Parallel Lives</t>
  </si>
  <si>
    <t>DURA</t>
  </si>
  <si>
    <t>Durability</t>
  </si>
  <si>
    <t>(Autocalculated)</t>
  </si>
  <si>
    <t>Natural Detox</t>
  </si>
  <si>
    <t>Crash</t>
  </si>
  <si>
    <t>Second Wind</t>
  </si>
  <si>
    <t>Glass Jaw</t>
  </si>
  <si>
    <t>Update one location to use BASE_HP_CALC_GLASS_JAW in HP calculation.</t>
  </si>
  <si>
    <t>Shake It Off</t>
  </si>
  <si>
    <t>Lightweight</t>
  </si>
  <si>
    <t>Tireless</t>
  </si>
  <si>
    <t>EC</t>
  </si>
  <si>
    <t>Elemental Control</t>
  </si>
  <si>
    <t>Create Element</t>
  </si>
  <si>
    <t>Crude Shapes Only</t>
  </si>
  <si>
    <t>Elemental Movement</t>
  </si>
  <si>
    <t>Elemental Vulnerability</t>
  </si>
  <si>
    <t>Increased Area</t>
  </si>
  <si>
    <t>Willful Element</t>
  </si>
  <si>
    <t>Independent Element</t>
  </si>
  <si>
    <t>EMP</t>
  </si>
  <si>
    <t>Empathy</t>
  </si>
  <si>
    <t>Emotion Control</t>
  </si>
  <si>
    <t>Emotional Mimic</t>
  </si>
  <si>
    <t>Empathic Healing</t>
  </si>
  <si>
    <t>Primal Empath</t>
  </si>
  <si>
    <t>Global Empathy</t>
  </si>
  <si>
    <t>Specific Emotion</t>
  </si>
  <si>
    <t>Read the Room</t>
  </si>
  <si>
    <t>EF</t>
  </si>
  <si>
    <t>Energy Field</t>
  </si>
  <si>
    <t>Energy Flare</t>
  </si>
  <si>
    <t>Always On</t>
  </si>
  <si>
    <t>Energy Weapons</t>
  </si>
  <si>
    <t>Destructive Field</t>
  </si>
  <si>
    <t>Fast Field</t>
  </si>
  <si>
    <t>Reactive Shield</t>
  </si>
  <si>
    <t>Selective Field</t>
  </si>
  <si>
    <t>ER</t>
  </si>
  <si>
    <t>Enhanced Reactions</t>
  </si>
  <si>
    <t>Additional Reactions</t>
  </si>
  <si>
    <t>Impulsive</t>
  </si>
  <si>
    <t>Nimble</t>
  </si>
  <si>
    <t>On the Move</t>
  </si>
  <si>
    <t>Parkour</t>
  </si>
  <si>
    <t>Overwhelmed</t>
  </si>
  <si>
    <t>Superior Balance</t>
  </si>
  <si>
    <t>ESP</t>
  </si>
  <si>
    <t>Enhanced Speed</t>
  </si>
  <si>
    <t>Hyper Action</t>
  </si>
  <si>
    <t>Easily Winded</t>
  </si>
  <si>
    <t>Hyper Speed</t>
  </si>
  <si>
    <t>Hyper Metabolism</t>
  </si>
  <si>
    <t>Speed Charge</t>
  </si>
  <si>
    <t>Jogger</t>
  </si>
  <si>
    <t>Whirlwind</t>
  </si>
  <si>
    <t>ESTR</t>
  </si>
  <si>
    <t>Enhanced Strength</t>
  </si>
  <si>
    <t>Clobber</t>
  </si>
  <si>
    <t>Bull in a China Shop</t>
  </si>
  <si>
    <t>Ground Pound</t>
  </si>
  <si>
    <t>Focused Strength</t>
  </si>
  <si>
    <t>Power Lift</t>
  </si>
  <si>
    <t>Muscle Strain</t>
  </si>
  <si>
    <t>Super Leap</t>
  </si>
  <si>
    <t>EBOD</t>
  </si>
  <si>
    <t>Enhanced Body</t>
  </si>
  <si>
    <t>ENTRAP</t>
  </si>
  <si>
    <t>Entrap</t>
  </si>
  <si>
    <t>Guide Line</t>
  </si>
  <si>
    <t>Fragile Bindings</t>
  </si>
  <si>
    <t>Strong Bindings</t>
  </si>
  <si>
    <t>Single Location</t>
  </si>
  <si>
    <t>Swinging</t>
  </si>
  <si>
    <t>Slowing Bindings</t>
  </si>
  <si>
    <t>Wide Net</t>
  </si>
  <si>
    <t>FLIGHT</t>
  </si>
  <si>
    <t>Flight</t>
  </si>
  <si>
    <t>Afterburners</t>
  </si>
  <si>
    <t>Gliding</t>
  </si>
  <si>
    <t>Dive Bomb</t>
  </si>
  <si>
    <t>Levitate</t>
  </si>
  <si>
    <t>Space Flight</t>
  </si>
  <si>
    <t>Sky Rider</t>
  </si>
  <si>
    <t>Supersonic</t>
  </si>
  <si>
    <t>SSWIM</t>
  </si>
  <si>
    <t>Super Swimming</t>
  </si>
  <si>
    <t>Surface Launch</t>
  </si>
  <si>
    <t>Aquatic</t>
  </si>
  <si>
    <t>FF</t>
  </si>
  <si>
    <t>Force Field</t>
  </si>
  <si>
    <t>Bolster</t>
  </si>
  <si>
    <t>Limited Protection</t>
  </si>
  <si>
    <t>Fire Point</t>
  </si>
  <si>
    <t>Opaque</t>
  </si>
  <si>
    <t>Mobile Field</t>
  </si>
  <si>
    <t>Weak Point</t>
  </si>
  <si>
    <t>Shapeable Field</t>
  </si>
  <si>
    <t>GROW</t>
  </si>
  <si>
    <t>Growth</t>
  </si>
  <si>
    <t>Fast Change</t>
  </si>
  <si>
    <t>Giant Strength</t>
  </si>
  <si>
    <t>Growth Strain</t>
  </si>
  <si>
    <t>Swat</t>
  </si>
  <si>
    <t>Slow Motion</t>
  </si>
  <si>
    <t>Titanic</t>
  </si>
  <si>
    <t>HS</t>
  </si>
  <si>
    <t>Heightened Sense</t>
  </si>
  <si>
    <t>Overload</t>
  </si>
  <si>
    <t>Telescopic Sense</t>
  </si>
  <si>
    <t>Sensory Static</t>
  </si>
  <si>
    <t>Tracking Sense</t>
  </si>
  <si>
    <t>Weakened Sense</t>
  </si>
  <si>
    <t>X-Ray Sense</t>
  </si>
  <si>
    <t>IARM</t>
  </si>
  <si>
    <t>Inherent Armor</t>
  </si>
  <si>
    <t>Armor Up</t>
  </si>
  <si>
    <t>Ablative</t>
  </si>
  <si>
    <t>Human Shield</t>
  </si>
  <si>
    <t>Bulky</t>
  </si>
  <si>
    <t>Nigh Invulnerability</t>
  </si>
  <si>
    <t>Partial Coverage</t>
  </si>
  <si>
    <t>Stand Fast</t>
  </si>
  <si>
    <t>MMIM</t>
  </si>
  <si>
    <t>Material Mimic</t>
  </si>
  <si>
    <t>Increased Duration</t>
  </si>
  <si>
    <t>Thicker Armor</t>
  </si>
  <si>
    <t>INV</t>
  </si>
  <si>
    <t>Invisibility</t>
  </si>
  <si>
    <t>Additional Senses</t>
  </si>
  <si>
    <t>Chameleon</t>
  </si>
  <si>
    <t>Afterimage</t>
  </si>
  <si>
    <t>Obvious Tell</t>
  </si>
  <si>
    <t>Shared Invisibility</t>
  </si>
  <si>
    <t>Partial Invisibility</t>
  </si>
  <si>
    <t>Stealth Strike</t>
  </si>
  <si>
    <t>KC</t>
  </si>
  <si>
    <t>Kinetic Control</t>
  </si>
  <si>
    <t>Fast Charge</t>
  </si>
  <si>
    <t>Body in Motion</t>
  </si>
  <si>
    <t>Kinetic Shield</t>
  </si>
  <si>
    <t>Inaccurate Charge</t>
  </si>
  <si>
    <t>Supercharge</t>
  </si>
  <si>
    <t>Kinetic Drain</t>
  </si>
  <si>
    <t>Torpid Bubble</t>
  </si>
  <si>
    <t>LS</t>
  </si>
  <si>
    <t>Life Support</t>
  </si>
  <si>
    <t>Limited Environment</t>
  </si>
  <si>
    <t>Opposite Environment Susceptibility</t>
  </si>
  <si>
    <t>Environmental Adaptation</t>
  </si>
  <si>
    <t>Unusual Requirement</t>
  </si>
  <si>
    <t>Limited Resistance</t>
  </si>
  <si>
    <t>Survivalist</t>
  </si>
  <si>
    <t>AB</t>
  </si>
  <si>
    <t>Artificial Being</t>
  </si>
  <si>
    <t>LUCK</t>
  </si>
  <si>
    <t>Lucky</t>
  </si>
  <si>
    <t>Bad Penny</t>
  </si>
  <si>
    <t>Black Cat</t>
  </si>
  <si>
    <t>Environmental Editing</t>
  </si>
  <si>
    <t>Fickle Fate</t>
  </si>
  <si>
    <t>Luck of the Devil</t>
  </si>
  <si>
    <t>Karmic Backlash</t>
  </si>
  <si>
    <t>Shared Luck</t>
  </si>
  <si>
    <t>MOR</t>
  </si>
  <si>
    <t>Morph</t>
  </si>
  <si>
    <t>Doppelganger</t>
  </si>
  <si>
    <t>Body Only</t>
  </si>
  <si>
    <t>Expert Shifter</t>
  </si>
  <si>
    <t>Persistent Flaw</t>
  </si>
  <si>
    <t>Metamorph</t>
  </si>
  <si>
    <t>Specific Form</t>
  </si>
  <si>
    <t>Quick Change</t>
  </si>
  <si>
    <t>NEG</t>
  </si>
  <si>
    <t>Negation</t>
  </si>
  <si>
    <t>Additional Powers</t>
  </si>
  <si>
    <t>Backlash</t>
  </si>
  <si>
    <t>Energy Drain</t>
  </si>
  <si>
    <t>Power Trade</t>
  </si>
  <si>
    <t>Power Thief</t>
  </si>
  <si>
    <t>Specific Power Origin</t>
  </si>
  <si>
    <t>Ranged Negation</t>
  </si>
  <si>
    <t>PHA</t>
  </si>
  <si>
    <t>Phantasm</t>
  </si>
  <si>
    <t>Certain Senses Only</t>
  </si>
  <si>
    <t>Greater Phantasm</t>
  </si>
  <si>
    <t>Psychic Illusion</t>
  </si>
  <si>
    <t>Independent Illusion</t>
  </si>
  <si>
    <t>Specific Phantasms</t>
  </si>
  <si>
    <t>Psychosomatic</t>
  </si>
  <si>
    <t>PRECOG</t>
  </si>
  <si>
    <t>Precognition</t>
  </si>
  <si>
    <t>Danger Sense</t>
  </si>
  <si>
    <t>Cosmic Backlash</t>
  </si>
  <si>
    <t>Psychometry</t>
  </si>
  <si>
    <t>False Visions</t>
  </si>
  <si>
    <t>Remote Viewing</t>
  </si>
  <si>
    <t>Nightmares</t>
  </si>
  <si>
    <t>Shared Fate</t>
  </si>
  <si>
    <t>REGEN</t>
  </si>
  <si>
    <t>Regeneration</t>
  </si>
  <si>
    <t>Back from the Dead</t>
  </si>
  <si>
    <t>Down for the Count</t>
  </si>
  <si>
    <t>Instant Healing</t>
  </si>
  <si>
    <t>Single Location Only</t>
  </si>
  <si>
    <t>Reptilian Regeneration</t>
  </si>
  <si>
    <t>Traumatic Regeneration</t>
  </si>
  <si>
    <t>Shared Healing</t>
  </si>
  <si>
    <t>RESIST</t>
  </si>
  <si>
    <t>Resistance</t>
  </si>
  <si>
    <t>Absorption</t>
  </si>
  <si>
    <t>Damage Conversion</t>
  </si>
  <si>
    <t>Attack Redirection</t>
  </si>
  <si>
    <t>Linked Absorption</t>
  </si>
  <si>
    <t>Living Bomb:</t>
  </si>
  <si>
    <t>Immunity</t>
  </si>
  <si>
    <t>SAV</t>
  </si>
  <si>
    <t>Savant</t>
  </si>
  <si>
    <t>Instant Specialization</t>
  </si>
  <si>
    <t>Educational Limits</t>
  </si>
  <si>
    <t>Jack of All Trades</t>
  </si>
  <si>
    <t>Knowledge Gap</t>
  </si>
  <si>
    <t>Observational Mastery</t>
  </si>
  <si>
    <t>Skill Deficiency</t>
  </si>
  <si>
    <t>Parallel Knowledge</t>
  </si>
  <si>
    <t>SO</t>
  </si>
  <si>
    <t>Sensory Overload</t>
  </si>
  <si>
    <t>Additional Sense</t>
  </si>
  <si>
    <t>Feedback</t>
  </si>
  <si>
    <t>Esoteric Senses</t>
  </si>
  <si>
    <t>Partial Sensory Loss</t>
  </si>
  <si>
    <t>Flashbang</t>
  </si>
  <si>
    <t>Quick Flash</t>
  </si>
  <si>
    <t>Increased Range</t>
  </si>
  <si>
    <t>SHRINK</t>
  </si>
  <si>
    <t>Shrinking</t>
  </si>
  <si>
    <t>Growth Punch</t>
  </si>
  <si>
    <t>Disorienting Reduction</t>
  </si>
  <si>
    <t>Microscopic</t>
  </si>
  <si>
    <t>Growing Pains</t>
  </si>
  <si>
    <t>Quick Shrink</t>
  </si>
  <si>
    <t>Stressful Reduction</t>
  </si>
  <si>
    <t>Shrinking Dodge</t>
  </si>
  <si>
    <t>STRETCH</t>
  </si>
  <si>
    <t>Stretching</t>
  </si>
  <si>
    <t>Malleable</t>
  </si>
  <si>
    <t>Rubbery</t>
  </si>
  <si>
    <t>Maximum Stretch</t>
  </si>
  <si>
    <t>Slow Retraction</t>
  </si>
  <si>
    <t>Slingshot</t>
  </si>
  <si>
    <t>Weakened Limbs</t>
  </si>
  <si>
    <t>Stretchy Evade</t>
  </si>
  <si>
    <t>SUM</t>
  </si>
  <si>
    <t>Summon</t>
  </si>
  <si>
    <t>Empowered Construct</t>
  </si>
  <si>
    <t>Limited Form</t>
  </si>
  <si>
    <t>Guardian Constructs</t>
  </si>
  <si>
    <t>Material Required</t>
  </si>
  <si>
    <t>Homunculus</t>
  </si>
  <si>
    <t>Sympathetic Link</t>
  </si>
  <si>
    <t>Legion</t>
  </si>
  <si>
    <t>TECHNO</t>
  </si>
  <si>
    <t>Technopathy</t>
  </si>
  <si>
    <t>Data Transfer</t>
  </si>
  <si>
    <t>Direct Connection</t>
  </si>
  <si>
    <t>Memory Probe</t>
  </si>
  <si>
    <t>Limited Access</t>
  </si>
  <si>
    <t>System Control</t>
  </si>
  <si>
    <t>System Short</t>
  </si>
  <si>
    <t>Wi-Fi Enabled</t>
  </si>
  <si>
    <t>TELEKIN</t>
  </si>
  <si>
    <t>Telekinesis</t>
  </si>
  <si>
    <t>Distance Manipulation</t>
  </si>
  <si>
    <t>Limited Objects</t>
  </si>
  <si>
    <t>Size Matters Not</t>
  </si>
  <si>
    <t>Telekinetic Strain</t>
  </si>
  <si>
    <t>Telekinetic Shove</t>
  </si>
  <si>
    <t>Visible Force</t>
  </si>
  <si>
    <t>Telekinetic Strike</t>
  </si>
  <si>
    <t>TELEPATH</t>
  </si>
  <si>
    <t>Telepathy</t>
  </si>
  <si>
    <t>Gestalt Mind</t>
  </si>
  <si>
    <t>Mind Control</t>
  </si>
  <si>
    <t>Mental Overload</t>
  </si>
  <si>
    <t>Mind Probe</t>
  </si>
  <si>
    <t>Oversharing</t>
  </si>
  <si>
    <t>Party Line</t>
  </si>
  <si>
    <t>TELEPORT</t>
  </si>
  <si>
    <t>Teleport</t>
  </si>
  <si>
    <t>Full Stop</t>
  </si>
  <si>
    <t>Conditional Jump</t>
  </si>
  <si>
    <t>Long Jump</t>
  </si>
  <si>
    <t>Dangerous Passage</t>
  </si>
  <si>
    <t>Quick Jump</t>
  </si>
  <si>
    <t>Jump Disorientation</t>
  </si>
  <si>
    <t>Teleport Other</t>
  </si>
  <si>
    <t>PORTAL</t>
  </si>
  <si>
    <t>Portals</t>
  </si>
  <si>
    <t>Far Gate</t>
  </si>
  <si>
    <t>Inaccurate Portal</t>
  </si>
  <si>
    <t>Invisible Door</t>
  </si>
  <si>
    <t>Persistent Portals</t>
  </si>
  <si>
    <t>Quick Portal</t>
  </si>
  <si>
    <t>TRANSFORM</t>
  </si>
  <si>
    <t>Transform</t>
  </si>
  <si>
    <t>Alchemy</t>
  </si>
  <si>
    <t>Limited Transformation</t>
  </si>
  <si>
    <t>Lasting Transformation</t>
  </si>
  <si>
    <t>Unattended Objects</t>
  </si>
  <si>
    <t>Ranged Transformation</t>
  </si>
  <si>
    <t>Unstable Transformation</t>
  </si>
  <si>
    <t>Size Transformation</t>
  </si>
  <si>
    <t>VF</t>
  </si>
  <si>
    <t>Vaporous Form</t>
  </si>
  <si>
    <t>Non-Corporeal</t>
  </si>
  <si>
    <t>Dissipated Lungs</t>
  </si>
  <si>
    <t>Partial Manifestation</t>
  </si>
  <si>
    <t>Grounded</t>
  </si>
  <si>
    <t>Quick Mist</t>
  </si>
  <si>
    <t>Mist Vulnerability</t>
  </si>
  <si>
    <t>Spectral Dodge</t>
  </si>
  <si>
    <t>Skills</t>
  </si>
  <si>
    <t>Professions</t>
  </si>
  <si>
    <t>Skills + Profs</t>
  </si>
  <si>
    <t>Base HP calc</t>
  </si>
  <si>
    <t>Base HP calc Glass Jaw</t>
  </si>
  <si>
    <t>Enhanced Speed Multiplier</t>
  </si>
  <si>
    <t>Street</t>
  </si>
  <si>
    <t>Campaign Power Levels</t>
  </si>
  <si>
    <t>Paragon</t>
  </si>
  <si>
    <t>Actual Action Points</t>
  </si>
  <si>
    <t>Common Power Limits</t>
  </si>
  <si>
    <t>Activation Cost</t>
  </si>
  <si>
    <t>Origins</t>
  </si>
  <si>
    <t>Created (CON)</t>
  </si>
  <si>
    <t>1d8</t>
  </si>
  <si>
    <t>M</t>
  </si>
  <si>
    <t>1d4</t>
  </si>
  <si>
    <t>Activation Time</t>
  </si>
  <si>
    <t>Experiment (INT)</t>
  </si>
  <si>
    <t>1d10</t>
  </si>
  <si>
    <t>Source</t>
  </si>
  <si>
    <t>1d6</t>
  </si>
  <si>
    <t>Boosted Only</t>
  </si>
  <si>
    <t>Inherent (CHA)</t>
  </si>
  <si>
    <t>1d12</t>
  </si>
  <si>
    <t>L</t>
  </si>
  <si>
    <t>Concentration</t>
  </si>
  <si>
    <t>Mutant (CON)</t>
  </si>
  <si>
    <t>2d8</t>
  </si>
  <si>
    <t>Conditional</t>
  </si>
  <si>
    <t>Mystical (CHA)</t>
  </si>
  <si>
    <t>2d10</t>
  </si>
  <si>
    <t>H</t>
  </si>
  <si>
    <t>2d6</t>
  </si>
  <si>
    <t>Fatiguing</t>
  </si>
  <si>
    <t>Technology (INT)</t>
  </si>
  <si>
    <t>2d12</t>
  </si>
  <si>
    <t>E</t>
  </si>
  <si>
    <t>Latent</t>
  </si>
  <si>
    <t>Actual</t>
  </si>
  <si>
    <t>Limited Power</t>
  </si>
  <si>
    <t>Limited Targets</t>
  </si>
  <si>
    <t>Energy Field Damage</t>
  </si>
  <si>
    <t>1d3</t>
  </si>
  <si>
    <t>-</t>
  </si>
  <si>
    <t>Poor Control</t>
  </si>
  <si>
    <t>Power Outage</t>
  </si>
  <si>
    <t>Archery Expertise</t>
  </si>
  <si>
    <t>Enhanced Sense: Sight</t>
  </si>
  <si>
    <t>Side Effects</t>
  </si>
  <si>
    <t>Bleeding Attack</t>
  </si>
  <si>
    <t>Enhanced Sense: Smell</t>
  </si>
  <si>
    <t>Unstable Power</t>
  </si>
  <si>
    <t>Dual Weapon Expertise</t>
  </si>
  <si>
    <t>Enhanced Sense: Touch</t>
  </si>
  <si>
    <t>Custom (Specify)</t>
  </si>
  <si>
    <t>Duelist Expertise</t>
  </si>
  <si>
    <t>Enhanced Sense: Hearing</t>
  </si>
  <si>
    <t>Grappling Expertise</t>
  </si>
  <si>
    <t>Enhanced Sense: Taste</t>
  </si>
  <si>
    <t>Damage Mod Table</t>
  </si>
  <si>
    <t>STR + SIZ</t>
  </si>
  <si>
    <t>Impaling Attack</t>
  </si>
  <si>
    <t>Enhanced Sense: Other (Specify)</t>
  </si>
  <si>
    <t>-1d8</t>
  </si>
  <si>
    <t>Improvised Weapon Expertise</t>
  </si>
  <si>
    <t>Special Sense: Dark Sight</t>
  </si>
  <si>
    <t>-1d6</t>
  </si>
  <si>
    <t>Longarm Expertise</t>
  </si>
  <si>
    <t>Special Sense: Echolocation</t>
  </si>
  <si>
    <t>-1d4</t>
  </si>
  <si>
    <t>Pinning Attack</t>
  </si>
  <si>
    <t>Special Sense: Esoteric (Specify)</t>
  </si>
  <si>
    <t>-1d2</t>
  </si>
  <si>
    <t>Pistol Expertise</t>
  </si>
  <si>
    <t>Special Sense: Night Vision</t>
  </si>
  <si>
    <t>Reach Weapon Expertise</t>
  </si>
  <si>
    <t>Special Sense: Vibration Sense</t>
  </si>
  <si>
    <t>+1d2</t>
  </si>
  <si>
    <t>Throwing Expertise</t>
  </si>
  <si>
    <t>+1d4</t>
  </si>
  <si>
    <t>Unarmed Expertise</t>
  </si>
  <si>
    <t>+1d6</t>
  </si>
  <si>
    <t>+1d8</t>
  </si>
  <si>
    <t>Intense Cold</t>
  </si>
  <si>
    <t>+1d10</t>
  </si>
  <si>
    <t>Intense Heat</t>
  </si>
  <si>
    <t>+1d12</t>
  </si>
  <si>
    <t>Intense Radiation</t>
  </si>
  <si>
    <t>+2d6</t>
  </si>
  <si>
    <t>No Breathing</t>
  </si>
  <si>
    <t>+1d8+1d6</t>
  </si>
  <si>
    <t>No Sleep</t>
  </si>
  <si>
    <t>+2d8</t>
  </si>
  <si>
    <t>No Sustenance</t>
  </si>
  <si>
    <t>+1d10+1d8</t>
  </si>
  <si>
    <t>Underwater</t>
  </si>
  <si>
    <t>+2d10</t>
  </si>
  <si>
    <t>Vacuum</t>
  </si>
  <si>
    <t>+2d10+1d2</t>
  </si>
  <si>
    <t>Other (Specify)</t>
  </si>
  <si>
    <t>+2d10+1d4</t>
  </si>
  <si>
    <t>Damage Mod Base</t>
  </si>
  <si>
    <t>CHA Damage Mod Base</t>
  </si>
  <si>
    <t xml:space="preserve">Cha Based Damage Mod </t>
  </si>
  <si>
    <t>Power Slots Table</t>
  </si>
  <si>
    <t>Power Slots Actual</t>
  </si>
  <si>
    <t>STATIC</t>
  </si>
  <si>
    <t>Power Level Table</t>
  </si>
  <si>
    <t>Characteristic Points</t>
  </si>
  <si>
    <t>Max Per Characteristic</t>
  </si>
  <si>
    <t>Bonus Hit Points</t>
  </si>
  <si>
    <t>+1</t>
  </si>
  <si>
    <t>+2</t>
  </si>
  <si>
    <t>Culture Skill Points</t>
  </si>
  <si>
    <t>Career Skill Points</t>
  </si>
  <si>
    <t>Bonus Skill Points</t>
  </si>
  <si>
    <t>Max Skill Points/Category</t>
  </si>
  <si>
    <t>Max Core Powers</t>
  </si>
  <si>
    <t>Bonus boosts</t>
  </si>
  <si>
    <t>Max Limits</t>
  </si>
  <si>
    <t>Power Points Recovery</t>
  </si>
  <si>
    <t>1/hour</t>
  </si>
  <si>
    <t>2/hour</t>
  </si>
  <si>
    <t>3/hour</t>
  </si>
  <si>
    <t>Base Allotments</t>
  </si>
  <si>
    <t>Actual Powers and Limits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</si>
</sst>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0.0"/>
      <color rgb="FF000000"/>
      <name val="Arial"/>
      <scheme val="minor"/>
    </font>
    <font>
      <color theme="1"/>
      <name val="Arial"/>
      <scheme val="minor"/>
    </font>
    <font>
      <sz val="12.0"/>
      <color rgb="FFFFFFFF"/>
      <name val="Cabin Condensed"/>
    </font>
    <font/>
    <font>
      <i/>
      <color rgb="FF000000"/>
      <name val="Cabin Condensed"/>
    </font>
    <font>
      <b/>
      <color theme="1"/>
      <name val="Cabin Condensed"/>
    </font>
    <font>
      <color theme="1"/>
      <name val="Cabin Condensed"/>
    </font>
    <font>
      <sz val="10.0"/>
      <color rgb="FF000000"/>
      <name val="Cabin Condensed"/>
    </font>
    <font>
      <i/>
      <color theme="1"/>
      <name val="Cabin Condensed"/>
    </font>
    <font>
      <sz val="11.0"/>
      <color rgb="FF000000"/>
      <name val="Cabin Condensed"/>
    </font>
    <font>
      <i/>
      <color theme="1"/>
      <name val="Arial"/>
      <scheme val="minor"/>
    </font>
    <font>
      <b/>
      <sz val="10.0"/>
      <color theme="1"/>
      <name val="Arial"/>
      <scheme val="minor"/>
    </font>
    <font>
      <sz val="10.0"/>
      <color theme="1"/>
      <name val="Arial"/>
      <scheme val="minor"/>
    </font>
    <font>
      <b/>
      <i/>
      <sz val="10.0"/>
      <color rgb="FF000000"/>
      <name val="Arial"/>
      <scheme val="minor"/>
    </font>
    <font>
      <b/>
      <sz val="10.0"/>
      <color rgb="FF000000"/>
      <name val="Arial"/>
      <scheme val="minor"/>
    </font>
    <font>
      <sz val="10.0"/>
      <color rgb="FF980000"/>
      <name val="Arial"/>
      <scheme val="minor"/>
    </font>
    <font>
      <b/>
      <color theme="1"/>
      <name val="Arial"/>
      <scheme val="minor"/>
    </font>
    <font>
      <i/>
      <sz val="10.0"/>
      <color rgb="FF000000"/>
      <name val="Arial"/>
      <scheme val="minor"/>
    </font>
    <font>
      <strike/>
      <sz val="10.0"/>
      <color theme="1"/>
      <name val="Arial"/>
      <scheme val="minor"/>
    </font>
    <font>
      <b/>
      <i/>
      <sz val="10.0"/>
      <color theme="1"/>
      <name val="Arial"/>
      <scheme val="minor"/>
    </font>
    <font>
      <i/>
      <strike/>
      <sz val="10.0"/>
      <color theme="1"/>
      <name val="Arial"/>
      <scheme val="minor"/>
    </font>
    <font>
      <i/>
      <sz val="10.0"/>
      <color theme="1"/>
      <name val="Arial"/>
      <scheme val="minor"/>
    </font>
    <font>
      <b/>
      <i/>
      <color theme="1"/>
      <name val="Arial"/>
      <scheme val="minor"/>
    </font>
    <font>
      <color theme="1"/>
      <name val="Arial"/>
    </font>
    <font>
      <sz val="11.0"/>
      <color rgb="FF000000"/>
      <name val="Inconsolata"/>
    </font>
    <font>
      <sz val="11.0"/>
      <color theme="1"/>
      <name val="Inconsolata"/>
    </font>
    <font>
      <sz val="9.0"/>
      <color rgb="FF000000"/>
      <name val="&quot;Google Sans Mono&quot;"/>
    </font>
  </fonts>
  <fills count="10">
    <fill>
      <patternFill patternType="none"/>
    </fill>
    <fill>
      <patternFill patternType="lightGray"/>
    </fill>
    <fill>
      <patternFill patternType="solid">
        <fgColor rgb="FF434343"/>
        <bgColor rgb="FF434343"/>
      </patternFill>
    </fill>
    <fill>
      <patternFill patternType="solid">
        <fgColor rgb="FFCCCCCC"/>
        <bgColor rgb="FFCCCCCC"/>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
      <patternFill patternType="solid">
        <fgColor rgb="FFC9DAF8"/>
        <bgColor rgb="FFC9DAF8"/>
      </patternFill>
    </fill>
    <fill>
      <patternFill patternType="solid">
        <fgColor theme="0"/>
        <bgColor theme="0"/>
      </patternFill>
    </fill>
    <fill>
      <patternFill patternType="solid">
        <fgColor rgb="FF9FC5E8"/>
        <bgColor rgb="FF9FC5E8"/>
      </patternFill>
    </fill>
  </fills>
  <borders count="96">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top style="thick">
        <color rgb="FF000000"/>
      </top>
      <bottom style="dotted">
        <color rgb="FF000000"/>
      </bottom>
    </border>
    <border>
      <right style="thick">
        <color rgb="FF000000"/>
      </right>
      <top style="thick">
        <color rgb="FF000000"/>
      </top>
      <bottom style="dotted">
        <color rgb="FF000000"/>
      </bottom>
    </border>
    <border>
      <left style="thick">
        <color rgb="FF000000"/>
      </left>
      <right style="dotted">
        <color rgb="FF000000"/>
      </right>
      <top style="thick">
        <color rgb="FF000000"/>
      </top>
      <bottom style="dotted">
        <color rgb="FF000000"/>
      </bottom>
    </border>
    <border>
      <left style="dotted">
        <color rgb="FF000000"/>
      </left>
      <right style="dotted">
        <color rgb="FF000000"/>
      </right>
      <top style="thick">
        <color rgb="FF000000"/>
      </top>
      <bottom style="dotted">
        <color rgb="FF000000"/>
      </bottom>
    </border>
    <border>
      <left style="dotted">
        <color rgb="FF000000"/>
      </left>
      <top style="thick">
        <color rgb="FF000000"/>
      </top>
      <bottom style="dotted">
        <color rgb="FF000000"/>
      </bottom>
    </border>
    <border>
      <left style="dotted">
        <color rgb="FF000000"/>
      </left>
      <right style="thick">
        <color rgb="FF000000"/>
      </right>
      <top style="thick">
        <color rgb="FF000000"/>
      </top>
      <bottom style="dotted">
        <color rgb="FF000000"/>
      </bottom>
    </border>
    <border>
      <left style="thick">
        <color rgb="FF000000"/>
      </left>
      <right style="dotted">
        <color rgb="FF000000"/>
      </right>
      <top style="dotted">
        <color rgb="FF000000"/>
      </top>
      <bottom style="dotted">
        <color rgb="FF000000"/>
      </bottom>
    </border>
    <border>
      <left style="dotted">
        <color rgb="FF000000"/>
      </left>
      <right style="thick">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left style="thick">
        <color rgb="FF000000"/>
      </left>
      <right style="dotted">
        <color rgb="FF000000"/>
      </right>
      <top style="dotted">
        <color rgb="FF000000"/>
      </top>
      <bottom style="thick">
        <color rgb="FF000000"/>
      </bottom>
    </border>
    <border>
      <left style="dotted">
        <color rgb="FF000000"/>
      </left>
      <right style="thick">
        <color rgb="FF000000"/>
      </right>
      <top style="dotted">
        <color rgb="FF000000"/>
      </top>
      <bottom style="thick">
        <color rgb="FF000000"/>
      </bottom>
    </border>
    <border>
      <left style="dotted">
        <color rgb="FF000000"/>
      </left>
      <right style="dotted">
        <color rgb="FF000000"/>
      </right>
      <top style="dotted">
        <color rgb="FF000000"/>
      </top>
      <bottom style="thick">
        <color rgb="FF000000"/>
      </bottom>
    </border>
    <border>
      <left style="dotted">
        <color rgb="FF000000"/>
      </left>
      <top style="dotted">
        <color rgb="FF000000"/>
      </top>
      <bottom style="thick">
        <color rgb="FF000000"/>
      </bottom>
    </border>
    <border>
      <left style="thick">
        <color rgb="FF000000"/>
      </left>
      <right style="dotted">
        <color rgb="FF000000"/>
      </right>
      <top style="thick">
        <color rgb="FF000000"/>
      </top>
      <bottom style="thick">
        <color rgb="FF000000"/>
      </bottom>
    </border>
    <border>
      <left style="dotted">
        <color rgb="FF000000"/>
      </left>
      <top style="thick">
        <color rgb="FF000000"/>
      </top>
      <bottom style="thick">
        <color rgb="FF000000"/>
      </bottom>
    </border>
    <border>
      <bottom style="thick">
        <color rgb="FF000000"/>
      </bottom>
    </border>
    <border>
      <right style="thick">
        <color rgb="FF000000"/>
      </right>
      <bottom style="thick">
        <color rgb="FF000000"/>
      </bottom>
    </border>
    <border>
      <left style="thick">
        <color rgb="FF000000"/>
      </left>
      <right style="dotted">
        <color rgb="FF000000"/>
      </right>
      <top style="thick">
        <color rgb="FF000000"/>
      </top>
    </border>
    <border>
      <left style="dotted">
        <color rgb="FF000000"/>
      </left>
      <top style="thick">
        <color rgb="FF000000"/>
      </top>
    </border>
    <border>
      <top style="thick">
        <color rgb="FF000000"/>
      </top>
    </border>
    <border>
      <right style="thick">
        <color rgb="FF000000"/>
      </right>
      <top style="thick">
        <color rgb="FF000000"/>
      </top>
    </border>
    <border>
      <left style="thick">
        <color rgb="FF000000"/>
      </left>
      <top style="thick">
        <color rgb="FF000000"/>
      </top>
    </border>
    <border>
      <left style="thick">
        <color rgb="FF000000"/>
      </left>
      <bottom style="thick">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ck">
        <color rgb="FF000000"/>
      </right>
      <top style="medium">
        <color rgb="FF000000"/>
      </top>
      <bottom style="medium">
        <color rgb="FF000000"/>
      </bottom>
    </border>
    <border>
      <left style="thick">
        <color rgb="FF000000"/>
      </lef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ck">
        <color rgb="FF000000"/>
      </left>
      <right style="medium">
        <color rgb="FF000000"/>
      </right>
      <bottom style="thin">
        <color rgb="FF000000"/>
      </bottom>
    </border>
    <border>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n">
        <color rgb="FF000000"/>
      </right>
      <bottom style="thin">
        <color rgb="FF000000"/>
      </bottom>
    </border>
    <border>
      <left style="thick">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ck">
        <color rgb="FF000000"/>
      </right>
      <top style="thin">
        <color rgb="FF000000"/>
      </top>
      <bottom style="medium">
        <color rgb="FF000000"/>
      </bottom>
    </border>
    <border>
      <left style="thin">
        <color rgb="FF000000"/>
      </left>
      <right style="thick">
        <color rgb="FF000000"/>
      </right>
    </border>
    <border>
      <left style="thick">
        <color rgb="FF000000"/>
      </left>
      <right style="medium">
        <color rgb="FF000000"/>
      </right>
      <top style="thin">
        <color rgb="FF000000"/>
      </top>
    </border>
    <border>
      <top style="thin">
        <color rgb="FF000000"/>
      </top>
    </border>
    <border>
      <left style="thick">
        <color rgb="FF000000"/>
      </left>
      <top style="thin">
        <color rgb="FF000000"/>
      </top>
      <bottom style="thin">
        <color rgb="FF000000"/>
      </bottom>
    </border>
    <border>
      <left style="medium">
        <color rgb="FF000000"/>
      </left>
      <right style="thick">
        <color rgb="FF000000"/>
      </right>
      <top style="thin">
        <color rgb="FF000000"/>
      </top>
      <bottom style="thin">
        <color rgb="FF000000"/>
      </bottom>
    </border>
    <border>
      <left style="thick">
        <color rgb="FF000000"/>
      </left>
      <top style="thin">
        <color rgb="FF000000"/>
      </top>
      <bottom style="thick">
        <color rgb="FF000000"/>
      </bottom>
    </border>
    <border>
      <left style="medium">
        <color rgb="FF000000"/>
      </left>
      <right style="thick">
        <color rgb="FF000000"/>
      </right>
      <top style="thin">
        <color rgb="FF000000"/>
      </top>
      <bottom style="thick">
        <color rgb="FF000000"/>
      </bottom>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style="thick">
        <color rgb="FF000000"/>
      </left>
      <right style="medium">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right style="thin">
        <color rgb="FF000000"/>
      </right>
      <top style="thin">
        <color rgb="FF000000"/>
      </top>
    </border>
    <border>
      <left style="thin">
        <color rgb="FF000000"/>
      </left>
      <right style="thick">
        <color rgb="FF000000"/>
      </right>
      <top style="thin">
        <color rgb="FF000000"/>
      </top>
    </border>
    <border>
      <left style="thick">
        <color rgb="FF000000"/>
      </left>
      <bottom style="thin">
        <color rgb="FF000000"/>
      </bottom>
    </border>
    <border>
      <bottom style="thin">
        <color rgb="FF000000"/>
      </bottom>
    </border>
    <border>
      <right style="thick">
        <color rgb="FF000000"/>
      </right>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thin">
        <color rgb="FF000000"/>
      </bottom>
    </border>
    <border>
      <right style="medium">
        <color rgb="FF000000"/>
      </right>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top style="thin">
        <color rgb="FF000000"/>
      </top>
      <bottom style="thick">
        <color rgb="FF000000"/>
      </bottom>
    </border>
    <border>
      <right style="thick">
        <color rgb="FF000000"/>
      </right>
      <top style="thin">
        <color rgb="FF000000"/>
      </top>
      <bottom style="thick">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right style="thick">
        <color rgb="FF000000"/>
      </right>
      <top style="thin">
        <color rgb="FF000000"/>
      </top>
    </border>
    <border>
      <left style="thick">
        <color rgb="FF000000"/>
      </left>
      <right style="thin">
        <color rgb="FF000000"/>
      </right>
      <top style="thick">
        <color rgb="FF000000"/>
      </top>
      <bottom style="thick">
        <color rgb="FF000000"/>
      </bottom>
    </border>
    <border>
      <left style="thin">
        <color rgb="FF000000"/>
      </left>
      <top style="thick">
        <color rgb="FF000000"/>
      </top>
    </border>
    <border>
      <left style="thick">
        <color rgb="FF000000"/>
      </left>
      <right style="thick">
        <color rgb="FF000000"/>
      </right>
    </border>
    <border>
      <right style="thin">
        <color rgb="FF000000"/>
      </right>
      <top style="thick">
        <color rgb="FF000000"/>
      </top>
    </border>
    <border>
      <left style="thin">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ck">
        <color rgb="FF000000"/>
      </left>
      <right style="thin">
        <color rgb="FF000000"/>
      </right>
      <top style="thick">
        <color rgb="FF000000"/>
      </top>
    </border>
    <border>
      <left style="thin">
        <color rgb="FF000000"/>
      </left>
      <right style="thick">
        <color rgb="FF000000"/>
      </right>
      <top style="thick">
        <color rgb="FF000000"/>
      </top>
    </border>
    <border>
      <left style="thick">
        <color rgb="FF000000"/>
      </left>
      <right style="thin">
        <color rgb="FF000000"/>
      </right>
      <top style="thin">
        <color rgb="FF000000"/>
      </top>
      <bottom style="thick">
        <color rgb="FF000000"/>
      </bottom>
    </border>
  </borders>
  <cellStyleXfs count="1">
    <xf borderId="0" fillId="0" fontId="0" numFmtId="0" applyAlignment="1" applyFont="1"/>
  </cellStyleXfs>
  <cellXfs count="223">
    <xf borderId="0" fillId="0" fontId="0" numFmtId="0" xfId="0" applyAlignment="1" applyFont="1">
      <alignment readingOrder="0" shrinkToFit="0" vertical="bottom" wrapText="0"/>
    </xf>
    <xf borderId="0" fillId="0" fontId="1" numFmtId="0" xfId="0" applyAlignment="1" applyFont="1">
      <alignment readingOrder="0"/>
    </xf>
    <xf borderId="1" fillId="2" fontId="2" numFmtId="49" xfId="0" applyAlignment="1" applyBorder="1" applyFill="1" applyFont="1" applyNumberFormat="1">
      <alignment readingOrder="0" shrinkToFit="0" vertical="top" wrapText="1"/>
    </xf>
    <xf borderId="2" fillId="0" fontId="3" numFmtId="0" xfId="0" applyBorder="1" applyFont="1"/>
    <xf borderId="3" fillId="0" fontId="3" numFmtId="0" xfId="0" applyBorder="1" applyFont="1"/>
    <xf borderId="4" fillId="3" fontId="4" numFmtId="49" xfId="0" applyAlignment="1" applyBorder="1" applyFill="1" applyFont="1" applyNumberFormat="1">
      <alignment horizontal="left" readingOrder="0" shrinkToFit="0" wrapText="1"/>
    </xf>
    <xf borderId="5" fillId="0" fontId="3" numFmtId="0" xfId="0" applyBorder="1" applyFont="1"/>
    <xf borderId="6" fillId="3" fontId="5" numFmtId="49" xfId="0" applyAlignment="1" applyBorder="1" applyFont="1" applyNumberFormat="1">
      <alignment readingOrder="0" shrinkToFit="0" vertical="top" wrapText="1"/>
    </xf>
    <xf borderId="7" fillId="0" fontId="3" numFmtId="0" xfId="0" applyBorder="1" applyFont="1"/>
    <xf borderId="8" fillId="3" fontId="5" numFmtId="49" xfId="0" applyAlignment="1" applyBorder="1" applyFont="1" applyNumberFormat="1">
      <alignment horizontal="center" readingOrder="0" shrinkToFit="0" vertical="top" wrapText="1"/>
    </xf>
    <xf borderId="9" fillId="3" fontId="5" numFmtId="49" xfId="0" applyAlignment="1" applyBorder="1" applyFont="1" applyNumberFormat="1">
      <alignment horizontal="center" readingOrder="0" shrinkToFit="0" vertical="top" wrapText="1"/>
    </xf>
    <xf borderId="10" fillId="3" fontId="5" numFmtId="49" xfId="0" applyAlignment="1" applyBorder="1" applyFont="1" applyNumberFormat="1">
      <alignment horizontal="center" readingOrder="0" shrinkToFit="0" vertical="top" wrapText="1"/>
    </xf>
    <xf borderId="11" fillId="3" fontId="5" numFmtId="49" xfId="0" applyAlignment="1" applyBorder="1" applyFont="1" applyNumberFormat="1">
      <alignment horizontal="center" readingOrder="0" shrinkToFit="0" vertical="top" wrapText="1"/>
    </xf>
    <xf borderId="12" fillId="0" fontId="6" numFmtId="49" xfId="0" applyAlignment="1" applyBorder="1" applyFont="1" applyNumberFormat="1">
      <alignment readingOrder="0" shrinkToFit="0" vertical="top" wrapText="1"/>
    </xf>
    <xf borderId="13" fillId="0" fontId="6" numFmtId="49" xfId="0" applyAlignment="1" applyBorder="1" applyFont="1" applyNumberFormat="1">
      <alignment horizontal="center" readingOrder="0" shrinkToFit="0" vertical="top" wrapText="1"/>
    </xf>
    <xf borderId="13" fillId="0" fontId="6" numFmtId="49" xfId="0" applyAlignment="1" applyBorder="1" applyFont="1" applyNumberFormat="1">
      <alignment horizontal="center" shrinkToFit="0" vertical="top" wrapText="1"/>
    </xf>
    <xf borderId="12" fillId="0" fontId="5" numFmtId="49" xfId="0" applyAlignment="1" applyBorder="1" applyFont="1" applyNumberFormat="1">
      <alignment horizontal="center" readingOrder="0" shrinkToFit="0" vertical="top" wrapText="1"/>
    </xf>
    <xf borderId="14" fillId="0" fontId="6" numFmtId="49" xfId="0" applyAlignment="1" applyBorder="1" applyFont="1" applyNumberFormat="1">
      <alignment horizontal="center" readingOrder="0" shrinkToFit="0" vertical="top" wrapText="1"/>
    </xf>
    <xf borderId="15" fillId="0" fontId="6" numFmtId="49" xfId="0" applyAlignment="1" applyBorder="1" applyFont="1" applyNumberFormat="1">
      <alignment horizontal="center" readingOrder="0" shrinkToFit="0" vertical="top" wrapText="1"/>
    </xf>
    <xf borderId="12" fillId="4" fontId="6" numFmtId="49" xfId="0" applyAlignment="1" applyBorder="1" applyFill="1" applyFont="1" applyNumberFormat="1">
      <alignment readingOrder="0" shrinkToFit="0" vertical="top" wrapText="1"/>
    </xf>
    <xf borderId="0" fillId="4" fontId="7" numFmtId="49" xfId="0" applyAlignment="1" applyFont="1" applyNumberFormat="1">
      <alignment horizontal="center" readingOrder="0"/>
    </xf>
    <xf borderId="12" fillId="4" fontId="5" numFmtId="49" xfId="0" applyAlignment="1" applyBorder="1" applyFont="1" applyNumberFormat="1">
      <alignment horizontal="center" readingOrder="0" shrinkToFit="0" vertical="top" wrapText="1"/>
    </xf>
    <xf borderId="14" fillId="4" fontId="6" numFmtId="49" xfId="0" applyAlignment="1" applyBorder="1" applyFont="1" applyNumberFormat="1">
      <alignment horizontal="center" readingOrder="0" shrinkToFit="0" vertical="top" wrapText="1"/>
    </xf>
    <xf borderId="15" fillId="4" fontId="6" numFmtId="49" xfId="0" applyAlignment="1" applyBorder="1" applyFont="1" applyNumberFormat="1">
      <alignment horizontal="center" shrinkToFit="0" vertical="top" wrapText="1"/>
    </xf>
    <xf borderId="13" fillId="4" fontId="6" numFmtId="49" xfId="0" applyAlignment="1" applyBorder="1" applyFont="1" applyNumberFormat="1">
      <alignment horizontal="center" shrinkToFit="0" vertical="top" wrapText="1"/>
    </xf>
    <xf borderId="15" fillId="0" fontId="6" numFmtId="49" xfId="0" applyAlignment="1" applyBorder="1" applyFont="1" applyNumberFormat="1">
      <alignment horizontal="center" shrinkToFit="0" vertical="top" wrapText="1"/>
    </xf>
    <xf borderId="13" fillId="4" fontId="6" numFmtId="49" xfId="0" applyAlignment="1" applyBorder="1" applyFont="1" applyNumberFormat="1">
      <alignment horizontal="center" readingOrder="0" shrinkToFit="0" vertical="top" wrapText="1"/>
    </xf>
    <xf borderId="16" fillId="0" fontId="6" numFmtId="49" xfId="0" applyAlignment="1" applyBorder="1" applyFont="1" applyNumberFormat="1">
      <alignment readingOrder="0" shrinkToFit="0" vertical="top" wrapText="1"/>
    </xf>
    <xf borderId="17" fillId="0" fontId="6" numFmtId="49" xfId="0" applyAlignment="1" applyBorder="1" applyFont="1" applyNumberFormat="1">
      <alignment horizontal="center" shrinkToFit="0" vertical="top" wrapText="1"/>
    </xf>
    <xf borderId="16" fillId="0" fontId="5" numFmtId="49" xfId="0" applyAlignment="1" applyBorder="1" applyFont="1" applyNumberFormat="1">
      <alignment horizontal="center" readingOrder="0" shrinkToFit="0" vertical="top" wrapText="1"/>
    </xf>
    <xf borderId="18" fillId="0" fontId="6" numFmtId="49" xfId="0" applyAlignment="1" applyBorder="1" applyFont="1" applyNumberFormat="1">
      <alignment horizontal="center" readingOrder="0" shrinkToFit="0" vertical="top" wrapText="1"/>
    </xf>
    <xf borderId="19" fillId="0" fontId="6" numFmtId="49" xfId="0" applyAlignment="1" applyBorder="1" applyFont="1" applyNumberFormat="1">
      <alignment horizontal="center" shrinkToFit="0" vertical="top" wrapText="1"/>
    </xf>
    <xf borderId="20" fillId="5" fontId="5" numFmtId="49" xfId="0" applyAlignment="1" applyBorder="1" applyFill="1" applyFont="1" applyNumberFormat="1">
      <alignment readingOrder="0" shrinkToFit="0" vertical="top" wrapText="1"/>
    </xf>
    <xf borderId="21" fillId="0" fontId="8" numFmtId="49" xfId="0" applyAlignment="1" applyBorder="1" applyFont="1" applyNumberFormat="1">
      <alignment shrinkToFit="0" vertical="top" wrapText="1"/>
    </xf>
    <xf borderId="22" fillId="6" fontId="9" numFmtId="49" xfId="0" applyAlignment="1" applyBorder="1" applyFill="1" applyFont="1" applyNumberFormat="1">
      <alignment readingOrder="0"/>
    </xf>
    <xf borderId="22" fillId="0" fontId="3" numFmtId="0" xfId="0" applyBorder="1" applyFont="1"/>
    <xf borderId="23" fillId="0" fontId="3" numFmtId="0" xfId="0" applyBorder="1" applyFont="1"/>
    <xf borderId="24" fillId="5" fontId="5" numFmtId="49" xfId="0" applyAlignment="1" applyBorder="1" applyFont="1" applyNumberFormat="1">
      <alignment readingOrder="0" shrinkToFit="0" vertical="top" wrapText="1"/>
    </xf>
    <xf borderId="25" fillId="0" fontId="8" numFmtId="49" xfId="0" applyAlignment="1" applyBorder="1" applyFont="1" applyNumberFormat="1">
      <alignment shrinkToFit="0" vertical="top" wrapText="1"/>
    </xf>
    <xf borderId="26" fillId="0" fontId="3" numFmtId="0" xfId="0" applyBorder="1" applyFont="1"/>
    <xf borderId="27" fillId="0" fontId="3" numFmtId="0" xfId="0" applyBorder="1" applyFont="1"/>
    <xf borderId="28" fillId="3" fontId="5" numFmtId="49" xfId="0" applyAlignment="1" applyBorder="1" applyFont="1" applyNumberFormat="1">
      <alignment readingOrder="0" shrinkToFit="0" vertical="top" wrapText="1"/>
    </xf>
    <xf borderId="26" fillId="3" fontId="5" numFmtId="49" xfId="0" applyAlignment="1" applyBorder="1" applyFont="1" applyNumberFormat="1">
      <alignment horizontal="center" readingOrder="0" shrinkToFit="0" vertical="top" wrapText="1"/>
    </xf>
    <xf borderId="4" fillId="0" fontId="1" numFmtId="49" xfId="0" applyAlignment="1" applyBorder="1" applyFont="1" applyNumberFormat="1">
      <alignment shrinkToFit="0" vertical="top" wrapText="1"/>
    </xf>
    <xf borderId="0" fillId="0" fontId="1" numFmtId="49" xfId="0" applyAlignment="1" applyFont="1" applyNumberFormat="1">
      <alignment horizontal="center" shrinkToFit="0" vertical="top" wrapText="1"/>
    </xf>
    <xf borderId="0" fillId="0" fontId="10" numFmtId="49" xfId="0" applyAlignment="1" applyFont="1" applyNumberFormat="1">
      <alignment horizontal="left" shrinkToFit="0" vertical="top" wrapText="1"/>
    </xf>
    <xf borderId="4" fillId="4" fontId="1" numFmtId="49" xfId="0" applyAlignment="1" applyBorder="1" applyFont="1" applyNumberFormat="1">
      <alignment shrinkToFit="0" vertical="top" wrapText="1"/>
    </xf>
    <xf borderId="0" fillId="4" fontId="1" numFmtId="49" xfId="0" applyAlignment="1" applyFont="1" applyNumberFormat="1">
      <alignment horizontal="center" shrinkToFit="0" vertical="top" wrapText="1"/>
    </xf>
    <xf borderId="0" fillId="4" fontId="10" numFmtId="49" xfId="0" applyAlignment="1" applyFont="1" applyNumberFormat="1">
      <alignment horizontal="left" shrinkToFit="0" vertical="top" wrapText="1"/>
    </xf>
    <xf borderId="29" fillId="4" fontId="1" numFmtId="49" xfId="0" applyAlignment="1" applyBorder="1" applyFont="1" applyNumberFormat="1">
      <alignment shrinkToFit="0" vertical="top" wrapText="1"/>
    </xf>
    <xf borderId="22" fillId="4" fontId="1" numFmtId="49" xfId="0" applyAlignment="1" applyBorder="1" applyFont="1" applyNumberFormat="1">
      <alignment horizontal="center" shrinkToFit="0" vertical="top" wrapText="1"/>
    </xf>
    <xf borderId="22" fillId="4" fontId="10" numFmtId="49" xfId="0" applyAlignment="1" applyBorder="1" applyFont="1" applyNumberFormat="1">
      <alignment horizontal="left" shrinkToFit="0" vertical="top" wrapText="1"/>
    </xf>
    <xf borderId="0" fillId="0" fontId="11" numFmtId="0" xfId="0" applyAlignment="1" applyFont="1">
      <alignment horizontal="center" readingOrder="0"/>
    </xf>
    <xf borderId="30" fillId="7" fontId="11" numFmtId="0" xfId="0" applyAlignment="1" applyBorder="1" applyFill="1" applyFont="1">
      <alignment horizontal="center" readingOrder="0"/>
    </xf>
    <xf borderId="31" fillId="0" fontId="3" numFmtId="0" xfId="0" applyBorder="1" applyFont="1"/>
    <xf borderId="0" fillId="0" fontId="12" numFmtId="0" xfId="0" applyFont="1"/>
    <xf borderId="0" fillId="0" fontId="13" numFmtId="0" xfId="0" applyAlignment="1" applyFont="1">
      <alignment horizontal="center"/>
    </xf>
    <xf borderId="0" fillId="0" fontId="0" numFmtId="0" xfId="0" applyFont="1"/>
    <xf borderId="28" fillId="0" fontId="11" numFmtId="0" xfId="0" applyAlignment="1" applyBorder="1" applyFont="1">
      <alignment horizontal="center" readingOrder="0"/>
    </xf>
    <xf borderId="28" fillId="0" fontId="13" numFmtId="0" xfId="0" applyAlignment="1" applyBorder="1" applyFont="1">
      <alignment horizontal="center" readingOrder="0"/>
    </xf>
    <xf borderId="0" fillId="0" fontId="13" numFmtId="0" xfId="0" applyAlignment="1" applyFont="1">
      <alignment horizontal="right"/>
    </xf>
    <xf borderId="32" fillId="0" fontId="13" numFmtId="0" xfId="0" applyAlignment="1" applyBorder="1" applyFont="1">
      <alignment horizontal="right"/>
    </xf>
    <xf borderId="33" fillId="0" fontId="13" numFmtId="0" xfId="0" applyBorder="1" applyFont="1"/>
    <xf borderId="34" fillId="0" fontId="13" numFmtId="0" xfId="0" applyBorder="1" applyFont="1"/>
    <xf borderId="35" fillId="0" fontId="13" numFmtId="0" xfId="0" applyBorder="1" applyFont="1"/>
    <xf borderId="36" fillId="0" fontId="13" numFmtId="0" xfId="0" applyBorder="1" applyFont="1"/>
    <xf borderId="37" fillId="0" fontId="13" numFmtId="0" xfId="0" applyAlignment="1" applyBorder="1" applyFont="1">
      <alignment readingOrder="0"/>
    </xf>
    <xf borderId="0" fillId="0" fontId="0" numFmtId="0" xfId="0" applyAlignment="1" applyFont="1">
      <alignment horizontal="right"/>
    </xf>
    <xf borderId="38" fillId="0" fontId="0" numFmtId="0" xfId="0" applyAlignment="1" applyBorder="1" applyFont="1">
      <alignment horizontal="right"/>
    </xf>
    <xf borderId="39" fillId="0" fontId="14" numFmtId="0" xfId="0" applyAlignment="1" applyBorder="1" applyFont="1">
      <alignment horizontal="right" readingOrder="0"/>
    </xf>
    <xf borderId="40" fillId="0" fontId="12" numFmtId="0" xfId="0" applyAlignment="1" applyBorder="1" applyFont="1">
      <alignment readingOrder="0"/>
    </xf>
    <xf borderId="0" fillId="0" fontId="12" numFmtId="164" xfId="0" applyAlignment="1" applyFont="1" applyNumberFormat="1">
      <alignment readingOrder="0"/>
    </xf>
    <xf borderId="38" fillId="0" fontId="0" numFmtId="0" xfId="0" applyAlignment="1" applyBorder="1" applyFont="1">
      <alignment readingOrder="0"/>
    </xf>
    <xf borderId="39" fillId="0" fontId="0" numFmtId="0" xfId="0" applyBorder="1" applyFont="1"/>
    <xf borderId="41" fillId="0" fontId="0" numFmtId="0" xfId="0" applyAlignment="1" applyBorder="1" applyFont="1">
      <alignment readingOrder="0"/>
    </xf>
    <xf borderId="41" fillId="0" fontId="0" numFmtId="0" xfId="0" applyBorder="1" applyFont="1"/>
    <xf borderId="40" fillId="0" fontId="0" numFmtId="0" xfId="0" applyBorder="1" applyFont="1"/>
    <xf borderId="38" fillId="0" fontId="0" numFmtId="0" xfId="0" applyBorder="1" applyFont="1"/>
    <xf borderId="0" fillId="0" fontId="12" numFmtId="0" xfId="0" applyAlignment="1" applyFont="1">
      <alignment vertical="bottom"/>
    </xf>
    <xf borderId="42" fillId="0" fontId="0" numFmtId="0" xfId="0" applyAlignment="1" applyBorder="1" applyFont="1">
      <alignment horizontal="right"/>
    </xf>
    <xf borderId="43" fillId="0" fontId="14" numFmtId="0" xfId="0" applyAlignment="1" applyBorder="1" applyFont="1">
      <alignment horizontal="right" readingOrder="0"/>
    </xf>
    <xf borderId="44" fillId="0" fontId="12" numFmtId="0" xfId="0" applyAlignment="1" applyBorder="1" applyFont="1">
      <alignment readingOrder="0"/>
    </xf>
    <xf borderId="42" fillId="0" fontId="0" numFmtId="0" xfId="0" applyAlignment="1" applyBorder="1" applyFont="1">
      <alignment readingOrder="0"/>
    </xf>
    <xf borderId="43" fillId="0" fontId="0" numFmtId="0" xfId="0" applyBorder="1" applyFont="1"/>
    <xf borderId="45" fillId="0" fontId="0" numFmtId="0" xfId="0" applyAlignment="1" applyBorder="1" applyFont="1">
      <alignment readingOrder="0"/>
    </xf>
    <xf borderId="45" fillId="0" fontId="0" numFmtId="0" xfId="0" applyBorder="1" applyFont="1"/>
    <xf borderId="44" fillId="0" fontId="0" numFmtId="0" xfId="0" applyBorder="1" applyFont="1"/>
    <xf borderId="42" fillId="0" fontId="0" numFmtId="0" xfId="0" applyBorder="1" applyFont="1"/>
    <xf borderId="44" fillId="0" fontId="12" numFmtId="0" xfId="0" applyBorder="1" applyFont="1"/>
    <xf borderId="45" fillId="0" fontId="15" numFmtId="0" xfId="0" applyAlignment="1" applyBorder="1" applyFont="1">
      <alignment readingOrder="0"/>
    </xf>
    <xf borderId="46" fillId="0" fontId="0" numFmtId="0" xfId="0" applyAlignment="1" applyBorder="1" applyFont="1">
      <alignment horizontal="right"/>
    </xf>
    <xf borderId="47" fillId="0" fontId="14" numFmtId="0" xfId="0" applyAlignment="1" applyBorder="1" applyFont="1">
      <alignment horizontal="right" readingOrder="0"/>
    </xf>
    <xf borderId="48" fillId="0" fontId="12" numFmtId="0" xfId="0" applyAlignment="1" applyBorder="1" applyFont="1">
      <alignment readingOrder="0"/>
    </xf>
    <xf borderId="39" fillId="0" fontId="0" numFmtId="0" xfId="0" applyAlignment="1" applyBorder="1" applyFont="1">
      <alignment horizontal="right"/>
    </xf>
    <xf borderId="49" fillId="0" fontId="12" numFmtId="0" xfId="0" applyBorder="1" applyFont="1"/>
    <xf borderId="0" fillId="0" fontId="0" numFmtId="0" xfId="0" applyAlignment="1" applyFont="1">
      <alignment horizontal="right" readingOrder="0"/>
    </xf>
    <xf borderId="50" fillId="0" fontId="0" numFmtId="0" xfId="0" applyAlignment="1" applyBorder="1" applyFont="1">
      <alignment horizontal="right" readingOrder="0"/>
    </xf>
    <xf borderId="51" fillId="0" fontId="12" numFmtId="0" xfId="0" applyAlignment="1" applyBorder="1" applyFont="1">
      <alignment horizontal="right"/>
    </xf>
    <xf borderId="28" fillId="0" fontId="0" numFmtId="0" xfId="0" applyAlignment="1" applyBorder="1" applyFont="1">
      <alignment horizontal="left"/>
    </xf>
    <xf borderId="0" fillId="0" fontId="12" numFmtId="0" xfId="0" applyAlignment="1" applyFont="1">
      <alignment horizontal="right" readingOrder="0"/>
    </xf>
    <xf borderId="52" fillId="0" fontId="12" numFmtId="0" xfId="0" applyAlignment="1" applyBorder="1" applyFont="1">
      <alignment horizontal="right" readingOrder="0"/>
    </xf>
    <xf borderId="53" fillId="0" fontId="12" numFmtId="0" xfId="0" applyAlignment="1" applyBorder="1" applyFont="1">
      <alignment horizontal="right" readingOrder="0"/>
    </xf>
    <xf borderId="0" fillId="0" fontId="13" numFmtId="0" xfId="0" applyFont="1"/>
    <xf borderId="54" fillId="0" fontId="1" numFmtId="0" xfId="0" applyAlignment="1" applyBorder="1" applyFont="1">
      <alignment horizontal="right" readingOrder="0"/>
    </xf>
    <xf borderId="55" fillId="0" fontId="1" numFmtId="0" xfId="0" applyBorder="1" applyFont="1"/>
    <xf borderId="0" fillId="0" fontId="16" numFmtId="0" xfId="0" applyAlignment="1" applyFont="1">
      <alignment horizontal="center" readingOrder="0"/>
    </xf>
    <xf borderId="56" fillId="0" fontId="16" numFmtId="0" xfId="0" applyAlignment="1" applyBorder="1" applyFont="1">
      <alignment horizontal="center" readingOrder="0"/>
    </xf>
    <xf borderId="57" fillId="0" fontId="3" numFmtId="0" xfId="0" applyBorder="1" applyFont="1"/>
    <xf borderId="58" fillId="0" fontId="3" numFmtId="0" xfId="0" applyBorder="1" applyFont="1"/>
    <xf borderId="39" fillId="0" fontId="14" numFmtId="0" xfId="0" applyAlignment="1" applyBorder="1" applyFont="1">
      <alignment horizontal="right"/>
    </xf>
    <xf borderId="40" fillId="0" fontId="17" numFmtId="0" xfId="0" applyBorder="1" applyFont="1"/>
    <xf borderId="43" fillId="0" fontId="14" numFmtId="0" xfId="0" applyAlignment="1" applyBorder="1" applyFont="1">
      <alignment horizontal="right"/>
    </xf>
    <xf borderId="44" fillId="0" fontId="17" numFmtId="0" xfId="0" applyBorder="1" applyFont="1"/>
    <xf borderId="42" fillId="0" fontId="0" numFmtId="0" xfId="0" applyAlignment="1" applyBorder="1" applyFont="1">
      <alignment horizontal="right" readingOrder="0"/>
    </xf>
    <xf borderId="59" fillId="0" fontId="0" numFmtId="0" xfId="0" applyAlignment="1" applyBorder="1" applyFont="1">
      <alignment readingOrder="0"/>
    </xf>
    <xf borderId="60" fillId="0" fontId="0" numFmtId="0" xfId="0" applyBorder="1" applyFont="1"/>
    <xf borderId="61" fillId="0" fontId="0" numFmtId="0" xfId="0" applyAlignment="1" applyBorder="1" applyFont="1">
      <alignment readingOrder="0"/>
    </xf>
    <xf borderId="62" fillId="0" fontId="0" numFmtId="0" xfId="0" applyBorder="1" applyFont="1"/>
    <xf borderId="0" fillId="0" fontId="12" numFmtId="0" xfId="0" applyAlignment="1" applyFont="1">
      <alignment readingOrder="0"/>
    </xf>
    <xf borderId="0" fillId="8" fontId="0" numFmtId="0" xfId="0" applyFill="1" applyFont="1"/>
    <xf borderId="56" fillId="0" fontId="14" numFmtId="0" xfId="0" applyAlignment="1" applyBorder="1" applyFont="1">
      <alignment horizontal="center" readingOrder="0"/>
    </xf>
    <xf borderId="63" fillId="0" fontId="14" numFmtId="0" xfId="0" applyAlignment="1" applyBorder="1" applyFont="1">
      <alignment horizontal="right"/>
    </xf>
    <xf borderId="64" fillId="0" fontId="17" numFmtId="0" xfId="0" applyBorder="1" applyFont="1"/>
    <xf borderId="65" fillId="0" fontId="0" numFmtId="0" xfId="0" applyAlignment="1" applyBorder="1" applyFont="1">
      <alignment readingOrder="0" shrinkToFit="0" wrapText="1"/>
    </xf>
    <xf borderId="66" fillId="0" fontId="3" numFmtId="0" xfId="0" applyBorder="1" applyFont="1"/>
    <xf borderId="39" fillId="0" fontId="3" numFmtId="0" xfId="0" applyBorder="1" applyFont="1"/>
    <xf borderId="67" fillId="0" fontId="0" numFmtId="0" xfId="0" applyAlignment="1" applyBorder="1" applyFont="1">
      <alignment readingOrder="0"/>
    </xf>
    <xf borderId="59" fillId="0" fontId="0" numFmtId="0" xfId="0" applyAlignment="1" applyBorder="1" applyFont="1">
      <alignment horizontal="right"/>
    </xf>
    <xf borderId="60" fillId="0" fontId="14" numFmtId="49" xfId="0" applyAlignment="1" applyBorder="1" applyFont="1" applyNumberFormat="1">
      <alignment horizontal="right"/>
    </xf>
    <xf borderId="62" fillId="0" fontId="17" numFmtId="0" xfId="0" applyBorder="1" applyFont="1"/>
    <xf borderId="52" fillId="0" fontId="0" numFmtId="0" xfId="0" applyAlignment="1" applyBorder="1" applyFont="1">
      <alignment readingOrder="0" shrinkToFit="0" wrapText="1"/>
    </xf>
    <xf borderId="68" fillId="0" fontId="3" numFmtId="0" xfId="0" applyBorder="1" applyFont="1"/>
    <xf borderId="43" fillId="0" fontId="3" numFmtId="0" xfId="0" applyBorder="1" applyFont="1"/>
    <xf borderId="69" fillId="0" fontId="0" numFmtId="0" xfId="0" applyAlignment="1" applyBorder="1" applyFont="1">
      <alignment readingOrder="0"/>
    </xf>
    <xf borderId="0" fillId="0" fontId="0" numFmtId="0" xfId="0" applyAlignment="1" applyFont="1">
      <alignment horizontal="left"/>
    </xf>
    <xf borderId="70" fillId="0" fontId="13" numFmtId="0" xfId="0" applyAlignment="1" applyBorder="1" applyFont="1">
      <alignment horizontal="right"/>
    </xf>
    <xf borderId="31" fillId="0" fontId="13" numFmtId="0" xfId="0" applyAlignment="1" applyBorder="1" applyFont="1">
      <alignment horizontal="left"/>
    </xf>
    <xf borderId="71" fillId="0" fontId="0" numFmtId="0" xfId="0" applyAlignment="1" applyBorder="1" applyFont="1">
      <alignment horizontal="right"/>
    </xf>
    <xf borderId="72" fillId="0" fontId="14" numFmtId="0" xfId="0" applyAlignment="1" applyBorder="1" applyFont="1">
      <alignment horizontal="right"/>
    </xf>
    <xf borderId="0" fillId="0" fontId="14" numFmtId="0" xfId="0" applyAlignment="1" applyFont="1">
      <alignment horizontal="left"/>
    </xf>
    <xf borderId="69" fillId="0" fontId="0" numFmtId="0" xfId="0" applyBorder="1" applyFont="1"/>
    <xf borderId="73" fillId="0" fontId="0" numFmtId="0" xfId="0" applyAlignment="1" applyBorder="1" applyFont="1">
      <alignment horizontal="right"/>
    </xf>
    <xf borderId="74" fillId="0" fontId="14" numFmtId="0" xfId="0" applyAlignment="1" applyBorder="1" applyFont="1">
      <alignment horizontal="right"/>
    </xf>
    <xf borderId="54" fillId="0" fontId="0" numFmtId="0" xfId="0" applyAlignment="1" applyBorder="1" applyFont="1">
      <alignment readingOrder="0" shrinkToFit="0" wrapText="1"/>
    </xf>
    <xf borderId="75" fillId="0" fontId="3" numFmtId="0" xfId="0" applyBorder="1" applyFont="1"/>
    <xf borderId="60" fillId="0" fontId="3" numFmtId="0" xfId="0" applyBorder="1" applyFont="1"/>
    <xf borderId="76" fillId="0" fontId="0" numFmtId="0" xfId="0" applyBorder="1" applyFont="1"/>
    <xf borderId="77" fillId="0" fontId="16" numFmtId="0" xfId="0" applyAlignment="1" applyBorder="1" applyFont="1">
      <alignment horizontal="center" readingOrder="0"/>
    </xf>
    <xf borderId="78" fillId="0" fontId="3" numFmtId="0" xfId="0" applyBorder="1" applyFont="1"/>
    <xf borderId="79" fillId="0" fontId="3" numFmtId="0" xfId="0" applyBorder="1" applyFont="1"/>
    <xf borderId="0" fillId="0" fontId="17" numFmtId="0" xfId="0" applyFont="1"/>
    <xf borderId="80" fillId="0" fontId="0" numFmtId="0" xfId="0" applyAlignment="1" applyBorder="1" applyFont="1">
      <alignment horizontal="right"/>
    </xf>
    <xf borderId="81" fillId="0" fontId="14" numFmtId="0" xfId="0" applyAlignment="1" applyBorder="1" applyFont="1">
      <alignment horizontal="right"/>
    </xf>
    <xf borderId="52" fillId="0" fontId="16" numFmtId="0" xfId="0" applyAlignment="1" applyBorder="1" applyFont="1">
      <alignment horizontal="left" readingOrder="0"/>
    </xf>
    <xf borderId="69" fillId="0" fontId="3" numFmtId="0" xfId="0" applyBorder="1" applyFont="1"/>
    <xf borderId="52" fillId="9" fontId="0" numFmtId="0" xfId="0" applyAlignment="1" applyBorder="1" applyFill="1" applyFont="1">
      <alignment readingOrder="0" shrinkToFit="0" wrapText="1"/>
    </xf>
    <xf borderId="1" fillId="0" fontId="11" numFmtId="0" xfId="0" applyAlignment="1" applyBorder="1" applyFont="1">
      <alignment horizontal="center" readingOrder="0"/>
    </xf>
    <xf borderId="38" fillId="0" fontId="13" numFmtId="0" xfId="0" applyAlignment="1" applyBorder="1" applyFont="1">
      <alignment horizontal="right" readingOrder="0"/>
    </xf>
    <xf borderId="67" fillId="0" fontId="12" numFmtId="0" xfId="0" applyBorder="1" applyFont="1"/>
    <xf borderId="0" fillId="0" fontId="18" numFmtId="0" xfId="0" applyFont="1"/>
    <xf borderId="52" fillId="9" fontId="0" numFmtId="0" xfId="0" applyAlignment="1" applyBorder="1" applyFont="1">
      <alignment shrinkToFit="0" wrapText="1"/>
    </xf>
    <xf borderId="61" fillId="0" fontId="0" numFmtId="0" xfId="0" applyBorder="1" applyFont="1"/>
    <xf borderId="0" fillId="0" fontId="19" numFmtId="0" xfId="0" applyAlignment="1" applyFont="1">
      <alignment horizontal="right" vertical="bottom"/>
    </xf>
    <xf borderId="42" fillId="0" fontId="13" numFmtId="0" xfId="0" applyAlignment="1" applyBorder="1" applyFont="1">
      <alignment horizontal="right" readingOrder="0"/>
    </xf>
    <xf borderId="69" fillId="0" fontId="12" numFmtId="0" xfId="0" applyBorder="1" applyFont="1"/>
    <xf borderId="50" fillId="0" fontId="13" numFmtId="0" xfId="0" applyAlignment="1" applyBorder="1" applyFont="1">
      <alignment horizontal="right" readingOrder="0"/>
    </xf>
    <xf borderId="5" fillId="6" fontId="0" numFmtId="0" xfId="0" applyBorder="1" applyFont="1"/>
    <xf borderId="0" fillId="0" fontId="1" numFmtId="0" xfId="0" applyFont="1"/>
    <xf borderId="0" fillId="0" fontId="20" numFmtId="0" xfId="0" applyAlignment="1" applyFont="1">
      <alignment readingOrder="0"/>
    </xf>
    <xf borderId="82" fillId="0" fontId="12" numFmtId="0" xfId="0" applyBorder="1" applyFont="1"/>
    <xf borderId="59" fillId="0" fontId="13" numFmtId="0" xfId="0" applyAlignment="1" applyBorder="1" applyFont="1">
      <alignment horizontal="right" readingOrder="0"/>
    </xf>
    <xf borderId="76" fillId="0" fontId="12" numFmtId="0" xfId="0" applyBorder="1" applyFont="1"/>
    <xf borderId="54" fillId="9" fontId="0" numFmtId="0" xfId="0" applyAlignment="1" applyBorder="1" applyFont="1">
      <alignment readingOrder="0" shrinkToFit="0" wrapText="1"/>
    </xf>
    <xf borderId="76" fillId="0" fontId="3" numFmtId="0" xfId="0" applyBorder="1" applyFont="1"/>
    <xf borderId="0" fillId="0" fontId="15" numFmtId="0" xfId="0" applyAlignment="1" applyFont="1">
      <alignment readingOrder="0"/>
    </xf>
    <xf borderId="0" fillId="0" fontId="21" numFmtId="0" xfId="0" applyAlignment="1" applyFont="1">
      <alignment readingOrder="0"/>
    </xf>
    <xf borderId="83" fillId="0" fontId="1" numFmtId="0" xfId="0" applyAlignment="1" applyBorder="1" applyFont="1">
      <alignment horizontal="right" readingOrder="0"/>
    </xf>
    <xf borderId="84" fillId="0" fontId="1" numFmtId="0" xfId="0" applyAlignment="1" applyBorder="1" applyFont="1">
      <alignment horizontal="center" readingOrder="0"/>
    </xf>
    <xf borderId="85" fillId="0" fontId="1" numFmtId="0" xfId="0" applyAlignment="1" applyBorder="1" applyFont="1">
      <alignment horizontal="center" readingOrder="0"/>
    </xf>
    <xf borderId="86" fillId="0" fontId="1" numFmtId="0" xfId="0" applyAlignment="1" applyBorder="1" applyFont="1">
      <alignment horizontal="right" readingOrder="0"/>
    </xf>
    <xf borderId="87" fillId="0" fontId="1" numFmtId="0" xfId="0" applyAlignment="1" applyBorder="1" applyFont="1">
      <alignment horizontal="center" readingOrder="0"/>
    </xf>
    <xf borderId="88" fillId="0" fontId="22" numFmtId="0" xfId="0" applyAlignment="1" applyBorder="1" applyFont="1">
      <alignment horizontal="center" readingOrder="0"/>
    </xf>
    <xf borderId="1" fillId="0" fontId="1" numFmtId="0" xfId="0" applyAlignment="1" applyBorder="1" applyFont="1">
      <alignment horizontal="right" readingOrder="0"/>
    </xf>
    <xf borderId="89" fillId="0" fontId="1" numFmtId="0" xfId="0" applyAlignment="1" applyBorder="1" applyFont="1">
      <alignment horizontal="center" readingOrder="0"/>
    </xf>
    <xf borderId="2" fillId="0" fontId="1" numFmtId="0" xfId="0" applyAlignment="1" applyBorder="1" applyFont="1">
      <alignment horizontal="right" readingOrder="0"/>
    </xf>
    <xf borderId="87" fillId="0" fontId="16" numFmtId="0" xfId="0" applyAlignment="1" applyBorder="1" applyFont="1">
      <alignment horizontal="center"/>
    </xf>
    <xf borderId="41" fillId="0" fontId="1" numFmtId="0" xfId="0" applyAlignment="1" applyBorder="1" applyFont="1">
      <alignment readingOrder="0"/>
    </xf>
    <xf borderId="45" fillId="0" fontId="1" numFmtId="0" xfId="0" applyAlignment="1" applyBorder="1" applyFont="1">
      <alignment readingOrder="0"/>
    </xf>
    <xf borderId="90" fillId="0" fontId="1" numFmtId="0" xfId="0" applyAlignment="1" applyBorder="1" applyFont="1">
      <alignment horizontal="right" readingOrder="0"/>
    </xf>
    <xf borderId="91" fillId="0" fontId="16" numFmtId="0" xfId="0" applyAlignment="1" applyBorder="1" applyFont="1">
      <alignment horizontal="center"/>
    </xf>
    <xf borderId="0" fillId="0" fontId="16" numFmtId="0" xfId="0" applyAlignment="1" applyFont="1">
      <alignment horizontal="center"/>
    </xf>
    <xf borderId="87" fillId="0" fontId="16" numFmtId="0" xfId="0" applyAlignment="1" applyBorder="1" applyFont="1">
      <alignment horizontal="center" readingOrder="0"/>
    </xf>
    <xf borderId="92" fillId="0" fontId="1" numFmtId="0" xfId="0" applyAlignment="1" applyBorder="1" applyFont="1">
      <alignment horizontal="right" readingOrder="0"/>
    </xf>
    <xf borderId="44" fillId="0" fontId="16" numFmtId="0" xfId="0" applyAlignment="1" applyBorder="1" applyFont="1">
      <alignment horizontal="center"/>
    </xf>
    <xf borderId="93" fillId="0" fontId="1" numFmtId="0" xfId="0" applyAlignment="1" applyBorder="1" applyFont="1">
      <alignment horizontal="right" readingOrder="0"/>
    </xf>
    <xf borderId="94" fillId="0" fontId="16" numFmtId="0" xfId="0" applyAlignment="1" applyBorder="1" applyFont="1">
      <alignment horizontal="center" readingOrder="0"/>
    </xf>
    <xf borderId="95" fillId="0" fontId="1" numFmtId="0" xfId="0" applyAlignment="1" applyBorder="1" applyFont="1">
      <alignment horizontal="right" readingOrder="0"/>
    </xf>
    <xf borderId="62" fillId="0" fontId="16" numFmtId="9" xfId="0" applyAlignment="1" applyBorder="1" applyFont="1" applyNumberFormat="1">
      <alignment horizontal="center"/>
    </xf>
    <xf borderId="0" fillId="0" fontId="1" numFmtId="0" xfId="0" applyFont="1"/>
    <xf borderId="3" fillId="0" fontId="1" numFmtId="0" xfId="0" applyAlignment="1" applyBorder="1" applyFont="1">
      <alignment readingOrder="0"/>
    </xf>
    <xf borderId="0" fillId="0" fontId="22" numFmtId="0" xfId="0" applyAlignment="1" applyFont="1">
      <alignment horizontal="center" readingOrder="0"/>
    </xf>
    <xf borderId="45" fillId="0" fontId="10" numFmtId="0" xfId="0" applyAlignment="1" applyBorder="1" applyFont="1">
      <alignment readingOrder="0"/>
    </xf>
    <xf borderId="0" fillId="0" fontId="1" numFmtId="0" xfId="0" applyAlignment="1" applyFont="1">
      <alignment shrinkToFit="0" wrapText="1"/>
    </xf>
    <xf borderId="0" fillId="0" fontId="23" numFmtId="0" xfId="0" applyAlignment="1" applyFont="1">
      <alignment horizontal="center" readingOrder="0"/>
    </xf>
    <xf borderId="0" fillId="0" fontId="23" numFmtId="0" xfId="0" applyAlignment="1" applyFont="1">
      <alignment vertical="bottom"/>
    </xf>
    <xf borderId="0" fillId="0" fontId="1" numFmtId="0" xfId="0" applyAlignment="1" applyFont="1">
      <alignment readingOrder="0" shrinkToFit="0" wrapText="1"/>
    </xf>
    <xf borderId="45" fillId="0" fontId="1" numFmtId="0" xfId="0" applyBorder="1" applyFont="1"/>
    <xf borderId="0" fillId="0" fontId="22" numFmtId="0" xfId="0" applyAlignment="1" applyFont="1">
      <alignment readingOrder="0"/>
    </xf>
    <xf borderId="45" fillId="0" fontId="16" numFmtId="0" xfId="0" applyAlignment="1" applyBorder="1" applyFont="1">
      <alignment horizontal="center" readingOrder="0"/>
    </xf>
    <xf borderId="41" fillId="0" fontId="16" numFmtId="0" xfId="0" applyAlignment="1" applyBorder="1" applyFont="1">
      <alignment horizontal="center" readingOrder="0"/>
    </xf>
    <xf borderId="0" fillId="6" fontId="24" numFmtId="0" xfId="0" applyFont="1"/>
    <xf borderId="0" fillId="6" fontId="25" numFmtId="0" xfId="0" applyFont="1"/>
    <xf borderId="66" fillId="0" fontId="16" numFmtId="0" xfId="0" applyAlignment="1" applyBorder="1" applyFont="1">
      <alignment horizontal="center" readingOrder="0"/>
    </xf>
    <xf borderId="0" fillId="6" fontId="24" numFmtId="0" xfId="0" applyAlignment="1" applyFont="1">
      <alignment readingOrder="0"/>
    </xf>
    <xf borderId="0" fillId="0" fontId="1" numFmtId="0" xfId="0" applyAlignment="1" applyFont="1">
      <alignment readingOrder="0"/>
    </xf>
    <xf borderId="0" fillId="0" fontId="1" numFmtId="49" xfId="0" applyAlignment="1" applyFont="1" applyNumberFormat="1">
      <alignment readingOrder="0"/>
    </xf>
    <xf quotePrefix="1" borderId="0" fillId="0" fontId="1" numFmtId="49" xfId="0" applyAlignment="1" applyFont="1" applyNumberFormat="1">
      <alignment readingOrder="0"/>
    </xf>
    <xf borderId="0" fillId="0" fontId="23" numFmtId="0" xfId="0" applyAlignment="1" applyFont="1">
      <alignment horizontal="right" vertical="bottom"/>
    </xf>
    <xf borderId="0" fillId="0" fontId="1" numFmtId="49" xfId="0" applyAlignment="1" applyFont="1" applyNumberFormat="1">
      <alignment horizontal="right"/>
    </xf>
    <xf borderId="0" fillId="6" fontId="26" numFmtId="49" xfId="0" applyAlignment="1" applyFont="1" applyNumberFormat="1">
      <alignment readingOrder="0"/>
    </xf>
    <xf quotePrefix="1" borderId="0" fillId="0" fontId="1" numFmtId="0" xfId="0" applyAlignment="1" applyFont="1">
      <alignment readingOrder="0"/>
    </xf>
    <xf borderId="0" fillId="0" fontId="1" numFmtId="9" xfId="0" applyFont="1" applyNumberFormat="1"/>
    <xf borderId="0" fillId="0" fontId="1" numFmtId="9" xfId="0" applyAlignment="1" applyFont="1" applyNumberFormat="1">
      <alignment readingOrder="0"/>
    </xf>
  </cellXfs>
  <cellStyles count="1">
    <cellStyle xfId="0" name="Normal" builtinId="0"/>
  </cellStyles>
  <dxfs count="3">
    <dxf>
      <font/>
      <fill>
        <patternFill patternType="solid">
          <fgColor rgb="FFC9DAF8"/>
          <bgColor rgb="FFC9DAF8"/>
        </patternFill>
      </fill>
      <border/>
    </dxf>
    <dxf>
      <font/>
      <fill>
        <patternFill patternType="solid">
          <fgColor rgb="FFF4C7C3"/>
          <bgColor rgb="FFF4C7C3"/>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5"/>
    <col customWidth="1" min="4" max="4" width="9.25"/>
    <col customWidth="1" min="5" max="5" width="5.88"/>
    <col customWidth="1" min="7" max="8" width="4.5"/>
  </cols>
  <sheetData>
    <row r="1">
      <c r="A1" s="2" t="s">
        <v>2</v>
      </c>
      <c r="B1" s="3"/>
      <c r="C1" s="3"/>
      <c r="D1" s="3"/>
      <c r="E1" s="3"/>
      <c r="F1" s="3"/>
      <c r="G1" s="3"/>
      <c r="H1" s="4"/>
    </row>
    <row r="2">
      <c r="A2" s="5" t="s">
        <v>3</v>
      </c>
      <c r="H2" s="6"/>
    </row>
    <row r="3">
      <c r="A3" s="7" t="s">
        <v>4</v>
      </c>
      <c r="B3" s="8"/>
      <c r="C3" s="7" t="s">
        <v>5</v>
      </c>
      <c r="D3" s="8"/>
      <c r="E3" s="9" t="s">
        <v>6</v>
      </c>
      <c r="F3" s="10" t="s">
        <v>7</v>
      </c>
      <c r="G3" s="11" t="s">
        <v>8</v>
      </c>
      <c r="H3" s="12" t="s">
        <v>9</v>
      </c>
    </row>
    <row r="4">
      <c r="A4" s="13" t="s">
        <v>10</v>
      </c>
      <c r="B4" s="14">
        <f>STR</f>
        <v>13</v>
      </c>
      <c r="C4" s="13" t="s">
        <v>11</v>
      </c>
      <c r="D4" s="15">
        <f>datasheet!C18</f>
        <v>3</v>
      </c>
      <c r="E4" s="16" t="s">
        <v>12</v>
      </c>
      <c r="F4" s="17" t="s">
        <v>13</v>
      </c>
      <c r="G4" s="18"/>
      <c r="H4" s="14">
        <f>datasheet!C29</f>
        <v>7</v>
      </c>
    </row>
    <row r="5">
      <c r="A5" s="19" t="s">
        <v>14</v>
      </c>
      <c r="B5" s="14">
        <f>CON</f>
        <v>13</v>
      </c>
      <c r="C5" s="19" t="s">
        <v>15</v>
      </c>
      <c r="D5" s="20" t="str">
        <f>datasheet!C26</f>
        <v>+1d2</v>
      </c>
      <c r="E5" s="21" t="s">
        <v>16</v>
      </c>
      <c r="F5" s="22" t="s">
        <v>17</v>
      </c>
      <c r="G5" s="23"/>
      <c r="H5" s="24">
        <f>datasheet!C32</f>
        <v>6</v>
      </c>
    </row>
    <row r="6">
      <c r="A6" s="13" t="s">
        <v>18</v>
      </c>
      <c r="B6" s="14">
        <f>SIZ</f>
        <v>13</v>
      </c>
      <c r="C6" s="13" t="s">
        <v>19</v>
      </c>
      <c r="D6" s="15">
        <f>datasheet!C22</f>
        <v>13</v>
      </c>
      <c r="E6" s="16" t="s">
        <v>20</v>
      </c>
      <c r="F6" s="17" t="s">
        <v>21</v>
      </c>
      <c r="G6" s="25"/>
      <c r="H6" s="15">
        <f>datasheet!C32</f>
        <v>6</v>
      </c>
    </row>
    <row r="7">
      <c r="A7" s="19" t="s">
        <v>22</v>
      </c>
      <c r="B7" s="14">
        <f>DEX</f>
        <v>12</v>
      </c>
      <c r="C7" s="19" t="s">
        <v>23</v>
      </c>
      <c r="D7" s="26" t="s">
        <v>24</v>
      </c>
      <c r="E7" s="21" t="s">
        <v>25</v>
      </c>
      <c r="F7" s="22" t="s">
        <v>26</v>
      </c>
      <c r="G7" s="23"/>
      <c r="H7" s="24">
        <f>datasheet!C30</f>
        <v>9</v>
      </c>
    </row>
    <row r="8">
      <c r="A8" s="13" t="s">
        <v>27</v>
      </c>
      <c r="B8" s="14">
        <f>INT</f>
        <v>13</v>
      </c>
      <c r="C8" s="13" t="s">
        <v>28</v>
      </c>
      <c r="D8" s="15">
        <f>datasheet!C24</f>
        <v>13</v>
      </c>
      <c r="E8" s="16" t="s">
        <v>29</v>
      </c>
      <c r="F8" s="17" t="s">
        <v>30</v>
      </c>
      <c r="G8" s="25"/>
      <c r="H8" s="15">
        <f>datasheet!C31</f>
        <v>8</v>
      </c>
    </row>
    <row r="9">
      <c r="A9" s="19" t="s">
        <v>31</v>
      </c>
      <c r="B9" s="14">
        <f>POW</f>
        <v>13</v>
      </c>
      <c r="C9" s="19" t="s">
        <v>32</v>
      </c>
      <c r="D9" s="24">
        <f>HEALING_RATE</f>
        <v>3</v>
      </c>
      <c r="E9" s="21" t="s">
        <v>33</v>
      </c>
      <c r="F9" s="22" t="s">
        <v>34</v>
      </c>
      <c r="G9" s="23"/>
      <c r="H9" s="24">
        <f>datasheet!C32</f>
        <v>6</v>
      </c>
    </row>
    <row r="10">
      <c r="A10" s="27" t="s">
        <v>35</v>
      </c>
      <c r="B10" s="14">
        <f>CHA</f>
        <v>13</v>
      </c>
      <c r="C10" s="27" t="s">
        <v>36</v>
      </c>
      <c r="D10" s="28" t="str">
        <f>POWER_POINTS_RECOVERY</f>
        <v>2/hour</v>
      </c>
      <c r="E10" s="29" t="s">
        <v>37</v>
      </c>
      <c r="F10" s="30" t="s">
        <v>38</v>
      </c>
      <c r="G10" s="31"/>
      <c r="H10" s="28">
        <f>datasheet!C32</f>
        <v>6</v>
      </c>
    </row>
    <row r="11">
      <c r="A11" s="32" t="s">
        <v>39</v>
      </c>
      <c r="B11" s="33" t="str">
        <f>calculations!B4</f>
        <v>Athletics 25, Brawn 26, Conceal 25, Deceit 26, Drive 25, Endurance 26, Evade 24, First aid 25, Influence 26, Insight 26, Native tongue 66, Perception 26, Researcher 26, Stealth 25, Streetwise 46, Unarmed 25, Willpower 26, Combat Style  25, Acrobatics 45, Ride 45, </v>
      </c>
      <c r="C11" s="3"/>
      <c r="D11" s="3"/>
      <c r="E11" s="3"/>
      <c r="F11" s="3"/>
      <c r="G11" s="3"/>
      <c r="H11" s="4"/>
    </row>
    <row r="12">
      <c r="A12" s="32" t="s">
        <v>40</v>
      </c>
      <c r="B12" s="33" t="str">
        <f>IFERROR(__xludf.DUMMYFUNCTION("IFERROR(
JOIN(CHAR(10),ARRAYFORMULA(FILTER(datasheet!F25:F30,datasheet!F25:F30&lt;&gt;"""")&amp;"": ""&amp;FILTER(datasheet!L25:L30,datasheet!F25:F30&lt;&gt;"""")))
,"""")"),"")</f>
        <v/>
      </c>
      <c r="C12" s="3"/>
      <c r="D12" s="3"/>
      <c r="E12" s="3"/>
      <c r="F12" s="3"/>
      <c r="G12" s="3"/>
      <c r="H12" s="4"/>
    </row>
    <row r="13">
      <c r="A13" s="32" t="s">
        <v>41</v>
      </c>
      <c r="B13" s="34" t="str">
        <f>TEXTJOIN(CHAR(10),1,POWERS_LIMITS_DESCRIPTIONS)</f>
        <v/>
      </c>
      <c r="C13" s="35"/>
      <c r="D13" s="35"/>
      <c r="E13" s="35"/>
      <c r="F13" s="35"/>
      <c r="G13" s="35"/>
      <c r="H13" s="36"/>
    </row>
    <row r="14">
      <c r="A14" s="37" t="s">
        <v>42</v>
      </c>
      <c r="B14" s="38"/>
      <c r="C14" s="39"/>
      <c r="D14" s="39"/>
      <c r="E14" s="39"/>
      <c r="F14" s="39"/>
      <c r="G14" s="39"/>
      <c r="H14" s="40"/>
    </row>
    <row r="15">
      <c r="A15" s="41" t="s">
        <v>43</v>
      </c>
      <c r="B15" s="42" t="s">
        <v>44</v>
      </c>
      <c r="C15" s="42" t="s">
        <v>45</v>
      </c>
      <c r="D15" s="42" t="s">
        <v>46</v>
      </c>
      <c r="E15" s="42" t="s">
        <v>47</v>
      </c>
      <c r="F15" s="42" t="s">
        <v>48</v>
      </c>
      <c r="G15" s="39"/>
      <c r="H15" s="40"/>
    </row>
    <row r="16">
      <c r="A16" s="43"/>
      <c r="B16" s="44"/>
      <c r="C16" s="44"/>
      <c r="D16" s="44"/>
      <c r="E16" s="44"/>
      <c r="F16" s="45"/>
      <c r="H16" s="6"/>
    </row>
    <row r="17">
      <c r="A17" s="46"/>
      <c r="B17" s="47"/>
      <c r="C17" s="47"/>
      <c r="D17" s="47"/>
      <c r="E17" s="47"/>
      <c r="F17" s="48"/>
      <c r="H17" s="6"/>
    </row>
    <row r="18">
      <c r="A18" s="43"/>
      <c r="B18" s="44"/>
      <c r="C18" s="44"/>
      <c r="D18" s="44"/>
      <c r="E18" s="44"/>
      <c r="F18" s="45"/>
      <c r="H18" s="6"/>
    </row>
    <row r="19">
      <c r="A19" s="46"/>
      <c r="B19" s="47"/>
      <c r="C19" s="47"/>
      <c r="D19" s="47"/>
      <c r="E19" s="47"/>
      <c r="F19" s="48"/>
      <c r="H19" s="6"/>
    </row>
    <row r="20">
      <c r="A20" s="43"/>
      <c r="B20" s="44"/>
      <c r="C20" s="44"/>
      <c r="D20" s="44"/>
      <c r="E20" s="44"/>
      <c r="F20" s="45"/>
      <c r="H20" s="6"/>
    </row>
    <row r="21">
      <c r="A21" s="49"/>
      <c r="B21" s="50"/>
      <c r="C21" s="50"/>
      <c r="D21" s="50"/>
      <c r="E21" s="50"/>
      <c r="F21" s="51"/>
      <c r="G21" s="35"/>
      <c r="H21" s="36"/>
    </row>
  </sheetData>
  <mergeCells count="15">
    <mergeCell ref="B14:H14"/>
    <mergeCell ref="F15:H15"/>
    <mergeCell ref="F16:H16"/>
    <mergeCell ref="F17:H17"/>
    <mergeCell ref="F18:H18"/>
    <mergeCell ref="F19:H19"/>
    <mergeCell ref="F20:H20"/>
    <mergeCell ref="F21:H21"/>
    <mergeCell ref="A1:H1"/>
    <mergeCell ref="A2:H2"/>
    <mergeCell ref="A3:B3"/>
    <mergeCell ref="C3:D3"/>
    <mergeCell ref="B11:H11"/>
    <mergeCell ref="B12:H12"/>
    <mergeCell ref="B13:H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3.38"/>
    <col customWidth="1" min="2" max="2" width="21.88"/>
    <col customWidth="1" min="3" max="3" width="8.5"/>
    <col customWidth="1" min="4" max="4" width="17.25"/>
    <col customWidth="1" min="5" max="5" width="5.25"/>
    <col customWidth="1" min="6" max="6" width="13.25"/>
    <col customWidth="1" min="7" max="7" width="4.75"/>
    <col customWidth="1" min="8" max="8" width="6.5"/>
    <col customWidth="1" min="9" max="10" width="6.0"/>
    <col customWidth="1" min="11" max="11" width="5.13"/>
    <col customWidth="1" min="12" max="12" width="4.63"/>
    <col customWidth="1" min="13" max="13" width="6.25"/>
    <col customWidth="1" min="14" max="14" width="18.25"/>
    <col customWidth="1" min="15" max="15" width="5.0"/>
    <col customWidth="1" min="16" max="16" width="6.5"/>
    <col customWidth="1" min="17" max="18" width="6.0"/>
    <col customWidth="1" min="19" max="19" width="5.13"/>
    <col customWidth="1" min="20" max="20" width="4.63"/>
    <col customWidth="1" min="21" max="21" width="17.63"/>
    <col customWidth="1" min="22" max="22" width="16.5"/>
    <col customWidth="1" min="23" max="25" width="14.75"/>
  </cols>
  <sheetData>
    <row r="1">
      <c r="A1" s="52"/>
      <c r="B1" s="53" t="s">
        <v>49</v>
      </c>
      <c r="C1" s="54"/>
      <c r="D1" s="52"/>
      <c r="E1" s="55"/>
      <c r="F1" s="56"/>
      <c r="G1" s="56"/>
      <c r="H1" s="56"/>
      <c r="I1" s="56"/>
      <c r="J1" s="56"/>
      <c r="K1" s="56"/>
      <c r="L1" s="56"/>
      <c r="M1" s="57"/>
      <c r="N1" s="56"/>
      <c r="O1" s="56"/>
      <c r="P1" s="56"/>
      <c r="Q1" s="56"/>
      <c r="R1" s="56"/>
      <c r="S1" s="56"/>
      <c r="T1" s="56"/>
      <c r="U1" s="55"/>
      <c r="V1" s="55"/>
      <c r="W1" s="55"/>
      <c r="X1" s="55"/>
      <c r="Y1" s="55"/>
    </row>
    <row r="2">
      <c r="A2" s="52"/>
      <c r="B2" s="52"/>
      <c r="C2" s="52"/>
      <c r="D2" s="52"/>
      <c r="E2" s="55"/>
      <c r="F2" s="56"/>
      <c r="G2" s="56"/>
      <c r="H2" s="56"/>
      <c r="I2" s="56"/>
      <c r="J2" s="56"/>
      <c r="K2" s="56"/>
      <c r="L2" s="56"/>
      <c r="M2" s="57"/>
      <c r="N2" s="56"/>
      <c r="O2" s="56"/>
      <c r="P2" s="56"/>
      <c r="Q2" s="56"/>
      <c r="R2" s="56"/>
      <c r="S2" s="56"/>
      <c r="T2" s="56"/>
      <c r="U2" s="55"/>
      <c r="V2" s="55"/>
      <c r="W2" s="55"/>
      <c r="X2" s="55"/>
      <c r="Y2" s="55"/>
    </row>
    <row r="3">
      <c r="A3" s="52"/>
      <c r="B3" s="58" t="s">
        <v>4</v>
      </c>
      <c r="C3" s="39"/>
      <c r="D3" s="40"/>
      <c r="E3" s="55"/>
      <c r="F3" s="59" t="s">
        <v>50</v>
      </c>
      <c r="G3" s="39"/>
      <c r="H3" s="39"/>
      <c r="I3" s="39"/>
      <c r="J3" s="40"/>
      <c r="N3" s="59" t="s">
        <v>51</v>
      </c>
      <c r="O3" s="39"/>
      <c r="P3" s="39"/>
      <c r="Q3" s="39"/>
      <c r="R3" s="40"/>
      <c r="S3" s="55"/>
      <c r="T3" s="55"/>
    </row>
    <row r="4">
      <c r="A4" s="60"/>
      <c r="B4" s="61" t="s">
        <v>52</v>
      </c>
      <c r="C4" s="62" t="s">
        <v>53</v>
      </c>
      <c r="D4" s="63" t="s">
        <v>54</v>
      </c>
      <c r="E4" s="55"/>
      <c r="F4" s="64" t="s">
        <v>55</v>
      </c>
      <c r="G4" s="65" t="s">
        <v>56</v>
      </c>
      <c r="H4" s="66" t="s">
        <v>57</v>
      </c>
      <c r="I4" s="66" t="s">
        <v>58</v>
      </c>
      <c r="J4" s="63" t="s">
        <v>59</v>
      </c>
      <c r="K4" s="57"/>
      <c r="N4" s="64" t="s">
        <v>55</v>
      </c>
      <c r="O4" s="65" t="s">
        <v>56</v>
      </c>
      <c r="P4" s="66" t="s">
        <v>60</v>
      </c>
      <c r="Q4" s="66" t="s">
        <v>58</v>
      </c>
      <c r="R4" s="63" t="s">
        <v>59</v>
      </c>
      <c r="S4" s="55"/>
      <c r="T4" s="55"/>
      <c r="U4" s="55"/>
    </row>
    <row r="5">
      <c r="A5" s="67"/>
      <c r="B5" s="68" t="s">
        <v>61</v>
      </c>
      <c r="C5" s="69">
        <v>13.0</v>
      </c>
      <c r="D5" s="70">
        <v>11.0</v>
      </c>
      <c r="E5" s="71"/>
      <c r="F5" s="72" t="s">
        <v>62</v>
      </c>
      <c r="G5" s="73">
        <f>STR+DEX</f>
        <v>25</v>
      </c>
      <c r="H5" s="74"/>
      <c r="I5" s="75"/>
      <c r="J5" s="76">
        <f t="shared" ref="J5:J22" si="1">SUM(G5:I5)</f>
        <v>25</v>
      </c>
      <c r="K5" s="57"/>
      <c r="N5" s="77" t="s">
        <v>63</v>
      </c>
      <c r="O5" s="73">
        <f>STR+$C$8</f>
        <v>25</v>
      </c>
      <c r="P5" s="74">
        <v>20.0</v>
      </c>
      <c r="Q5" s="75"/>
      <c r="R5" s="76">
        <f t="shared" ref="R5:R31" si="2">SUM(O5:Q5)</f>
        <v>45</v>
      </c>
      <c r="S5" s="78"/>
    </row>
    <row r="6">
      <c r="A6" s="67"/>
      <c r="B6" s="79" t="s">
        <v>64</v>
      </c>
      <c r="C6" s="80">
        <v>13.0</v>
      </c>
      <c r="D6" s="81">
        <v>11.0</v>
      </c>
      <c r="E6" s="71"/>
      <c r="F6" s="82" t="s">
        <v>65</v>
      </c>
      <c r="G6" s="83">
        <f>STR+SIZ</f>
        <v>26</v>
      </c>
      <c r="H6" s="84"/>
      <c r="I6" s="85"/>
      <c r="J6" s="86">
        <f t="shared" si="1"/>
        <v>26</v>
      </c>
      <c r="K6" s="57"/>
      <c r="N6" s="82" t="s">
        <v>66</v>
      </c>
      <c r="O6" s="83">
        <f>POW+CHA</f>
        <v>26</v>
      </c>
      <c r="P6" s="85"/>
      <c r="Q6" s="85"/>
      <c r="R6" s="86">
        <f t="shared" si="2"/>
        <v>26</v>
      </c>
      <c r="S6" s="55"/>
    </row>
    <row r="7">
      <c r="A7" s="67"/>
      <c r="B7" s="79" t="s">
        <v>67</v>
      </c>
      <c r="C7" s="80">
        <v>13.0</v>
      </c>
      <c r="D7" s="81">
        <v>10.0</v>
      </c>
      <c r="E7" s="71"/>
      <c r="F7" s="82" t="s">
        <v>68</v>
      </c>
      <c r="G7" s="83">
        <f>DEX+POW</f>
        <v>25</v>
      </c>
      <c r="H7" s="85"/>
      <c r="I7" s="85"/>
      <c r="J7" s="86">
        <f t="shared" si="1"/>
        <v>25</v>
      </c>
      <c r="K7" s="57"/>
      <c r="N7" s="82" t="s">
        <v>69</v>
      </c>
      <c r="O7" s="83">
        <f>STR+$C$6</f>
        <v>26</v>
      </c>
      <c r="P7" s="85"/>
      <c r="Q7" s="85"/>
      <c r="R7" s="86">
        <f t="shared" si="2"/>
        <v>26</v>
      </c>
      <c r="S7" s="55"/>
    </row>
    <row r="8">
      <c r="A8" s="67"/>
      <c r="B8" s="79" t="s">
        <v>70</v>
      </c>
      <c r="C8" s="80">
        <v>12.0</v>
      </c>
      <c r="D8" s="81">
        <v>11.0</v>
      </c>
      <c r="E8" s="71"/>
      <c r="F8" s="82" t="s">
        <v>71</v>
      </c>
      <c r="G8" s="83">
        <f>INT+CHA</f>
        <v>26</v>
      </c>
      <c r="H8" s="84"/>
      <c r="I8" s="85"/>
      <c r="J8" s="86">
        <f t="shared" si="1"/>
        <v>26</v>
      </c>
      <c r="K8" s="57"/>
      <c r="N8" s="82" t="s">
        <v>72</v>
      </c>
      <c r="O8" s="83">
        <f>INT+INT</f>
        <v>26</v>
      </c>
      <c r="P8" s="85"/>
      <c r="Q8" s="85"/>
      <c r="R8" s="86">
        <f t="shared" si="2"/>
        <v>26</v>
      </c>
      <c r="S8" s="55"/>
    </row>
    <row r="9">
      <c r="A9" s="67"/>
      <c r="B9" s="79" t="s">
        <v>73</v>
      </c>
      <c r="C9" s="80">
        <v>13.0</v>
      </c>
      <c r="D9" s="81">
        <v>10.0</v>
      </c>
      <c r="E9" s="71"/>
      <c r="F9" s="82" t="s">
        <v>74</v>
      </c>
      <c r="G9" s="83">
        <f>DEX+POW</f>
        <v>25</v>
      </c>
      <c r="H9" s="84"/>
      <c r="I9" s="85"/>
      <c r="J9" s="86">
        <f t="shared" si="1"/>
        <v>25</v>
      </c>
      <c r="K9" s="57"/>
      <c r="N9" s="87" t="s">
        <v>75</v>
      </c>
      <c r="O9" s="83">
        <f>INT+CHA</f>
        <v>26</v>
      </c>
      <c r="P9" s="84"/>
      <c r="Q9" s="85"/>
      <c r="R9" s="86">
        <f t="shared" si="2"/>
        <v>26</v>
      </c>
      <c r="S9" s="55"/>
    </row>
    <row r="10">
      <c r="A10" s="67"/>
      <c r="B10" s="79" t="s">
        <v>76</v>
      </c>
      <c r="C10" s="80">
        <v>13.0</v>
      </c>
      <c r="D10" s="88">
        <v>11.0</v>
      </c>
      <c r="E10" s="71"/>
      <c r="F10" s="82" t="s">
        <v>77</v>
      </c>
      <c r="G10" s="83">
        <f>C6+C6</f>
        <v>26</v>
      </c>
      <c r="H10" s="84"/>
      <c r="I10" s="89"/>
      <c r="J10" s="86">
        <f t="shared" si="1"/>
        <v>26</v>
      </c>
      <c r="K10" s="57"/>
      <c r="N10" s="82" t="s">
        <v>78</v>
      </c>
      <c r="O10" s="83">
        <f>DEX+INT</f>
        <v>25</v>
      </c>
      <c r="P10" s="84"/>
      <c r="Q10" s="85"/>
      <c r="R10" s="86">
        <f t="shared" si="2"/>
        <v>25</v>
      </c>
      <c r="S10" s="55"/>
    </row>
    <row r="11">
      <c r="A11" s="67"/>
      <c r="B11" s="90" t="s">
        <v>79</v>
      </c>
      <c r="C11" s="91">
        <v>13.0</v>
      </c>
      <c r="D11" s="92">
        <v>11.0</v>
      </c>
      <c r="E11" s="71"/>
      <c r="F11" s="82" t="s">
        <v>80</v>
      </c>
      <c r="G11" s="83">
        <f>DEX+DEX</f>
        <v>24</v>
      </c>
      <c r="H11" s="84"/>
      <c r="I11" s="89"/>
      <c r="J11" s="86">
        <f t="shared" si="1"/>
        <v>24</v>
      </c>
      <c r="K11" s="57"/>
      <c r="N11" s="82" t="s">
        <v>81</v>
      </c>
      <c r="O11" s="83">
        <f>INT+INT</f>
        <v>26</v>
      </c>
      <c r="P11" s="85"/>
      <c r="Q11" s="85"/>
      <c r="R11" s="86">
        <f t="shared" si="2"/>
        <v>26</v>
      </c>
      <c r="S11" s="55"/>
    </row>
    <row r="12">
      <c r="A12" s="67"/>
      <c r="B12" s="68" t="s">
        <v>82</v>
      </c>
      <c r="C12" s="93">
        <f>SUM(C5:C11)</f>
        <v>90</v>
      </c>
      <c r="D12" s="94">
        <f>sum(D5:D11)</f>
        <v>75</v>
      </c>
      <c r="E12" s="55"/>
      <c r="F12" s="82" t="s">
        <v>83</v>
      </c>
      <c r="G12" s="83">
        <f>INT+DEX</f>
        <v>25</v>
      </c>
      <c r="H12" s="84"/>
      <c r="I12" s="85"/>
      <c r="J12" s="86">
        <f t="shared" si="1"/>
        <v>25</v>
      </c>
      <c r="K12" s="57"/>
      <c r="N12" s="82" t="s">
        <v>84</v>
      </c>
      <c r="O12" s="83">
        <f>INT+POW</f>
        <v>26</v>
      </c>
      <c r="P12" s="84"/>
      <c r="Q12" s="85"/>
      <c r="R12" s="86">
        <f t="shared" si="2"/>
        <v>26</v>
      </c>
      <c r="S12" s="55"/>
    </row>
    <row r="13">
      <c r="A13" s="95"/>
      <c r="B13" s="96" t="s">
        <v>85</v>
      </c>
      <c r="C13" s="97">
        <f>C14-C12</f>
        <v>0</v>
      </c>
      <c r="D13" s="98"/>
      <c r="E13" s="55"/>
      <c r="F13" s="82" t="s">
        <v>86</v>
      </c>
      <c r="G13" s="83">
        <f>CHA+CHA</f>
        <v>26</v>
      </c>
      <c r="H13" s="84"/>
      <c r="I13" s="85"/>
      <c r="J13" s="86">
        <f t="shared" si="1"/>
        <v>26</v>
      </c>
      <c r="K13" s="57"/>
      <c r="N13" s="82" t="s">
        <v>87</v>
      </c>
      <c r="O13" s="83">
        <f>INT+DEX</f>
        <v>25</v>
      </c>
      <c r="P13" s="85"/>
      <c r="Q13" s="85"/>
      <c r="R13" s="86">
        <f t="shared" si="2"/>
        <v>25</v>
      </c>
      <c r="S13" s="55"/>
    </row>
    <row r="14">
      <c r="A14" s="99"/>
      <c r="B14" s="100" t="s">
        <v>88</v>
      </c>
      <c r="C14" s="101">
        <f>CHARACTERISTIC_POINTS</f>
        <v>90</v>
      </c>
      <c r="D14" s="102"/>
      <c r="E14" s="55"/>
      <c r="F14" s="82" t="s">
        <v>89</v>
      </c>
      <c r="G14" s="83">
        <f>INT+POW</f>
        <v>26</v>
      </c>
      <c r="H14" s="84"/>
      <c r="I14" s="85"/>
      <c r="J14" s="86">
        <f t="shared" si="1"/>
        <v>26</v>
      </c>
      <c r="K14" s="57"/>
      <c r="N14" s="82" t="s">
        <v>90</v>
      </c>
      <c r="O14" s="83">
        <f>INT+INT</f>
        <v>26</v>
      </c>
      <c r="P14" s="85"/>
      <c r="Q14" s="85"/>
      <c r="R14" s="86">
        <f t="shared" si="2"/>
        <v>26</v>
      </c>
      <c r="S14" s="55"/>
    </row>
    <row r="15">
      <c r="B15" s="103" t="s">
        <v>91</v>
      </c>
      <c r="C15" s="104">
        <f>MAX_PER_CHARACTERISTIC</f>
        <v>20</v>
      </c>
      <c r="E15" s="55"/>
      <c r="F15" s="82" t="s">
        <v>92</v>
      </c>
      <c r="G15" s="83">
        <f>INT+CHA+40</f>
        <v>66</v>
      </c>
      <c r="H15" s="84"/>
      <c r="I15" s="84"/>
      <c r="J15" s="86">
        <f t="shared" si="1"/>
        <v>66</v>
      </c>
      <c r="K15" s="57"/>
      <c r="N15" s="82" t="s">
        <v>93</v>
      </c>
      <c r="O15" s="83">
        <f>INT+DEX</f>
        <v>25</v>
      </c>
      <c r="P15" s="85"/>
      <c r="Q15" s="85"/>
      <c r="R15" s="86">
        <f t="shared" si="2"/>
        <v>25</v>
      </c>
      <c r="S15" s="55"/>
    </row>
    <row r="16">
      <c r="A16" s="105"/>
      <c r="E16" s="55"/>
      <c r="F16" s="82" t="s">
        <v>94</v>
      </c>
      <c r="G16" s="83">
        <f>INT+POW</f>
        <v>26</v>
      </c>
      <c r="H16" s="84"/>
      <c r="I16" s="85"/>
      <c r="J16" s="86">
        <f t="shared" si="1"/>
        <v>26</v>
      </c>
      <c r="K16" s="57"/>
      <c r="N16" s="87" t="s">
        <v>95</v>
      </c>
      <c r="O16" s="83">
        <f>INT+POW</f>
        <v>26</v>
      </c>
      <c r="P16" s="85"/>
      <c r="Q16" s="85"/>
      <c r="R16" s="86">
        <f t="shared" si="2"/>
        <v>26</v>
      </c>
      <c r="S16" s="55"/>
    </row>
    <row r="17">
      <c r="A17" s="67"/>
      <c r="B17" s="106" t="s">
        <v>5</v>
      </c>
      <c r="C17" s="107"/>
      <c r="D17" s="108"/>
      <c r="E17" s="55"/>
      <c r="F17" s="82" t="s">
        <v>96</v>
      </c>
      <c r="G17" s="83">
        <f>INT+POW</f>
        <v>26</v>
      </c>
      <c r="H17" s="84"/>
      <c r="I17" s="85"/>
      <c r="J17" s="86">
        <f t="shared" si="1"/>
        <v>26</v>
      </c>
      <c r="K17" s="57"/>
      <c r="N17" s="82" t="s">
        <v>97</v>
      </c>
      <c r="O17" s="83">
        <f>INT+CHA</f>
        <v>26</v>
      </c>
      <c r="P17" s="85"/>
      <c r="Q17" s="85"/>
      <c r="R17" s="86">
        <f t="shared" si="2"/>
        <v>26</v>
      </c>
      <c r="S17" s="55"/>
    </row>
    <row r="18">
      <c r="A18" s="67"/>
      <c r="B18" s="68" t="s">
        <v>8</v>
      </c>
      <c r="C18" s="109">
        <f>ACTION_POINTS</f>
        <v>3</v>
      </c>
      <c r="D18" s="110" t="s">
        <v>98</v>
      </c>
      <c r="E18" s="55"/>
      <c r="F18" s="82" t="s">
        <v>99</v>
      </c>
      <c r="G18" s="83">
        <f>DEX+INT</f>
        <v>25</v>
      </c>
      <c r="H18" s="84"/>
      <c r="I18" s="85"/>
      <c r="J18" s="86">
        <f t="shared" si="1"/>
        <v>25</v>
      </c>
      <c r="K18" s="57"/>
      <c r="N18" s="82" t="s">
        <v>100</v>
      </c>
      <c r="O18" s="83">
        <f>INT+INT</f>
        <v>26</v>
      </c>
      <c r="P18" s="85"/>
      <c r="Q18" s="85"/>
      <c r="R18" s="86">
        <f t="shared" si="2"/>
        <v>26</v>
      </c>
      <c r="S18" s="55"/>
    </row>
    <row r="19">
      <c r="A19" s="67"/>
      <c r="B19" s="79" t="s">
        <v>101</v>
      </c>
      <c r="C19" s="111">
        <f>ROUNDUP(CHA/6,0)-2</f>
        <v>1</v>
      </c>
      <c r="D19" s="112" t="s">
        <v>35</v>
      </c>
      <c r="E19" s="55"/>
      <c r="F19" s="82" t="s">
        <v>102</v>
      </c>
      <c r="G19" s="83">
        <f>POW+CHA+20</f>
        <v>46</v>
      </c>
      <c r="H19" s="84"/>
      <c r="I19" s="84"/>
      <c r="J19" s="86">
        <f t="shared" si="1"/>
        <v>46</v>
      </c>
      <c r="K19" s="57"/>
      <c r="N19" s="82" t="s">
        <v>103</v>
      </c>
      <c r="O19" s="83">
        <f>INT+CHA</f>
        <v>26</v>
      </c>
      <c r="P19" s="85"/>
      <c r="Q19" s="85"/>
      <c r="R19" s="86">
        <f t="shared" si="2"/>
        <v>26</v>
      </c>
      <c r="S19" s="55"/>
    </row>
    <row r="20">
      <c r="A20" s="67"/>
      <c r="B20" s="79" t="s">
        <v>32</v>
      </c>
      <c r="C20" s="111">
        <f>ROUNDUP((CON+IF(DURABILITY, SIZ/2, 0))/6,0)</f>
        <v>3</v>
      </c>
      <c r="D20" s="112" t="str">
        <f>"CON"&amp;IF(DURABILITY, " + SIZ/2", "")</f>
        <v>CON</v>
      </c>
      <c r="E20" s="55"/>
      <c r="F20" s="82" t="s">
        <v>104</v>
      </c>
      <c r="G20" s="83">
        <f>STR+DEX</f>
        <v>25</v>
      </c>
      <c r="H20" s="84"/>
      <c r="I20" s="85"/>
      <c r="J20" s="86">
        <f t="shared" si="1"/>
        <v>25</v>
      </c>
      <c r="K20" s="57"/>
      <c r="N20" s="87" t="s">
        <v>105</v>
      </c>
      <c r="O20" s="83">
        <f>DEX+INT</f>
        <v>25</v>
      </c>
      <c r="P20" s="85"/>
      <c r="Q20" s="85"/>
      <c r="R20" s="86">
        <f t="shared" si="2"/>
        <v>25</v>
      </c>
      <c r="S20" s="55"/>
    </row>
    <row r="21">
      <c r="A21" s="67"/>
      <c r="B21" s="79" t="s">
        <v>106</v>
      </c>
      <c r="C21" s="111">
        <f>ROUNDUP(POW/6,0)*IF(LUCKY, 2,1)</f>
        <v>3</v>
      </c>
      <c r="D21" s="112" t="str">
        <f>"POW"&amp;IF(LUCKY," doubled (Lucky)","")</f>
        <v>POW</v>
      </c>
      <c r="E21" s="55"/>
      <c r="F21" s="87" t="s">
        <v>107</v>
      </c>
      <c r="G21" s="83">
        <f>POW+POW</f>
        <v>26</v>
      </c>
      <c r="H21" s="84"/>
      <c r="I21" s="89"/>
      <c r="J21" s="86">
        <f t="shared" si="1"/>
        <v>26</v>
      </c>
      <c r="K21" s="57"/>
      <c r="N21" s="82" t="s">
        <v>108</v>
      </c>
      <c r="O21" s="83">
        <f>INT+POW</f>
        <v>26</v>
      </c>
      <c r="P21" s="85"/>
      <c r="Q21" s="85"/>
      <c r="R21" s="86">
        <f t="shared" si="2"/>
        <v>26</v>
      </c>
      <c r="S21" s="55"/>
    </row>
    <row r="22">
      <c r="A22" s="67"/>
      <c r="B22" s="113" t="s">
        <v>19</v>
      </c>
      <c r="C22" s="111">
        <f>POWER_POINTS</f>
        <v>13</v>
      </c>
      <c r="D22" s="112" t="s">
        <v>31</v>
      </c>
      <c r="E22" s="55"/>
      <c r="F22" s="114" t="s">
        <v>109</v>
      </c>
      <c r="G22" s="115">
        <f>STR+DEX</f>
        <v>25</v>
      </c>
      <c r="H22" s="116"/>
      <c r="I22" s="116"/>
      <c r="J22" s="117">
        <f t="shared" si="1"/>
        <v>25</v>
      </c>
      <c r="K22" s="57"/>
      <c r="N22" s="82" t="s">
        <v>110</v>
      </c>
      <c r="O22" s="83">
        <f>INT+POW</f>
        <v>26</v>
      </c>
      <c r="P22" s="84"/>
      <c r="Q22" s="85"/>
      <c r="R22" s="86">
        <f t="shared" si="2"/>
        <v>26</v>
      </c>
      <c r="S22" s="55"/>
    </row>
    <row r="23">
      <c r="A23" s="67"/>
      <c r="B23" s="113" t="s">
        <v>111</v>
      </c>
      <c r="C23" s="111" t="str">
        <f>POWER_POINTS_RECOVERY</f>
        <v>2/hour</v>
      </c>
      <c r="D23" s="112"/>
      <c r="E23" s="118"/>
      <c r="F23" s="57"/>
      <c r="G23" s="57"/>
      <c r="H23" s="119"/>
      <c r="I23" s="119"/>
      <c r="J23" s="119"/>
      <c r="K23" s="57"/>
      <c r="L23" s="57"/>
      <c r="M23" s="57"/>
      <c r="N23" s="82" t="s">
        <v>112</v>
      </c>
      <c r="O23" s="83">
        <f>DEX+CHA</f>
        <v>25</v>
      </c>
      <c r="P23" s="85"/>
      <c r="Q23" s="85"/>
      <c r="R23" s="86">
        <f t="shared" si="2"/>
        <v>25</v>
      </c>
      <c r="S23" s="55"/>
      <c r="T23" s="55"/>
      <c r="U23" s="55"/>
      <c r="V23" s="55"/>
      <c r="W23" s="55"/>
    </row>
    <row r="24">
      <c r="A24" s="67"/>
      <c r="B24" s="79" t="s">
        <v>113</v>
      </c>
      <c r="C24" s="111">
        <f>ROUNDUP(AVERAGE(DEX,INT)+IF(ENHANCED_REACTIONS,ATHLETICS/10, 0),0)</f>
        <v>13</v>
      </c>
      <c r="D24" s="112" t="str">
        <f>"DEX+INT"&amp;IF(ENHANCED_REACTIONS,"+ATHL/10", "")</f>
        <v>DEX+INT</v>
      </c>
      <c r="E24" s="118"/>
      <c r="F24" s="120" t="s">
        <v>114</v>
      </c>
      <c r="G24" s="107"/>
      <c r="H24" s="107"/>
      <c r="I24" s="107"/>
      <c r="J24" s="107"/>
      <c r="K24" s="107"/>
      <c r="L24" s="108"/>
      <c r="M24" s="57"/>
      <c r="N24" s="82" t="s">
        <v>115</v>
      </c>
      <c r="O24" s="83">
        <f>DEX+INT</f>
        <v>25</v>
      </c>
      <c r="P24" s="84"/>
      <c r="Q24" s="85"/>
      <c r="R24" s="86">
        <f t="shared" si="2"/>
        <v>25</v>
      </c>
      <c r="S24" s="55"/>
      <c r="T24" s="55"/>
      <c r="U24" s="55"/>
      <c r="V24" s="55"/>
      <c r="W24" s="55"/>
    </row>
    <row r="25">
      <c r="A25" s="60"/>
      <c r="B25" s="96" t="s">
        <v>116</v>
      </c>
      <c r="C25" s="121">
        <f>IF(ENHANCED_SPEED, 6*ENHANCED_SPEED_MULTIPLIER,IF(ENHANCED_BODY,ROUNDUP(6+CON/5,0),6))</f>
        <v>6</v>
      </c>
      <c r="D25" s="122" t="str">
        <f>IF(ENHANCED_SPEED, "X"&amp;ENHANCED_SPEED_MULTIPLIER, IF(ENHANCED_BODY,"+CON/5",""))</f>
        <v/>
      </c>
      <c r="E25" s="118"/>
      <c r="F25" s="123"/>
      <c r="G25" s="124"/>
      <c r="H25" s="124"/>
      <c r="I25" s="124"/>
      <c r="J25" s="124"/>
      <c r="K25" s="125"/>
      <c r="L25" s="126"/>
      <c r="M25" s="57"/>
      <c r="N25" s="82" t="s">
        <v>117</v>
      </c>
      <c r="O25" s="83">
        <f>DEX+POW</f>
        <v>25</v>
      </c>
      <c r="P25" s="84">
        <v>20.0</v>
      </c>
      <c r="Q25" s="85"/>
      <c r="R25" s="86">
        <f t="shared" si="2"/>
        <v>45</v>
      </c>
      <c r="S25" s="55"/>
      <c r="T25" s="55"/>
      <c r="U25" s="55"/>
      <c r="V25" s="55"/>
      <c r="W25" s="55"/>
    </row>
    <row r="26">
      <c r="A26" s="67"/>
      <c r="B26" s="127" t="s">
        <v>118</v>
      </c>
      <c r="C26" s="128" t="str">
        <f>DAMAGE_MOD</f>
        <v>+1d2</v>
      </c>
      <c r="D26" s="129" t="s">
        <v>119</v>
      </c>
      <c r="E26" s="118"/>
      <c r="F26" s="130"/>
      <c r="G26" s="131"/>
      <c r="H26" s="131"/>
      <c r="I26" s="131"/>
      <c r="J26" s="131"/>
      <c r="K26" s="132"/>
      <c r="L26" s="133"/>
      <c r="M26" s="57"/>
      <c r="N26" s="82" t="s">
        <v>120</v>
      </c>
      <c r="O26" s="83">
        <f>INT+INT</f>
        <v>26</v>
      </c>
      <c r="P26" s="85"/>
      <c r="Q26" s="85"/>
      <c r="R26" s="86">
        <f t="shared" si="2"/>
        <v>26</v>
      </c>
      <c r="S26" s="55"/>
      <c r="T26" s="55"/>
      <c r="U26" s="55"/>
      <c r="V26" s="55"/>
      <c r="W26" s="55"/>
    </row>
    <row r="27">
      <c r="A27" s="67"/>
      <c r="B27" s="67"/>
      <c r="C27" s="134"/>
      <c r="D27" s="55"/>
      <c r="E27" s="118"/>
      <c r="F27" s="130"/>
      <c r="G27" s="131"/>
      <c r="H27" s="131"/>
      <c r="I27" s="131"/>
      <c r="J27" s="131"/>
      <c r="K27" s="132"/>
      <c r="L27" s="133"/>
      <c r="M27" s="57"/>
      <c r="N27" s="87" t="s">
        <v>121</v>
      </c>
      <c r="O27" s="83">
        <f>INT+CHA</f>
        <v>26</v>
      </c>
      <c r="P27" s="85"/>
      <c r="Q27" s="85"/>
      <c r="R27" s="86">
        <f t="shared" si="2"/>
        <v>26</v>
      </c>
      <c r="S27" s="55"/>
      <c r="T27" s="55"/>
      <c r="U27" s="55"/>
      <c r="V27" s="55"/>
      <c r="W27" s="55"/>
    </row>
    <row r="28">
      <c r="A28" s="67"/>
      <c r="B28" s="135" t="s">
        <v>122</v>
      </c>
      <c r="C28" s="136" t="s">
        <v>123</v>
      </c>
      <c r="D28" s="102"/>
      <c r="E28" s="118"/>
      <c r="F28" s="130"/>
      <c r="G28" s="131"/>
      <c r="H28" s="131"/>
      <c r="I28" s="131"/>
      <c r="J28" s="131"/>
      <c r="K28" s="132"/>
      <c r="L28" s="133"/>
      <c r="M28" s="57"/>
      <c r="N28" s="87" t="s">
        <v>124</v>
      </c>
      <c r="O28" s="83">
        <f>DEX+CHA</f>
        <v>25</v>
      </c>
      <c r="P28" s="85"/>
      <c r="Q28" s="85"/>
      <c r="R28" s="86">
        <f t="shared" si="2"/>
        <v>25</v>
      </c>
      <c r="S28" s="55"/>
      <c r="T28" s="55"/>
      <c r="U28" s="55"/>
      <c r="V28" s="55"/>
      <c r="W28" s="55"/>
    </row>
    <row r="29">
      <c r="A29" s="67"/>
      <c r="B29" s="137" t="s">
        <v>13</v>
      </c>
      <c r="C29" s="138">
        <f>ROUNDUP(((BASE_HP_CALC)/5),0)+BONUS_HIT_POINTS</f>
        <v>7</v>
      </c>
      <c r="D29" s="139"/>
      <c r="E29" s="55"/>
      <c r="F29" s="130"/>
      <c r="G29" s="131"/>
      <c r="H29" s="131"/>
      <c r="I29" s="131"/>
      <c r="J29" s="131"/>
      <c r="K29" s="132"/>
      <c r="L29" s="140"/>
      <c r="M29" s="57"/>
      <c r="N29" s="87" t="s">
        <v>125</v>
      </c>
      <c r="O29" s="83">
        <f>POW+CON</f>
        <v>26</v>
      </c>
      <c r="P29" s="84"/>
      <c r="Q29" s="85"/>
      <c r="R29" s="86">
        <f t="shared" si="2"/>
        <v>26</v>
      </c>
      <c r="S29" s="55"/>
      <c r="T29" s="55"/>
      <c r="U29" s="55"/>
      <c r="V29" s="55"/>
      <c r="W29" s="55"/>
    </row>
    <row r="30">
      <c r="A30" s="67"/>
      <c r="B30" s="141" t="s">
        <v>26</v>
      </c>
      <c r="C30" s="142">
        <f>ROUNDUP(((BASE_HP_CALC)/5),0)+2++BONUS_HIT_POINTS</f>
        <v>9</v>
      </c>
      <c r="D30" s="139"/>
      <c r="E30" s="55"/>
      <c r="F30" s="143"/>
      <c r="G30" s="144"/>
      <c r="H30" s="144"/>
      <c r="I30" s="144"/>
      <c r="J30" s="144"/>
      <c r="K30" s="145"/>
      <c r="L30" s="146"/>
      <c r="M30" s="57"/>
      <c r="N30" s="82" t="s">
        <v>126</v>
      </c>
      <c r="O30" s="83">
        <f>POW+INT</f>
        <v>26</v>
      </c>
      <c r="P30" s="84"/>
      <c r="Q30" s="85"/>
      <c r="R30" s="86">
        <f t="shared" si="2"/>
        <v>26</v>
      </c>
      <c r="S30" s="55"/>
      <c r="T30" s="55"/>
      <c r="U30" s="55"/>
      <c r="V30" s="55"/>
      <c r="W30" s="55"/>
    </row>
    <row r="31">
      <c r="A31" s="55"/>
      <c r="B31" s="141" t="s">
        <v>30</v>
      </c>
      <c r="C31" s="142">
        <f>ROUNDUP(((BASE_HP_CALC)/5),0)+1+BONUS_HIT_POINTS</f>
        <v>8</v>
      </c>
      <c r="D31" s="139"/>
      <c r="E31" s="55"/>
      <c r="M31" s="57"/>
      <c r="N31" s="87" t="s">
        <v>127</v>
      </c>
      <c r="O31" s="83">
        <f>INT+CON</f>
        <v>26</v>
      </c>
      <c r="P31" s="85"/>
      <c r="Q31" s="85"/>
      <c r="R31" s="86">
        <f t="shared" si="2"/>
        <v>26</v>
      </c>
      <c r="S31" s="55"/>
      <c r="T31" s="55"/>
      <c r="U31" s="55"/>
      <c r="V31" s="55"/>
      <c r="W31" s="55"/>
    </row>
    <row r="32">
      <c r="A32" s="52"/>
      <c r="B32" s="141" t="s">
        <v>128</v>
      </c>
      <c r="C32" s="142">
        <f>MAX(ROUNDUP(((BASE_HP_CALC)/5),0)-1,1)+BONUS_HIT_POINTS</f>
        <v>6</v>
      </c>
      <c r="D32" s="139"/>
      <c r="E32" s="55"/>
      <c r="F32" s="147" t="s">
        <v>129</v>
      </c>
      <c r="G32" s="148"/>
      <c r="H32" s="148"/>
      <c r="I32" s="148"/>
      <c r="J32" s="148"/>
      <c r="K32" s="148"/>
      <c r="L32" s="149"/>
      <c r="M32" s="57"/>
      <c r="N32" s="87"/>
      <c r="O32" s="83"/>
      <c r="P32" s="84"/>
      <c r="Q32" s="85"/>
      <c r="R32" s="86"/>
      <c r="S32" s="150"/>
      <c r="T32" s="55"/>
      <c r="U32" s="55"/>
      <c r="V32" s="55"/>
      <c r="W32" s="55"/>
    </row>
    <row r="33">
      <c r="A33" s="118"/>
      <c r="B33" s="151" t="s">
        <v>130</v>
      </c>
      <c r="C33" s="152">
        <f>ROUNDUP(((BASE_HP_CALC)/5),0)+BONUS_HIT_POINTS</f>
        <v>7</v>
      </c>
      <c r="D33" s="139"/>
      <c r="E33" s="55"/>
      <c r="F33" s="153" t="s">
        <v>131</v>
      </c>
      <c r="G33" s="131"/>
      <c r="H33" s="131"/>
      <c r="I33" s="131"/>
      <c r="J33" s="131"/>
      <c r="K33" s="131"/>
      <c r="L33" s="154"/>
      <c r="M33" s="57"/>
      <c r="N33" s="82"/>
      <c r="O33" s="83"/>
      <c r="P33" s="84"/>
      <c r="Q33" s="85"/>
      <c r="R33" s="86"/>
      <c r="S33" s="55"/>
      <c r="T33" s="55"/>
      <c r="U33" s="55"/>
      <c r="V33" s="55"/>
      <c r="W33" s="55"/>
    </row>
    <row r="34">
      <c r="A34" s="60"/>
      <c r="B34" s="55"/>
      <c r="C34" s="55"/>
      <c r="D34" s="55"/>
      <c r="E34" s="57"/>
      <c r="F34" s="155" t="str">
        <f t="array" ref="F34:F43">POWERS_LIMITS_DESCRIPTIONS</f>
        <v/>
      </c>
      <c r="G34" s="131"/>
      <c r="H34" s="131"/>
      <c r="I34" s="131"/>
      <c r="J34" s="131"/>
      <c r="K34" s="131"/>
      <c r="L34" s="154"/>
      <c r="M34" s="57"/>
      <c r="N34" s="87"/>
      <c r="O34" s="83"/>
      <c r="P34" s="85"/>
      <c r="Q34" s="85"/>
      <c r="R34" s="86"/>
      <c r="S34" s="55"/>
      <c r="T34" s="55"/>
      <c r="U34" s="55"/>
      <c r="V34" s="55"/>
      <c r="W34" s="55"/>
    </row>
    <row r="35">
      <c r="A35" s="60"/>
      <c r="B35" s="156" t="s">
        <v>132</v>
      </c>
      <c r="C35" s="4"/>
      <c r="D35" s="55"/>
      <c r="E35" s="57"/>
      <c r="F35" s="155"/>
      <c r="G35" s="131"/>
      <c r="H35" s="131"/>
      <c r="I35" s="131"/>
      <c r="J35" s="131"/>
      <c r="K35" s="131"/>
      <c r="L35" s="154"/>
      <c r="M35" s="57"/>
      <c r="N35" s="87"/>
      <c r="O35" s="83"/>
      <c r="P35" s="85"/>
      <c r="Q35" s="85"/>
      <c r="R35" s="86"/>
      <c r="S35" s="55"/>
      <c r="T35" s="55"/>
      <c r="U35" s="55"/>
      <c r="V35" s="55"/>
      <c r="W35" s="55"/>
    </row>
    <row r="36">
      <c r="A36" s="60"/>
      <c r="B36" s="157" t="s">
        <v>133</v>
      </c>
      <c r="C36" s="158">
        <f>COUNTIF(H5:H22, 50)+COUNTIF(P5:P36, 50)</f>
        <v>0</v>
      </c>
      <c r="D36" s="159"/>
      <c r="E36" s="57"/>
      <c r="F36" s="160"/>
      <c r="G36" s="131"/>
      <c r="H36" s="131"/>
      <c r="I36" s="131"/>
      <c r="J36" s="131"/>
      <c r="K36" s="131"/>
      <c r="L36" s="154"/>
      <c r="M36" s="57"/>
      <c r="N36" s="114"/>
      <c r="O36" s="115"/>
      <c r="P36" s="161"/>
      <c r="Q36" s="161"/>
      <c r="R36" s="117"/>
      <c r="S36" s="55"/>
      <c r="T36" s="55"/>
      <c r="U36" s="55"/>
      <c r="V36" s="55"/>
      <c r="W36" s="55"/>
    </row>
    <row r="37">
      <c r="A37" s="162"/>
      <c r="B37" s="163" t="s">
        <v>134</v>
      </c>
      <c r="C37" s="164">
        <f>COUNTIF(H5:H22, 40)+COUNTIF(P5:P36, 40)</f>
        <v>0</v>
      </c>
      <c r="D37" s="159"/>
      <c r="E37" s="55"/>
      <c r="F37" s="160"/>
      <c r="G37" s="131"/>
      <c r="H37" s="131"/>
      <c r="I37" s="131"/>
      <c r="J37" s="131"/>
      <c r="K37" s="131"/>
      <c r="L37" s="154"/>
      <c r="M37" s="57"/>
      <c r="N37" s="55"/>
      <c r="O37" s="55"/>
      <c r="S37" s="55"/>
      <c r="T37" s="55"/>
      <c r="U37" s="55"/>
      <c r="V37" s="55"/>
      <c r="W37" s="55"/>
      <c r="X37" s="55"/>
      <c r="Y37" s="55"/>
    </row>
    <row r="38">
      <c r="A38" s="55"/>
      <c r="B38" s="165" t="s">
        <v>135</v>
      </c>
      <c r="C38" s="166">
        <f>COUNTIF(H5:H22, 30)+COUNTIF(P5:P36, 30)</f>
        <v>0</v>
      </c>
      <c r="D38" s="55"/>
      <c r="E38" s="55"/>
      <c r="F38" s="160"/>
      <c r="G38" s="131"/>
      <c r="H38" s="131"/>
      <c r="I38" s="131"/>
      <c r="J38" s="131"/>
      <c r="K38" s="131"/>
      <c r="L38" s="154"/>
      <c r="M38" s="57"/>
      <c r="N38" s="118"/>
      <c r="O38" s="55"/>
      <c r="R38" s="167"/>
      <c r="S38" s="55"/>
      <c r="T38" s="55"/>
      <c r="U38" s="55"/>
      <c r="V38" s="55"/>
      <c r="W38" s="55"/>
      <c r="X38" s="55"/>
      <c r="Y38" s="55"/>
    </row>
    <row r="39">
      <c r="A39" s="168"/>
      <c r="B39" s="165" t="s">
        <v>136</v>
      </c>
      <c r="C39" s="169">
        <f>COUNTIF(H5:H22, 20)+COUNTIF(P5:P36, 20)</f>
        <v>2</v>
      </c>
      <c r="D39" s="55"/>
      <c r="E39" s="55"/>
      <c r="F39" s="160"/>
      <c r="G39" s="131"/>
      <c r="H39" s="131"/>
      <c r="I39" s="131"/>
      <c r="J39" s="131"/>
      <c r="K39" s="131"/>
      <c r="L39" s="154"/>
      <c r="M39" s="57"/>
      <c r="N39" s="118"/>
      <c r="O39" s="55"/>
      <c r="P39" s="55"/>
      <c r="Q39" s="55"/>
      <c r="R39" s="118"/>
      <c r="S39" s="55"/>
      <c r="T39" s="55"/>
      <c r="U39" s="55"/>
      <c r="V39" s="55"/>
      <c r="W39" s="55"/>
      <c r="X39" s="55"/>
      <c r="Y39" s="55"/>
    </row>
    <row r="40">
      <c r="A40" s="168"/>
      <c r="B40" s="170" t="s">
        <v>137</v>
      </c>
      <c r="C40" s="171">
        <f>COUNTIF(H5:H22, 10)+COUNTIF(P5:P36, 10)</f>
        <v>0</v>
      </c>
      <c r="D40" s="55"/>
      <c r="E40" s="55"/>
      <c r="F40" s="155"/>
      <c r="G40" s="131"/>
      <c r="H40" s="131"/>
      <c r="I40" s="131"/>
      <c r="J40" s="131"/>
      <c r="K40" s="131"/>
      <c r="L40" s="154"/>
      <c r="M40" s="57"/>
      <c r="N40" s="55"/>
      <c r="O40" s="55"/>
      <c r="P40" s="55"/>
      <c r="Q40" s="55"/>
      <c r="R40" s="55"/>
      <c r="S40" s="55"/>
      <c r="T40" s="55"/>
      <c r="U40" s="55"/>
      <c r="V40" s="55"/>
      <c r="W40" s="55"/>
      <c r="X40" s="55"/>
      <c r="Y40" s="55"/>
    </row>
    <row r="41">
      <c r="A41" s="55"/>
      <c r="B41" s="55"/>
      <c r="C41" s="55"/>
      <c r="D41" s="55"/>
      <c r="E41" s="55"/>
      <c r="F41" s="155"/>
      <c r="G41" s="131"/>
      <c r="H41" s="131"/>
      <c r="I41" s="131"/>
      <c r="J41" s="131"/>
      <c r="K41" s="131"/>
      <c r="L41" s="154"/>
      <c r="M41" s="57"/>
      <c r="N41" s="55"/>
      <c r="O41" s="55"/>
      <c r="P41" s="55"/>
      <c r="Q41" s="55"/>
      <c r="R41" s="55"/>
      <c r="S41" s="55"/>
      <c r="T41" s="55"/>
      <c r="U41" s="55"/>
      <c r="V41" s="55"/>
      <c r="W41" s="55"/>
      <c r="X41" s="55"/>
      <c r="Y41" s="55"/>
    </row>
    <row r="42">
      <c r="A42" s="55"/>
      <c r="B42" s="55"/>
      <c r="C42" s="159"/>
      <c r="D42" s="118"/>
      <c r="E42" s="55"/>
      <c r="F42" s="155"/>
      <c r="G42" s="131"/>
      <c r="H42" s="131"/>
      <c r="I42" s="131"/>
      <c r="J42" s="131"/>
      <c r="K42" s="131"/>
      <c r="L42" s="154"/>
      <c r="M42" s="57"/>
      <c r="N42" s="55"/>
      <c r="O42" s="55"/>
      <c r="P42" s="55"/>
      <c r="Q42" s="55"/>
      <c r="R42" s="55"/>
      <c r="S42" s="55"/>
      <c r="T42" s="55"/>
      <c r="U42" s="55"/>
      <c r="V42" s="55"/>
      <c r="W42" s="55"/>
      <c r="X42" s="55"/>
      <c r="Y42" s="55"/>
    </row>
    <row r="43">
      <c r="A43" s="118"/>
      <c r="B43" s="168"/>
      <c r="C43" s="159"/>
      <c r="D43" s="118"/>
      <c r="E43" s="55"/>
      <c r="F43" s="172"/>
      <c r="G43" s="144"/>
      <c r="H43" s="144"/>
      <c r="I43" s="144"/>
      <c r="J43" s="144"/>
      <c r="K43" s="144"/>
      <c r="L43" s="173"/>
      <c r="M43" s="57"/>
      <c r="N43" s="55"/>
      <c r="O43" s="55"/>
      <c r="P43" s="55"/>
      <c r="Q43" s="55"/>
      <c r="R43" s="55"/>
      <c r="S43" s="55"/>
      <c r="T43" s="55"/>
      <c r="U43" s="55"/>
      <c r="V43" s="55"/>
      <c r="W43" s="55"/>
      <c r="X43" s="55"/>
      <c r="Y43" s="55"/>
    </row>
    <row r="44">
      <c r="A44" s="174"/>
      <c r="B44" s="168"/>
      <c r="C44" s="55"/>
      <c r="D44" s="118"/>
      <c r="E44" s="55"/>
      <c r="F44" s="55"/>
      <c r="G44" s="55"/>
      <c r="H44" s="55"/>
      <c r="I44" s="55"/>
      <c r="J44" s="55"/>
      <c r="K44" s="55"/>
      <c r="L44" s="55"/>
      <c r="M44" s="57"/>
      <c r="N44" s="55"/>
      <c r="O44" s="55"/>
      <c r="P44" s="55"/>
      <c r="Q44" s="55"/>
      <c r="R44" s="55"/>
      <c r="S44" s="55"/>
      <c r="T44" s="55"/>
      <c r="U44" s="55"/>
      <c r="V44" s="55"/>
      <c r="W44" s="55"/>
      <c r="X44" s="55"/>
      <c r="Y44" s="55"/>
    </row>
    <row r="45">
      <c r="A45" s="118"/>
      <c r="B45" s="55"/>
      <c r="C45" s="55"/>
      <c r="D45" s="118"/>
      <c r="E45" s="118"/>
      <c r="F45" s="55"/>
      <c r="G45" s="55"/>
      <c r="H45" s="55"/>
      <c r="I45" s="55"/>
      <c r="J45" s="55"/>
      <c r="K45" s="55"/>
      <c r="L45" s="55"/>
      <c r="M45" s="57"/>
      <c r="N45" s="55"/>
      <c r="O45" s="55"/>
      <c r="P45" s="55"/>
      <c r="Q45" s="55"/>
      <c r="R45" s="55"/>
      <c r="S45" s="55"/>
      <c r="T45" s="55"/>
      <c r="U45" s="55"/>
      <c r="V45" s="55"/>
      <c r="W45" s="55"/>
      <c r="X45" s="55"/>
      <c r="Y45" s="55"/>
    </row>
    <row r="46">
      <c r="A46" s="118"/>
      <c r="B46" s="55"/>
      <c r="C46" s="175"/>
      <c r="D46" s="55"/>
      <c r="E46" s="118"/>
      <c r="F46" s="55"/>
      <c r="G46" s="55"/>
      <c r="H46" s="55"/>
      <c r="I46" s="55"/>
      <c r="J46" s="55"/>
      <c r="K46" s="55"/>
      <c r="L46" s="55"/>
      <c r="M46" s="57"/>
      <c r="N46" s="55"/>
      <c r="O46" s="55"/>
      <c r="P46" s="55"/>
      <c r="Q46" s="55"/>
      <c r="R46" s="55"/>
      <c r="S46" s="55"/>
      <c r="T46" s="55"/>
      <c r="U46" s="55"/>
      <c r="V46" s="55"/>
      <c r="W46" s="55"/>
      <c r="X46" s="55"/>
      <c r="Y46" s="55"/>
    </row>
    <row r="47">
      <c r="A47" s="118"/>
      <c r="B47" s="118"/>
      <c r="C47" s="175"/>
      <c r="D47" s="55"/>
      <c r="E47" s="118"/>
      <c r="F47" s="55"/>
      <c r="G47" s="55"/>
      <c r="H47" s="55"/>
      <c r="I47" s="55"/>
      <c r="J47" s="55"/>
      <c r="K47" s="55"/>
      <c r="L47" s="55"/>
      <c r="M47" s="57"/>
      <c r="N47" s="55"/>
      <c r="O47" s="55"/>
      <c r="P47" s="55"/>
      <c r="Q47" s="55"/>
      <c r="R47" s="55"/>
      <c r="S47" s="55"/>
      <c r="T47" s="55"/>
      <c r="U47" s="55"/>
      <c r="V47" s="55"/>
      <c r="W47" s="55"/>
      <c r="X47" s="55"/>
      <c r="Y47" s="55"/>
    </row>
    <row r="48">
      <c r="A48" s="118"/>
      <c r="B48" s="174"/>
      <c r="C48" s="118"/>
      <c r="D48" s="55"/>
      <c r="E48" s="118"/>
      <c r="F48" s="55"/>
      <c r="G48" s="55"/>
      <c r="H48" s="55"/>
      <c r="I48" s="55"/>
      <c r="J48" s="55"/>
      <c r="K48" s="55"/>
      <c r="L48" s="55"/>
      <c r="M48" s="55"/>
      <c r="N48" s="55"/>
      <c r="O48" s="55"/>
      <c r="P48" s="55"/>
      <c r="Q48" s="55"/>
      <c r="R48" s="55"/>
      <c r="S48" s="55"/>
      <c r="T48" s="55"/>
      <c r="U48" s="55"/>
      <c r="V48" s="55"/>
      <c r="W48" s="55"/>
      <c r="X48" s="55"/>
      <c r="Y48" s="55"/>
    </row>
    <row r="49">
      <c r="A49" s="55"/>
      <c r="B49" s="118"/>
      <c r="C49" s="118"/>
      <c r="D49" s="55"/>
      <c r="E49" s="55"/>
      <c r="F49" s="55"/>
      <c r="G49" s="55"/>
      <c r="H49" s="55"/>
      <c r="I49" s="55"/>
      <c r="J49" s="55"/>
      <c r="K49" s="55"/>
      <c r="L49" s="55"/>
      <c r="M49" s="55"/>
      <c r="N49" s="55"/>
      <c r="O49" s="55"/>
      <c r="P49" s="55"/>
      <c r="Q49" s="55"/>
      <c r="R49" s="55"/>
      <c r="S49" s="55"/>
      <c r="T49" s="55"/>
      <c r="U49" s="55"/>
      <c r="V49" s="55"/>
      <c r="W49" s="55"/>
      <c r="X49" s="55"/>
      <c r="Y49" s="55"/>
    </row>
    <row r="50">
      <c r="A50" s="55"/>
      <c r="B50" s="118"/>
      <c r="C50" s="118"/>
      <c r="D50" s="55"/>
      <c r="E50" s="55"/>
      <c r="F50" s="55"/>
      <c r="G50" s="55"/>
      <c r="H50" s="55"/>
      <c r="I50" s="55"/>
      <c r="J50" s="55"/>
      <c r="K50" s="55"/>
      <c r="L50" s="55"/>
      <c r="M50" s="55"/>
      <c r="N50" s="55"/>
      <c r="O50" s="55"/>
      <c r="P50" s="55"/>
      <c r="Q50" s="55"/>
      <c r="R50" s="55"/>
      <c r="S50" s="55"/>
      <c r="T50" s="55"/>
      <c r="U50" s="55"/>
      <c r="V50" s="55"/>
      <c r="W50" s="55"/>
      <c r="X50" s="55"/>
      <c r="Y50" s="55"/>
    </row>
    <row r="51">
      <c r="A51" s="55"/>
      <c r="B51" s="118"/>
      <c r="C51" s="118"/>
      <c r="D51" s="55"/>
      <c r="E51" s="55"/>
      <c r="F51" s="55"/>
      <c r="G51" s="55"/>
      <c r="H51" s="55"/>
      <c r="I51" s="55"/>
      <c r="J51" s="55"/>
      <c r="K51" s="55"/>
      <c r="L51" s="55"/>
      <c r="M51" s="55"/>
      <c r="N51" s="55"/>
      <c r="O51" s="55"/>
      <c r="P51" s="55"/>
      <c r="Q51" s="55"/>
      <c r="R51" s="55"/>
      <c r="S51" s="55"/>
      <c r="T51" s="55"/>
      <c r="U51" s="55"/>
      <c r="V51" s="55"/>
      <c r="W51" s="55"/>
      <c r="X51" s="55"/>
      <c r="Y51" s="55"/>
    </row>
    <row r="52">
      <c r="A52" s="55"/>
      <c r="B52" s="118"/>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E112" s="55"/>
      <c r="F112" s="55"/>
      <c r="G112" s="55"/>
      <c r="H112" s="55"/>
      <c r="I112" s="55"/>
      <c r="J112" s="55"/>
      <c r="K112" s="55"/>
      <c r="L112" s="55"/>
      <c r="M112" s="55"/>
      <c r="N112" s="55"/>
      <c r="O112" s="55"/>
      <c r="P112" s="55"/>
      <c r="Q112" s="55"/>
      <c r="R112" s="55"/>
      <c r="S112" s="55"/>
      <c r="T112" s="55"/>
      <c r="U112" s="55"/>
      <c r="V112" s="55"/>
      <c r="W112" s="55"/>
      <c r="X112" s="55"/>
      <c r="Y112" s="55"/>
    </row>
    <row r="113">
      <c r="B113" s="55"/>
      <c r="C113" s="55"/>
      <c r="E113" s="55"/>
      <c r="F113" s="55"/>
      <c r="G113" s="55"/>
      <c r="H113" s="55"/>
      <c r="I113" s="55"/>
      <c r="J113" s="55"/>
      <c r="K113" s="55"/>
      <c r="L113" s="55"/>
      <c r="M113" s="55"/>
      <c r="N113" s="55"/>
      <c r="O113" s="55"/>
      <c r="P113" s="55"/>
      <c r="Q113" s="55"/>
      <c r="R113" s="55"/>
      <c r="S113" s="55"/>
      <c r="T113" s="55"/>
      <c r="U113" s="55"/>
      <c r="V113" s="55"/>
      <c r="W113" s="55"/>
      <c r="X113" s="55"/>
      <c r="Y113" s="55"/>
    </row>
    <row r="114">
      <c r="B114" s="55"/>
      <c r="C114" s="55"/>
      <c r="E114" s="55"/>
      <c r="F114" s="55"/>
      <c r="G114" s="55"/>
      <c r="H114" s="55"/>
      <c r="I114" s="55"/>
      <c r="J114" s="55"/>
      <c r="K114" s="55"/>
      <c r="L114" s="55"/>
      <c r="M114" s="55"/>
      <c r="N114" s="55"/>
      <c r="O114" s="55"/>
      <c r="P114" s="55"/>
      <c r="Q114" s="55"/>
      <c r="R114" s="55"/>
      <c r="S114" s="55"/>
      <c r="T114" s="55"/>
      <c r="U114" s="55"/>
      <c r="V114" s="55"/>
      <c r="W114" s="55"/>
      <c r="X114" s="55"/>
      <c r="Y114" s="55"/>
    </row>
    <row r="115">
      <c r="B115" s="55"/>
      <c r="C115" s="55"/>
      <c r="E115" s="55"/>
      <c r="F115" s="55"/>
      <c r="G115" s="55"/>
      <c r="H115" s="55"/>
      <c r="I115" s="55"/>
      <c r="J115" s="55"/>
      <c r="K115" s="55"/>
      <c r="L115" s="55"/>
      <c r="M115" s="55"/>
      <c r="N115" s="55"/>
      <c r="O115" s="55"/>
      <c r="P115" s="55"/>
      <c r="Q115" s="55"/>
      <c r="R115" s="55"/>
      <c r="S115" s="55"/>
      <c r="T115" s="55"/>
      <c r="U115" s="55"/>
      <c r="V115" s="55"/>
      <c r="W115" s="55"/>
      <c r="X115" s="55"/>
      <c r="Y115" s="55"/>
    </row>
    <row r="116">
      <c r="B116" s="55"/>
      <c r="C116" s="55"/>
      <c r="E116" s="55"/>
      <c r="F116" s="55"/>
      <c r="G116" s="55"/>
      <c r="H116" s="55"/>
      <c r="I116" s="55"/>
      <c r="J116" s="55"/>
      <c r="K116" s="55"/>
      <c r="L116" s="55"/>
      <c r="M116" s="55"/>
      <c r="N116" s="55"/>
      <c r="O116" s="55"/>
      <c r="P116" s="55"/>
      <c r="Q116" s="55"/>
      <c r="R116" s="55"/>
      <c r="S116" s="55"/>
      <c r="T116" s="55"/>
      <c r="U116" s="55"/>
      <c r="V116" s="55"/>
      <c r="W116" s="55"/>
      <c r="X116" s="55"/>
      <c r="Y116" s="55"/>
    </row>
    <row r="117">
      <c r="B117" s="55"/>
      <c r="E117" s="55"/>
      <c r="F117" s="55"/>
      <c r="G117" s="55"/>
      <c r="H117" s="55"/>
      <c r="I117" s="55"/>
      <c r="J117" s="55"/>
      <c r="K117" s="55"/>
      <c r="L117" s="55"/>
      <c r="M117" s="55"/>
      <c r="N117" s="55"/>
      <c r="O117" s="55"/>
      <c r="P117" s="55"/>
      <c r="Q117" s="55"/>
      <c r="R117" s="55"/>
      <c r="S117" s="55"/>
      <c r="T117" s="55"/>
      <c r="U117" s="55"/>
      <c r="V117" s="55"/>
      <c r="W117" s="55"/>
      <c r="X117" s="55"/>
      <c r="Y117" s="55"/>
    </row>
    <row r="118">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row>
    <row r="993">
      <c r="A993" s="55"/>
      <c r="B993" s="55"/>
      <c r="C993" s="55"/>
      <c r="D993" s="55"/>
      <c r="E993" s="55"/>
      <c r="F993" s="55"/>
      <c r="G993" s="55"/>
      <c r="H993" s="55"/>
      <c r="I993" s="55"/>
      <c r="J993" s="55"/>
      <c r="K993" s="55"/>
      <c r="L993" s="55"/>
      <c r="M993" s="55"/>
      <c r="U993" s="55"/>
      <c r="V993" s="55"/>
      <c r="W993" s="55"/>
      <c r="X993" s="55"/>
      <c r="Y993" s="55"/>
    </row>
    <row r="994">
      <c r="A994" s="55"/>
      <c r="B994" s="55"/>
      <c r="C994" s="55"/>
      <c r="D994" s="55"/>
      <c r="E994" s="55"/>
      <c r="F994" s="55"/>
      <c r="G994" s="55"/>
      <c r="H994" s="55"/>
      <c r="I994" s="55"/>
      <c r="J994" s="55"/>
      <c r="K994" s="55"/>
      <c r="L994" s="55"/>
      <c r="M994" s="55"/>
      <c r="U994" s="55"/>
      <c r="V994" s="55"/>
      <c r="W994" s="55"/>
      <c r="X994" s="55"/>
      <c r="Y994" s="55"/>
    </row>
    <row r="995">
      <c r="A995" s="55"/>
      <c r="B995" s="55"/>
      <c r="C995" s="55"/>
      <c r="D995" s="55"/>
      <c r="E995" s="55"/>
      <c r="F995" s="55"/>
      <c r="G995" s="55"/>
      <c r="H995" s="55"/>
      <c r="I995" s="55"/>
      <c r="J995" s="55"/>
      <c r="K995" s="55"/>
      <c r="L995" s="55"/>
      <c r="M995" s="55"/>
      <c r="U995" s="55"/>
      <c r="V995" s="55"/>
      <c r="W995" s="55"/>
      <c r="X995" s="55"/>
      <c r="Y995" s="55"/>
    </row>
    <row r="996">
      <c r="A996" s="55"/>
      <c r="B996" s="55"/>
      <c r="C996" s="55"/>
      <c r="D996" s="55"/>
      <c r="E996" s="55"/>
      <c r="F996" s="55"/>
      <c r="G996" s="55"/>
      <c r="H996" s="55"/>
      <c r="I996" s="55"/>
      <c r="J996" s="55"/>
      <c r="K996" s="55"/>
      <c r="L996" s="55"/>
      <c r="M996" s="55"/>
      <c r="U996" s="55"/>
      <c r="V996" s="55"/>
      <c r="W996" s="55"/>
      <c r="X996" s="55"/>
      <c r="Y996" s="55"/>
    </row>
    <row r="997">
      <c r="A997" s="55"/>
      <c r="B997" s="55"/>
      <c r="C997" s="55"/>
      <c r="D997" s="55"/>
      <c r="E997" s="55"/>
      <c r="F997" s="55"/>
      <c r="G997" s="55"/>
      <c r="H997" s="55"/>
      <c r="I997" s="55"/>
      <c r="J997" s="55"/>
      <c r="K997" s="55"/>
      <c r="L997" s="55"/>
      <c r="M997" s="55"/>
      <c r="U997" s="55"/>
      <c r="V997" s="55"/>
      <c r="W997" s="55"/>
      <c r="X997" s="55"/>
      <c r="Y997" s="55"/>
    </row>
    <row r="998">
      <c r="A998" s="55"/>
      <c r="B998" s="55"/>
      <c r="C998" s="55"/>
      <c r="D998" s="55"/>
      <c r="E998" s="55"/>
      <c r="F998" s="55"/>
      <c r="G998" s="55"/>
      <c r="H998" s="55"/>
      <c r="I998" s="55"/>
      <c r="J998" s="55"/>
      <c r="K998" s="55"/>
      <c r="L998" s="55"/>
      <c r="M998" s="55"/>
      <c r="U998" s="55"/>
      <c r="V998" s="55"/>
      <c r="W998" s="55"/>
      <c r="X998" s="55"/>
      <c r="Y998" s="55"/>
    </row>
    <row r="999">
      <c r="A999" s="55"/>
      <c r="B999" s="55"/>
      <c r="C999" s="55"/>
      <c r="D999" s="55"/>
      <c r="E999" s="55"/>
      <c r="M999" s="55"/>
      <c r="U999" s="55"/>
      <c r="V999" s="55"/>
      <c r="W999" s="55"/>
      <c r="X999" s="55"/>
      <c r="Y999" s="55"/>
    </row>
    <row r="1000">
      <c r="A1000" s="55"/>
      <c r="B1000" s="55"/>
      <c r="C1000" s="55"/>
      <c r="D1000" s="55"/>
      <c r="E1000" s="55"/>
      <c r="M1000" s="55"/>
      <c r="U1000" s="55"/>
      <c r="V1000" s="55"/>
      <c r="W1000" s="55"/>
      <c r="X1000" s="55"/>
      <c r="Y1000" s="55"/>
    </row>
    <row r="1001">
      <c r="A1001" s="55"/>
      <c r="B1001" s="55"/>
      <c r="C1001" s="55"/>
      <c r="E1001" s="55"/>
      <c r="M1001" s="55"/>
      <c r="U1001" s="55"/>
      <c r="V1001" s="55"/>
      <c r="W1001" s="55"/>
      <c r="X1001" s="55"/>
      <c r="Y1001" s="55"/>
    </row>
    <row r="1002">
      <c r="A1002" s="55"/>
      <c r="B1002" s="55"/>
      <c r="C1002" s="55"/>
      <c r="E1002" s="55"/>
      <c r="M1002" s="55"/>
      <c r="U1002" s="55"/>
      <c r="V1002" s="55"/>
      <c r="W1002" s="55"/>
      <c r="X1002" s="55"/>
      <c r="Y1002" s="55"/>
    </row>
    <row r="1003">
      <c r="A1003" s="55"/>
      <c r="B1003" s="55"/>
      <c r="C1003" s="55"/>
      <c r="E1003" s="55"/>
      <c r="M1003" s="55"/>
      <c r="U1003" s="55"/>
      <c r="V1003" s="55"/>
      <c r="W1003" s="55"/>
      <c r="X1003" s="55"/>
      <c r="Y1003" s="55"/>
    </row>
    <row r="1004">
      <c r="A1004" s="55"/>
      <c r="B1004" s="55"/>
      <c r="C1004" s="55"/>
      <c r="E1004" s="55"/>
      <c r="M1004" s="55"/>
      <c r="U1004" s="55"/>
      <c r="V1004" s="55"/>
      <c r="W1004" s="55"/>
      <c r="X1004" s="55"/>
      <c r="Y1004" s="55"/>
    </row>
    <row r="1005">
      <c r="A1005" s="55"/>
      <c r="B1005" s="55"/>
      <c r="C1005" s="55"/>
      <c r="E1005" s="55"/>
      <c r="M1005" s="55"/>
      <c r="U1005" s="55"/>
      <c r="V1005" s="55"/>
      <c r="W1005" s="55"/>
      <c r="X1005" s="55"/>
      <c r="Y1005" s="55"/>
    </row>
    <row r="1006">
      <c r="A1006" s="55"/>
      <c r="B1006" s="55"/>
      <c r="C1006" s="55"/>
      <c r="E1006" s="55"/>
      <c r="M1006" s="55"/>
      <c r="U1006" s="55"/>
      <c r="V1006" s="55"/>
      <c r="W1006" s="55"/>
      <c r="X1006" s="55"/>
      <c r="Y1006" s="55"/>
    </row>
    <row r="1007">
      <c r="A1007" s="55"/>
      <c r="B1007" s="55"/>
      <c r="E1007" s="55"/>
      <c r="M1007" s="55"/>
      <c r="U1007" s="55"/>
      <c r="V1007" s="55"/>
      <c r="W1007" s="55"/>
      <c r="X1007" s="55"/>
      <c r="Y1007" s="55"/>
    </row>
  </sheetData>
  <mergeCells count="25">
    <mergeCell ref="B1:C1"/>
    <mergeCell ref="B3:D3"/>
    <mergeCell ref="F3:J3"/>
    <mergeCell ref="N3:R3"/>
    <mergeCell ref="B17:D17"/>
    <mergeCell ref="F24:L24"/>
    <mergeCell ref="F25:K25"/>
    <mergeCell ref="F26:K26"/>
    <mergeCell ref="F27:K27"/>
    <mergeCell ref="F28:K28"/>
    <mergeCell ref="F29:K29"/>
    <mergeCell ref="F30:K30"/>
    <mergeCell ref="F32:L32"/>
    <mergeCell ref="F33:L33"/>
    <mergeCell ref="F40:L40"/>
    <mergeCell ref="F41:L41"/>
    <mergeCell ref="F42:L42"/>
    <mergeCell ref="F43:L43"/>
    <mergeCell ref="F34:L34"/>
    <mergeCell ref="B35:C35"/>
    <mergeCell ref="F35:L35"/>
    <mergeCell ref="F36:L36"/>
    <mergeCell ref="F37:L37"/>
    <mergeCell ref="F38:L38"/>
    <mergeCell ref="F39:L39"/>
  </mergeCells>
  <conditionalFormatting sqref="C5:C11 H5:J22 N5:O22 P5:R36 F25:L30">
    <cfRule type="containsBlanks" dxfId="0" priority="1">
      <formula>LEN(TRIM(C5))=0</formula>
    </cfRule>
  </conditionalFormatting>
  <conditionalFormatting sqref="C5:C11">
    <cfRule type="cellIs" dxfId="1" priority="2" operator="greaterThan">
      <formula>$C$15</formula>
    </cfRule>
  </conditionalFormatting>
  <conditionalFormatting sqref="C36">
    <cfRule type="cellIs" dxfId="2" priority="3" operator="notEqual">
      <formula>1</formula>
    </cfRule>
  </conditionalFormatting>
  <conditionalFormatting sqref="C37">
    <cfRule type="cellIs" dxfId="2" priority="4" operator="notEqual">
      <formula>2</formula>
    </cfRule>
  </conditionalFormatting>
  <conditionalFormatting sqref="C38">
    <cfRule type="cellIs" dxfId="2" priority="5" operator="notEqual">
      <formula>3</formula>
    </cfRule>
  </conditionalFormatting>
  <conditionalFormatting sqref="C39">
    <cfRule type="cellIs" dxfId="2" priority="6" operator="notEqual">
      <formula>4</formula>
    </cfRule>
  </conditionalFormatting>
  <conditionalFormatting sqref="C40">
    <cfRule type="cellIs" dxfId="2" priority="7" operator="notEqual">
      <formula>5</formula>
    </cfRule>
  </conditionalFormatting>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1.0" topLeftCell="A12" activePane="bottomLeft" state="frozen"/>
      <selection activeCell="B13" sqref="B13" pane="bottomLeft"/>
    </sheetView>
  </sheetViews>
  <sheetFormatPr customHeight="1" defaultColWidth="12.63" defaultRowHeight="15.75"/>
  <cols>
    <col customWidth="1" hidden="1" min="1" max="1" width="5.25"/>
    <col customWidth="1" min="2" max="2" width="5.25"/>
    <col customWidth="1" min="3" max="3" width="18.75"/>
    <col customWidth="1" min="4" max="4" width="33.88"/>
    <col customWidth="1" min="5" max="5" width="5.25"/>
    <col customWidth="1" min="6" max="6" width="20.63"/>
    <col customWidth="1" min="7" max="7" width="27.75"/>
    <col customWidth="1" min="8" max="8" width="4.88"/>
    <col customWidth="1" min="9" max="9" width="27.5"/>
    <col customWidth="1" min="10" max="10" width="33.88"/>
    <col customWidth="1" min="11" max="11" width="6.13"/>
    <col customWidth="1" min="12" max="12" width="25.63"/>
    <col customWidth="1" min="13" max="13" width="26.88"/>
    <col customWidth="1" min="15" max="15" width="5.0"/>
    <col customWidth="1" min="16" max="16" width="27.75"/>
    <col customWidth="1" min="18" max="18" width="5.5"/>
    <col customWidth="1" min="19" max="19" width="21.13"/>
    <col customWidth="1" min="21" max="21" width="5.5"/>
    <col customWidth="1" min="22" max="22" width="19.38"/>
    <col customWidth="1" min="24" max="24" width="5.5"/>
    <col customWidth="1" min="25" max="25" width="19.5"/>
  </cols>
  <sheetData>
    <row r="1">
      <c r="C1" s="176" t="s">
        <v>138</v>
      </c>
      <c r="D1" s="177" t="s">
        <v>139</v>
      </c>
      <c r="E1" s="178"/>
      <c r="F1" s="179" t="s">
        <v>140</v>
      </c>
      <c r="G1" s="180" t="b">
        <v>1</v>
      </c>
      <c r="I1" s="181" t="s">
        <v>141</v>
      </c>
      <c r="M1" s="105" t="s">
        <v>142</v>
      </c>
    </row>
    <row r="2">
      <c r="C2" s="182" t="s">
        <v>143</v>
      </c>
      <c r="D2" s="183" t="s">
        <v>144</v>
      </c>
      <c r="E2" s="178"/>
      <c r="F2" s="184" t="s">
        <v>145</v>
      </c>
      <c r="G2" s="185">
        <f>POWER_SLOTS</f>
        <v>4</v>
      </c>
      <c r="H2" s="1">
        <v>0.0</v>
      </c>
      <c r="I2" s="186" t="s">
        <v>146</v>
      </c>
    </row>
    <row r="3">
      <c r="H3" s="1">
        <v>0.0</v>
      </c>
      <c r="I3" s="187" t="s">
        <v>147</v>
      </c>
    </row>
    <row r="4">
      <c r="C4" s="188" t="s">
        <v>148</v>
      </c>
      <c r="D4" s="189">
        <f>MAX_CORE_POWERS</f>
        <v>6</v>
      </c>
      <c r="E4" s="190"/>
      <c r="F4" s="176" t="s">
        <v>149</v>
      </c>
      <c r="G4" s="191">
        <f>Sum(B12:B974)</f>
        <v>0</v>
      </c>
      <c r="H4" s="1">
        <v>0.0</v>
      </c>
      <c r="I4" s="187" t="s">
        <v>150</v>
      </c>
    </row>
    <row r="5">
      <c r="C5" s="192" t="s">
        <v>151</v>
      </c>
      <c r="D5" s="193">
        <f>BONUS_BOOSTS</f>
        <v>1</v>
      </c>
      <c r="E5" s="190"/>
      <c r="F5" s="194" t="s">
        <v>152</v>
      </c>
      <c r="G5" s="185">
        <f>SUM(E12:E974)</f>
        <v>0</v>
      </c>
      <c r="H5" s="1">
        <v>0.0</v>
      </c>
      <c r="I5" s="187" t="s">
        <v>153</v>
      </c>
    </row>
    <row r="6">
      <c r="C6" s="192" t="s">
        <v>154</v>
      </c>
      <c r="D6" s="193">
        <f>MAX_LIMITS</f>
        <v>4</v>
      </c>
      <c r="E6" s="190"/>
      <c r="F6" s="176" t="s">
        <v>155</v>
      </c>
      <c r="G6" s="195">
        <f>SUM(H12:H974,LIMIT_HERO)</f>
        <v>0</v>
      </c>
      <c r="H6" s="1">
        <v>0.0</v>
      </c>
      <c r="I6" s="187" t="s">
        <v>156</v>
      </c>
    </row>
    <row r="7">
      <c r="C7" s="196" t="s">
        <v>157</v>
      </c>
      <c r="D7" s="197">
        <f>BASE_ALLOTMENTS</f>
        <v>0.4</v>
      </c>
      <c r="E7" s="190"/>
      <c r="F7" s="176" t="s">
        <v>158</v>
      </c>
      <c r="G7" s="185">
        <f>TOTAL_POWERS-(TOTAL_LIMITS*0.5)+(MAX(TOTAL_BOOSTS-BONUS_BOOSTS,0)*0.5)</f>
        <v>0</v>
      </c>
      <c r="H7" s="1">
        <v>0.0</v>
      </c>
      <c r="I7" s="187" t="s">
        <v>159</v>
      </c>
    </row>
    <row r="8">
      <c r="F8" s="105"/>
      <c r="H8" s="198">
        <v>0.0</v>
      </c>
      <c r="I8" s="187" t="s">
        <v>160</v>
      </c>
    </row>
    <row r="9">
      <c r="C9" s="182" t="s">
        <v>161</v>
      </c>
      <c r="D9" s="199" t="b">
        <v>1</v>
      </c>
      <c r="F9" s="105"/>
      <c r="H9" s="1">
        <v>0.0</v>
      </c>
      <c r="I9" s="187" t="s">
        <v>162</v>
      </c>
    </row>
    <row r="10">
      <c r="F10" s="105"/>
      <c r="H10" s="198">
        <v>0.0</v>
      </c>
      <c r="I10" s="187" t="s">
        <v>163</v>
      </c>
    </row>
    <row r="11">
      <c r="C11" s="105" t="s">
        <v>164</v>
      </c>
      <c r="D11" s="105" t="s">
        <v>142</v>
      </c>
      <c r="F11" s="105" t="s">
        <v>165</v>
      </c>
      <c r="G11" s="105" t="s">
        <v>142</v>
      </c>
      <c r="I11" s="105" t="s">
        <v>166</v>
      </c>
      <c r="J11" s="105" t="s">
        <v>142</v>
      </c>
    </row>
    <row r="12">
      <c r="C12" s="200"/>
    </row>
    <row r="13">
      <c r="A13" s="1" t="s">
        <v>167</v>
      </c>
      <c r="B13" s="1">
        <v>0.0</v>
      </c>
      <c r="C13" s="181" t="s">
        <v>168</v>
      </c>
      <c r="E13" s="1">
        <v>0.0</v>
      </c>
      <c r="F13" s="187" t="s">
        <v>169</v>
      </c>
      <c r="H13" s="1">
        <v>0.0</v>
      </c>
      <c r="I13" s="187" t="s">
        <v>170</v>
      </c>
    </row>
    <row r="14">
      <c r="A14" s="1" t="s">
        <v>167</v>
      </c>
      <c r="E14" s="1">
        <v>0.0</v>
      </c>
      <c r="F14" s="187" t="s">
        <v>171</v>
      </c>
      <c r="H14" s="1">
        <v>0.0</v>
      </c>
      <c r="I14" s="187" t="s">
        <v>172</v>
      </c>
      <c r="N14" s="198" t="str">
        <f t="array" ref="N14">join(" ",{1,2,3},{},{4,5,6})</f>
        <v>#REF!</v>
      </c>
    </row>
    <row r="15">
      <c r="A15" s="1" t="s">
        <v>167</v>
      </c>
      <c r="E15" s="1">
        <v>0.0</v>
      </c>
      <c r="F15" s="187" t="s">
        <v>173</v>
      </c>
      <c r="H15" s="1">
        <v>0.0</v>
      </c>
      <c r="I15" s="187" t="s">
        <v>174</v>
      </c>
    </row>
    <row r="16">
      <c r="A16" s="1" t="s">
        <v>167</v>
      </c>
      <c r="E16" s="1">
        <v>0.0</v>
      </c>
      <c r="F16" s="187" t="s">
        <v>175</v>
      </c>
      <c r="H16" s="1">
        <f>IF(ISBLANK(I16), 0,1)</f>
        <v>0</v>
      </c>
      <c r="I16" s="187"/>
    </row>
    <row r="17">
      <c r="A17" s="1" t="s">
        <v>167</v>
      </c>
      <c r="E17" s="1">
        <v>0.0</v>
      </c>
      <c r="F17" s="201" t="s">
        <v>176</v>
      </c>
    </row>
    <row r="19">
      <c r="A19" s="1" t="s">
        <v>177</v>
      </c>
      <c r="B19" s="1">
        <v>0.0</v>
      </c>
      <c r="C19" s="181" t="s">
        <v>178</v>
      </c>
      <c r="D19" s="202" t="str">
        <f>"Ranges: "&amp;CON&amp;", "&amp;CON*3&amp;", "&amp;CON*10&amp;" Damage: "&amp;BLAST_DAMAGE&amp;" Size: "&amp;BLAST_SIZE</f>
        <v>Ranges: 13, 39, 130 Damage: 1d12 Size: L</v>
      </c>
      <c r="E19" s="1">
        <v>0.0</v>
      </c>
      <c r="F19" s="187" t="s">
        <v>179</v>
      </c>
      <c r="H19" s="1">
        <v>0.0</v>
      </c>
      <c r="I19" s="187" t="s">
        <v>180</v>
      </c>
    </row>
    <row r="20">
      <c r="A20" s="1" t="s">
        <v>177</v>
      </c>
      <c r="E20" s="1">
        <v>0.0</v>
      </c>
      <c r="F20" s="187" t="s">
        <v>181</v>
      </c>
      <c r="H20" s="1">
        <v>0.0</v>
      </c>
      <c r="I20" s="187" t="s">
        <v>182</v>
      </c>
    </row>
    <row r="21">
      <c r="A21" s="1" t="s">
        <v>177</v>
      </c>
      <c r="E21" s="1">
        <v>0.0</v>
      </c>
      <c r="F21" s="187" t="s">
        <v>183</v>
      </c>
      <c r="H21" s="1">
        <v>0.0</v>
      </c>
      <c r="I21" s="187" t="s">
        <v>184</v>
      </c>
    </row>
    <row r="22">
      <c r="A22" s="1" t="s">
        <v>177</v>
      </c>
      <c r="E22" s="1">
        <v>0.0</v>
      </c>
      <c r="F22" s="187" t="s">
        <v>185</v>
      </c>
      <c r="H22" s="1">
        <f>IF(ISBLANK(I22), 0,1)</f>
        <v>0</v>
      </c>
      <c r="I22" s="187"/>
    </row>
    <row r="23">
      <c r="A23" s="1" t="s">
        <v>177</v>
      </c>
      <c r="E23" s="198">
        <v>0.0</v>
      </c>
      <c r="F23" s="201" t="s">
        <v>176</v>
      </c>
    </row>
    <row r="25">
      <c r="A25" s="1" t="s">
        <v>186</v>
      </c>
      <c r="B25" s="1">
        <v>0.0</v>
      </c>
      <c r="C25" s="181" t="s">
        <v>187</v>
      </c>
      <c r="D25" s="198" t="str">
        <f>"Damage: "&amp;CLOSE_COMBAT_ATTACK_DAMAGE&amp;IF(CLOSE_COMBAT_ATTACK_CHARISMA,CHA_DAMAGE_MOD,DAMAGE_MOD)&amp;" Size: "&amp;CLOSE_COMBAT_ATTACK_SIZE</f>
        <v>Damage: 1d8+1d2 Size: L</v>
      </c>
      <c r="E25" s="1">
        <v>0.0</v>
      </c>
      <c r="F25" s="187" t="s">
        <v>188</v>
      </c>
      <c r="H25" s="1">
        <v>0.0</v>
      </c>
      <c r="I25" s="187" t="s">
        <v>189</v>
      </c>
      <c r="K25" s="203" t="b">
        <v>0</v>
      </c>
      <c r="L25" s="204" t="s">
        <v>190</v>
      </c>
    </row>
    <row r="26">
      <c r="A26" s="1" t="s">
        <v>186</v>
      </c>
      <c r="D26" s="205" t="s">
        <v>191</v>
      </c>
      <c r="E26" s="1">
        <v>0.0</v>
      </c>
      <c r="F26" s="187" t="s">
        <v>192</v>
      </c>
      <c r="H26" s="1">
        <v>0.0</v>
      </c>
      <c r="I26" s="187" t="s">
        <v>193</v>
      </c>
    </row>
    <row r="27">
      <c r="A27" s="1" t="s">
        <v>186</v>
      </c>
      <c r="E27" s="1">
        <v>0.0</v>
      </c>
      <c r="F27" s="187" t="s">
        <v>194</v>
      </c>
      <c r="H27" s="1">
        <v>0.0</v>
      </c>
      <c r="I27" s="187" t="s">
        <v>195</v>
      </c>
    </row>
    <row r="28">
      <c r="A28" s="1" t="s">
        <v>186</v>
      </c>
      <c r="E28" s="1">
        <v>0.0</v>
      </c>
      <c r="F28" s="187" t="s">
        <v>196</v>
      </c>
      <c r="H28" s="1">
        <f>IF(ISBLANK(I28), 0,1)</f>
        <v>0</v>
      </c>
      <c r="I28" s="206"/>
    </row>
    <row r="29">
      <c r="A29" s="1" t="s">
        <v>186</v>
      </c>
      <c r="E29" s="198">
        <v>0.0</v>
      </c>
      <c r="F29" s="201" t="s">
        <v>176</v>
      </c>
    </row>
    <row r="30">
      <c r="D30" s="207"/>
      <c r="E30" s="207"/>
    </row>
    <row r="31">
      <c r="A31" s="1" t="s">
        <v>197</v>
      </c>
      <c r="B31" s="1">
        <v>0.0</v>
      </c>
      <c r="C31" s="181" t="s">
        <v>198</v>
      </c>
      <c r="E31" s="1">
        <f t="shared" ref="E31:E32" si="1">IF(ISBLANK(F31), 0,1)</f>
        <v>0</v>
      </c>
      <c r="F31" s="208"/>
      <c r="H31" s="1">
        <v>0.0</v>
      </c>
      <c r="I31" s="187" t="s">
        <v>199</v>
      </c>
    </row>
    <row r="32">
      <c r="A32" s="1" t="s">
        <v>197</v>
      </c>
      <c r="C32" s="209"/>
      <c r="E32" s="1">
        <f t="shared" si="1"/>
        <v>0</v>
      </c>
      <c r="F32" s="208"/>
      <c r="H32" s="1">
        <v>0.0</v>
      </c>
      <c r="I32" s="187" t="s">
        <v>200</v>
      </c>
    </row>
    <row r="33">
      <c r="A33" s="1" t="s">
        <v>197</v>
      </c>
      <c r="E33" s="1">
        <v>0.0</v>
      </c>
      <c r="F33" s="187" t="s">
        <v>201</v>
      </c>
      <c r="H33" s="1">
        <v>0.0</v>
      </c>
      <c r="I33" s="187" t="s">
        <v>202</v>
      </c>
    </row>
    <row r="34">
      <c r="A34" s="1" t="s">
        <v>197</v>
      </c>
      <c r="E34" s="1">
        <v>0.0</v>
      </c>
      <c r="F34" s="187" t="s">
        <v>203</v>
      </c>
      <c r="H34" s="1">
        <f>IF(ISBLANK(I34), 0,1)</f>
        <v>0</v>
      </c>
      <c r="I34" s="206"/>
    </row>
    <row r="35">
      <c r="A35" s="1" t="s">
        <v>197</v>
      </c>
      <c r="E35" s="1">
        <v>0.0</v>
      </c>
      <c r="F35" s="187" t="s">
        <v>204</v>
      </c>
    </row>
    <row r="36">
      <c r="A36" s="1" t="s">
        <v>197</v>
      </c>
      <c r="E36" s="1">
        <v>0.0</v>
      </c>
      <c r="F36" s="187" t="s">
        <v>205</v>
      </c>
    </row>
    <row r="37">
      <c r="A37" s="1" t="s">
        <v>197</v>
      </c>
      <c r="E37" s="198">
        <v>0.0</v>
      </c>
      <c r="F37" s="201" t="s">
        <v>176</v>
      </c>
    </row>
    <row r="39">
      <c r="A39" s="1" t="s">
        <v>206</v>
      </c>
      <c r="B39" s="1">
        <v>0.0</v>
      </c>
      <c r="C39" s="181" t="s">
        <v>207</v>
      </c>
      <c r="D39" s="198" t="str">
        <f>"Max Size: "&amp;ROUNDUP(INT/2,0)&amp;" Max Armor: "&amp;ROUNDUP(INT/5,0)</f>
        <v>Max Size: 7 Max Armor: 3</v>
      </c>
      <c r="E39" s="1">
        <v>0.0</v>
      </c>
      <c r="F39" s="187" t="s">
        <v>208</v>
      </c>
      <c r="H39" s="1">
        <v>0.0</v>
      </c>
      <c r="I39" s="187" t="s">
        <v>209</v>
      </c>
    </row>
    <row r="40">
      <c r="A40" s="1" t="s">
        <v>206</v>
      </c>
      <c r="E40" s="1">
        <v>0.0</v>
      </c>
      <c r="F40" s="187" t="s">
        <v>210</v>
      </c>
      <c r="G40" s="210" t="str">
        <f>"Max Distance: "&amp;ROUNDUP(INT/2,0)</f>
        <v>Max Distance: 7</v>
      </c>
      <c r="H40" s="1">
        <v>0.0</v>
      </c>
      <c r="I40" s="187" t="s">
        <v>211</v>
      </c>
    </row>
    <row r="41">
      <c r="A41" s="1" t="s">
        <v>206</v>
      </c>
      <c r="E41" s="1">
        <v>0.0</v>
      </c>
      <c r="F41" s="187" t="s">
        <v>212</v>
      </c>
      <c r="H41" s="1">
        <v>0.0</v>
      </c>
      <c r="I41" s="187" t="s">
        <v>213</v>
      </c>
    </row>
    <row r="42">
      <c r="A42" s="1" t="s">
        <v>206</v>
      </c>
      <c r="E42" s="1">
        <v>0.0</v>
      </c>
      <c r="F42" s="187" t="s">
        <v>214</v>
      </c>
      <c r="G42" s="210" t="str">
        <f>"Max Size(2 PP): "&amp;INT&amp;" (4 PP): "&amp;INT*2</f>
        <v>Max Size(2 PP): 13 (4 PP): 26</v>
      </c>
      <c r="H42" s="1">
        <f>IF(ISBLANK(I42), 0,1)</f>
        <v>0</v>
      </c>
      <c r="I42" s="206"/>
    </row>
    <row r="43">
      <c r="A43" s="1" t="s">
        <v>206</v>
      </c>
      <c r="E43" s="198">
        <v>0.0</v>
      </c>
      <c r="F43" s="201" t="s">
        <v>176</v>
      </c>
    </row>
    <row r="45">
      <c r="A45" s="1" t="s">
        <v>215</v>
      </c>
      <c r="B45" s="1">
        <v>0.0</v>
      </c>
      <c r="C45" s="181" t="s">
        <v>216</v>
      </c>
      <c r="E45" s="1">
        <v>0.0</v>
      </c>
      <c r="F45" s="187" t="s">
        <v>217</v>
      </c>
      <c r="H45" s="1">
        <v>0.0</v>
      </c>
      <c r="I45" s="187" t="s">
        <v>218</v>
      </c>
    </row>
    <row r="46">
      <c r="A46" s="1" t="s">
        <v>215</v>
      </c>
      <c r="E46" s="1">
        <v>0.0</v>
      </c>
      <c r="F46" s="187" t="s">
        <v>219</v>
      </c>
      <c r="H46" s="1">
        <v>0.0</v>
      </c>
      <c r="I46" s="187" t="s">
        <v>220</v>
      </c>
    </row>
    <row r="47">
      <c r="A47" s="1" t="s">
        <v>215</v>
      </c>
      <c r="E47" s="1">
        <v>0.0</v>
      </c>
      <c r="F47" s="187" t="s">
        <v>221</v>
      </c>
      <c r="H47" s="1">
        <v>0.0</v>
      </c>
      <c r="I47" s="187" t="s">
        <v>222</v>
      </c>
    </row>
    <row r="48">
      <c r="A48" s="1" t="s">
        <v>215</v>
      </c>
      <c r="E48" s="1">
        <v>0.0</v>
      </c>
      <c r="F48" s="187" t="s">
        <v>223</v>
      </c>
      <c r="H48" s="1">
        <f>IF(ISBLANK(I48), 0,1)</f>
        <v>0</v>
      </c>
      <c r="I48" s="187"/>
    </row>
    <row r="49">
      <c r="A49" s="1" t="s">
        <v>215</v>
      </c>
      <c r="E49" s="198">
        <v>0.0</v>
      </c>
      <c r="F49" s="201" t="s">
        <v>176</v>
      </c>
    </row>
    <row r="51">
      <c r="A51" s="1" t="s">
        <v>224</v>
      </c>
      <c r="B51" s="1">
        <v>0.0</v>
      </c>
      <c r="C51" s="181" t="s">
        <v>225</v>
      </c>
      <c r="D51" s="210" t="str">
        <f>"Max Distance: "&amp;ROUNDUP(CON/2,0)</f>
        <v>Max Distance: 7</v>
      </c>
      <c r="E51" s="1">
        <v>0.0</v>
      </c>
      <c r="F51" s="187" t="s">
        <v>226</v>
      </c>
      <c r="H51" s="1">
        <v>0.0</v>
      </c>
      <c r="I51" s="187" t="s">
        <v>227</v>
      </c>
    </row>
    <row r="52">
      <c r="A52" s="1" t="s">
        <v>224</v>
      </c>
      <c r="E52" s="1">
        <v>0.0</v>
      </c>
      <c r="F52" s="187" t="s">
        <v>228</v>
      </c>
      <c r="H52" s="1">
        <v>0.0</v>
      </c>
      <c r="I52" s="187" t="s">
        <v>229</v>
      </c>
    </row>
    <row r="53">
      <c r="A53" s="1" t="s">
        <v>224</v>
      </c>
      <c r="E53" s="1">
        <v>0.0</v>
      </c>
      <c r="F53" s="187" t="s">
        <v>230</v>
      </c>
      <c r="H53" s="1">
        <v>0.0</v>
      </c>
      <c r="I53" s="187" t="s">
        <v>231</v>
      </c>
    </row>
    <row r="54">
      <c r="A54" s="1" t="s">
        <v>224</v>
      </c>
      <c r="E54" s="1">
        <v>0.0</v>
      </c>
      <c r="F54" s="187" t="s">
        <v>232</v>
      </c>
      <c r="H54" s="1">
        <f>IF(ISBLANK(I54), 0,1)</f>
        <v>0</v>
      </c>
      <c r="I54" s="187"/>
    </row>
    <row r="55">
      <c r="A55" s="1" t="s">
        <v>224</v>
      </c>
      <c r="E55" s="198">
        <v>0.0</v>
      </c>
      <c r="F55" s="201" t="s">
        <v>176</v>
      </c>
    </row>
    <row r="57">
      <c r="A57" s="1" t="s">
        <v>233</v>
      </c>
      <c r="B57" s="1">
        <v>0.0</v>
      </c>
      <c r="C57" s="181" t="s">
        <v>234</v>
      </c>
      <c r="D57" s="1" t="s">
        <v>235</v>
      </c>
      <c r="E57" s="1">
        <v>0.0</v>
      </c>
      <c r="F57" s="187" t="s">
        <v>236</v>
      </c>
      <c r="H57" s="1">
        <v>0.0</v>
      </c>
      <c r="I57" s="187" t="s">
        <v>237</v>
      </c>
    </row>
    <row r="58">
      <c r="A58" s="1" t="s">
        <v>233</v>
      </c>
      <c r="E58" s="1">
        <v>0.0</v>
      </c>
      <c r="F58" s="187" t="s">
        <v>238</v>
      </c>
      <c r="H58" s="1">
        <v>0.0</v>
      </c>
      <c r="I58" s="187" t="s">
        <v>239</v>
      </c>
      <c r="J58" s="1" t="s">
        <v>240</v>
      </c>
    </row>
    <row r="59">
      <c r="A59" s="1" t="s">
        <v>233</v>
      </c>
      <c r="E59" s="1">
        <v>0.0</v>
      </c>
      <c r="F59" s="187" t="s">
        <v>241</v>
      </c>
      <c r="H59" s="1">
        <v>0.0</v>
      </c>
      <c r="I59" s="187" t="s">
        <v>242</v>
      </c>
    </row>
    <row r="60">
      <c r="A60" s="1" t="s">
        <v>233</v>
      </c>
      <c r="E60" s="1">
        <v>0.0</v>
      </c>
      <c r="F60" s="187" t="s">
        <v>243</v>
      </c>
      <c r="H60" s="1">
        <f>IF(ISBLANK(I60), 0,1)</f>
        <v>0</v>
      </c>
      <c r="I60" s="187"/>
    </row>
    <row r="61">
      <c r="A61" s="1" t="s">
        <v>233</v>
      </c>
      <c r="E61" s="198">
        <v>0.0</v>
      </c>
      <c r="F61" s="201" t="s">
        <v>176</v>
      </c>
    </row>
    <row r="63">
      <c r="A63" s="1" t="s">
        <v>244</v>
      </c>
      <c r="B63" s="1">
        <v>0.0</v>
      </c>
      <c r="C63" s="181" t="s">
        <v>245</v>
      </c>
      <c r="D63" s="198" t="str">
        <f>"Max Size: "&amp;ROUNDUP(INT/2,0)&amp;" Move: "&amp;POW&amp;" Intensity: "&amp;ROUNDUP(INT/5,0)</f>
        <v>Max Size: 7 Move: 13 Intensity: 3</v>
      </c>
      <c r="E63" s="1">
        <v>0.0</v>
      </c>
      <c r="F63" s="187" t="s">
        <v>246</v>
      </c>
      <c r="G63" s="198" t="str">
        <f>"Base Size: "&amp;ROUNDUP(INT/5,0)</f>
        <v>Base Size: 3</v>
      </c>
      <c r="H63" s="1">
        <v>0.0</v>
      </c>
      <c r="I63" s="187" t="s">
        <v>247</v>
      </c>
    </row>
    <row r="64">
      <c r="A64" s="1" t="s">
        <v>244</v>
      </c>
      <c r="E64" s="1">
        <v>0.0</v>
      </c>
      <c r="F64" s="187" t="s">
        <v>248</v>
      </c>
      <c r="G64" s="211" t="str">
        <f>"Move: "&amp;INT</f>
        <v>Move: 13</v>
      </c>
      <c r="H64" s="1">
        <v>0.0</v>
      </c>
      <c r="I64" s="187" t="s">
        <v>249</v>
      </c>
    </row>
    <row r="65">
      <c r="A65" s="1" t="s">
        <v>244</v>
      </c>
      <c r="E65" s="1">
        <v>0.0</v>
      </c>
      <c r="F65" s="187" t="s">
        <v>250</v>
      </c>
      <c r="G65" s="210" t="str">
        <f>"Max Size(2PP): "&amp;INT&amp;" (4PP): "&amp;INT*2</f>
        <v>Max Size(2PP): 13 (4PP): 26</v>
      </c>
      <c r="H65" s="1">
        <v>0.0</v>
      </c>
      <c r="I65" s="187" t="s">
        <v>251</v>
      </c>
    </row>
    <row r="66">
      <c r="A66" s="1" t="s">
        <v>244</v>
      </c>
      <c r="E66" s="1">
        <v>0.0</v>
      </c>
      <c r="F66" s="187" t="s">
        <v>252</v>
      </c>
      <c r="H66" s="1">
        <f>IF(ISBLANK(I66), 0,1)</f>
        <v>0</v>
      </c>
      <c r="I66" s="187"/>
    </row>
    <row r="67">
      <c r="A67" s="1" t="s">
        <v>244</v>
      </c>
      <c r="E67" s="198">
        <v>0.0</v>
      </c>
      <c r="F67" s="201" t="s">
        <v>176</v>
      </c>
    </row>
    <row r="69">
      <c r="A69" s="1" t="s">
        <v>253</v>
      </c>
      <c r="B69" s="1">
        <v>0.0</v>
      </c>
      <c r="C69" s="181" t="s">
        <v>254</v>
      </c>
      <c r="D69" s="210" t="str">
        <f>"Range: "&amp;CHA</f>
        <v>Range: 13</v>
      </c>
      <c r="E69" s="1">
        <v>0.0</v>
      </c>
      <c r="F69" s="187" t="s">
        <v>255</v>
      </c>
      <c r="H69" s="1">
        <v>0.0</v>
      </c>
      <c r="I69" s="187" t="s">
        <v>256</v>
      </c>
    </row>
    <row r="70">
      <c r="A70" s="1" t="s">
        <v>253</v>
      </c>
      <c r="E70" s="1">
        <v>0.0</v>
      </c>
      <c r="F70" s="187" t="s">
        <v>257</v>
      </c>
      <c r="H70" s="1">
        <v>0.0</v>
      </c>
      <c r="I70" s="187" t="s">
        <v>258</v>
      </c>
    </row>
    <row r="71">
      <c r="A71" s="1" t="s">
        <v>253</v>
      </c>
      <c r="E71" s="1">
        <v>0.0</v>
      </c>
      <c r="F71" s="187" t="s">
        <v>259</v>
      </c>
      <c r="G71" s="211" t="str">
        <f>"Range: "&amp;CHA*2&amp;"km"</f>
        <v>Range: 26km</v>
      </c>
      <c r="H71" s="1">
        <v>0.0</v>
      </c>
      <c r="I71" s="187" t="s">
        <v>260</v>
      </c>
    </row>
    <row r="72">
      <c r="A72" s="1" t="s">
        <v>253</v>
      </c>
      <c r="E72" s="1">
        <v>0.0</v>
      </c>
      <c r="F72" s="187" t="s">
        <v>261</v>
      </c>
      <c r="G72" s="211" t="str">
        <f>"Radius: "&amp;CHA</f>
        <v>Radius: 13</v>
      </c>
      <c r="H72" s="1">
        <f>IF(ISBLANK(I72), 0,1)</f>
        <v>0</v>
      </c>
      <c r="I72" s="187"/>
    </row>
    <row r="73">
      <c r="A73" s="1" t="s">
        <v>253</v>
      </c>
      <c r="E73" s="198">
        <v>0.0</v>
      </c>
      <c r="F73" s="201" t="s">
        <v>176</v>
      </c>
    </row>
    <row r="75">
      <c r="A75" s="1" t="s">
        <v>262</v>
      </c>
      <c r="B75" s="1">
        <v>0.0</v>
      </c>
      <c r="C75" s="181" t="s">
        <v>263</v>
      </c>
      <c r="D75" s="198" t="str">
        <f>"Damage: "&amp;EF_DAMAGE&amp;" Unarmed Bonus Damage: "&amp;EF_UNARMED_BONUS_DAMAGE</f>
        <v>Damage: 1d6 Unarmed Bonus Damage: +2</v>
      </c>
      <c r="E75" s="1">
        <v>0.0</v>
      </c>
      <c r="F75" s="187" t="s">
        <v>264</v>
      </c>
      <c r="H75" s="1">
        <v>0.0</v>
      </c>
      <c r="I75" s="187" t="s">
        <v>265</v>
      </c>
    </row>
    <row r="76">
      <c r="A76" s="1" t="s">
        <v>262</v>
      </c>
      <c r="E76" s="1">
        <v>0.0</v>
      </c>
      <c r="F76" s="187" t="s">
        <v>266</v>
      </c>
      <c r="H76" s="1">
        <v>0.0</v>
      </c>
      <c r="I76" s="187" t="s">
        <v>267</v>
      </c>
    </row>
    <row r="77">
      <c r="A77" s="1" t="s">
        <v>262</v>
      </c>
      <c r="E77" s="1">
        <v>0.0</v>
      </c>
      <c r="F77" s="187" t="s">
        <v>268</v>
      </c>
      <c r="H77" s="1">
        <v>0.0</v>
      </c>
      <c r="I77" s="187" t="s">
        <v>269</v>
      </c>
    </row>
    <row r="78">
      <c r="A78" s="1" t="s">
        <v>262</v>
      </c>
      <c r="E78" s="1">
        <v>0.0</v>
      </c>
      <c r="F78" s="187" t="s">
        <v>270</v>
      </c>
      <c r="H78" s="1">
        <f>IF(ISBLANK(I78), 0,1)</f>
        <v>0</v>
      </c>
      <c r="I78" s="187"/>
    </row>
    <row r="79">
      <c r="A79" s="1" t="s">
        <v>262</v>
      </c>
      <c r="E79" s="198">
        <v>0.0</v>
      </c>
      <c r="F79" s="201" t="s">
        <v>176</v>
      </c>
    </row>
    <row r="81">
      <c r="A81" s="1" t="s">
        <v>271</v>
      </c>
      <c r="B81" s="1">
        <v>0.0</v>
      </c>
      <c r="C81" s="181" t="s">
        <v>272</v>
      </c>
      <c r="D81" s="1" t="s">
        <v>235</v>
      </c>
      <c r="E81" s="1">
        <v>0.0</v>
      </c>
      <c r="F81" s="187" t="s">
        <v>273</v>
      </c>
      <c r="H81" s="1">
        <v>0.0</v>
      </c>
      <c r="I81" s="187" t="s">
        <v>274</v>
      </c>
    </row>
    <row r="82">
      <c r="A82" s="1" t="s">
        <v>271</v>
      </c>
      <c r="E82" s="1">
        <v>0.0</v>
      </c>
      <c r="F82" s="187" t="s">
        <v>275</v>
      </c>
      <c r="H82" s="1">
        <v>0.0</v>
      </c>
      <c r="I82" s="187" t="s">
        <v>276</v>
      </c>
    </row>
    <row r="83">
      <c r="A83" s="1" t="s">
        <v>271</v>
      </c>
      <c r="E83" s="1">
        <v>0.0</v>
      </c>
      <c r="F83" s="187" t="s">
        <v>277</v>
      </c>
      <c r="H83" s="1">
        <v>0.0</v>
      </c>
      <c r="I83" s="187" t="s">
        <v>278</v>
      </c>
    </row>
    <row r="84">
      <c r="A84" s="1" t="s">
        <v>271</v>
      </c>
      <c r="E84" s="1">
        <v>0.0</v>
      </c>
      <c r="F84" s="187" t="s">
        <v>279</v>
      </c>
      <c r="H84" s="1">
        <f>IF(ISBLANK(I84), 0,1)</f>
        <v>0</v>
      </c>
      <c r="I84" s="187"/>
    </row>
    <row r="85">
      <c r="A85" s="1" t="s">
        <v>271</v>
      </c>
      <c r="E85" s="1">
        <v>0.0</v>
      </c>
      <c r="F85" s="201" t="s">
        <v>176</v>
      </c>
    </row>
    <row r="87">
      <c r="A87" s="1" t="s">
        <v>280</v>
      </c>
      <c r="B87" s="1">
        <v>0.0</v>
      </c>
      <c r="C87" s="181" t="s">
        <v>281</v>
      </c>
      <c r="D87" s="1" t="s">
        <v>235</v>
      </c>
      <c r="E87" s="1">
        <v>0.0</v>
      </c>
      <c r="F87" s="187" t="s">
        <v>282</v>
      </c>
      <c r="H87" s="1">
        <v>0.0</v>
      </c>
      <c r="I87" s="187" t="s">
        <v>283</v>
      </c>
    </row>
    <row r="88">
      <c r="A88" s="1" t="s">
        <v>280</v>
      </c>
      <c r="E88" s="1">
        <v>0.0</v>
      </c>
      <c r="F88" s="187" t="s">
        <v>284</v>
      </c>
      <c r="H88" s="1">
        <v>0.0</v>
      </c>
      <c r="I88" s="187" t="s">
        <v>285</v>
      </c>
    </row>
    <row r="89">
      <c r="A89" s="1" t="s">
        <v>280</v>
      </c>
      <c r="E89" s="1">
        <v>0.0</v>
      </c>
      <c r="F89" s="187" t="s">
        <v>286</v>
      </c>
      <c r="H89" s="1">
        <v>0.0</v>
      </c>
      <c r="I89" s="187" t="s">
        <v>287</v>
      </c>
    </row>
    <row r="90">
      <c r="A90" s="1" t="s">
        <v>280</v>
      </c>
      <c r="E90" s="1">
        <v>0.0</v>
      </c>
      <c r="F90" s="187" t="s">
        <v>288</v>
      </c>
      <c r="G90" s="198" t="str">
        <f>"Radius: "&amp;ROUNDUP(DEX/2,0)&amp;" Lifts Size: "&amp;DEX</f>
        <v>Radius: 6 Lifts Size: 12</v>
      </c>
      <c r="H90" s="1">
        <f>IF(ISBLANK(I90), 0,1)</f>
        <v>0</v>
      </c>
      <c r="I90" s="187"/>
    </row>
    <row r="91">
      <c r="A91" s="1" t="s">
        <v>280</v>
      </c>
      <c r="E91" s="1">
        <v>0.0</v>
      </c>
      <c r="F91" s="201" t="s">
        <v>176</v>
      </c>
    </row>
    <row r="93">
      <c r="A93" s="1" t="s">
        <v>289</v>
      </c>
      <c r="B93" s="1">
        <v>0.0</v>
      </c>
      <c r="C93" s="181" t="s">
        <v>290</v>
      </c>
      <c r="D93" s="1" t="str">
        <f>"(Autocalculated) Normal Lift: "&amp;POW(2,ROUNDUP((STR+CON)/12,0)-1)*500/IF(FOCUSED_STRENGTH,2,1)&amp;"kgs"</f>
        <v>(Autocalculated) Normal Lift: 2000kgs</v>
      </c>
      <c r="E93" s="1">
        <v>0.0</v>
      </c>
      <c r="F93" s="187" t="s">
        <v>291</v>
      </c>
      <c r="H93" s="1">
        <v>0.0</v>
      </c>
      <c r="I93" s="187" t="s">
        <v>292</v>
      </c>
    </row>
    <row r="94">
      <c r="A94" s="1" t="s">
        <v>289</v>
      </c>
      <c r="E94" s="1">
        <v>0.0</v>
      </c>
      <c r="F94" s="187" t="s">
        <v>293</v>
      </c>
      <c r="G94" s="198" t="str">
        <f>"Radius: "&amp;ROUNDUP(STR/2,0)</f>
        <v>Radius: 7</v>
      </c>
      <c r="H94" s="1">
        <v>0.0</v>
      </c>
      <c r="I94" s="187" t="s">
        <v>294</v>
      </c>
      <c r="J94" s="1" t="s">
        <v>235</v>
      </c>
    </row>
    <row r="95">
      <c r="A95" s="1" t="s">
        <v>289</v>
      </c>
      <c r="E95" s="1">
        <v>0.0</v>
      </c>
      <c r="F95" s="187" t="s">
        <v>295</v>
      </c>
      <c r="H95" s="1">
        <v>0.0</v>
      </c>
      <c r="I95" s="187" t="s">
        <v>296</v>
      </c>
    </row>
    <row r="96">
      <c r="A96" s="1" t="s">
        <v>289</v>
      </c>
      <c r="E96" s="1">
        <v>0.0</v>
      </c>
      <c r="F96" s="187" t="s">
        <v>297</v>
      </c>
      <c r="G96" s="198" t="str">
        <f>"Horizontal: "&amp;ROUNDUP(ATHLETICS/5)&amp;" Vertical: "&amp;ROUNDUP(ATHLETICS/10)</f>
        <v>Horizontal: 5 Vertical: 3</v>
      </c>
      <c r="H96" s="1">
        <f>IF(ISBLANK(I96), 0,1)</f>
        <v>0</v>
      </c>
      <c r="I96" s="187"/>
    </row>
    <row r="97">
      <c r="A97" s="1" t="s">
        <v>289</v>
      </c>
      <c r="E97" s="1">
        <v>0.0</v>
      </c>
      <c r="F97" s="201" t="s">
        <v>176</v>
      </c>
    </row>
    <row r="99">
      <c r="A99" s="1" t="s">
        <v>298</v>
      </c>
      <c r="B99" s="1">
        <v>0.0</v>
      </c>
      <c r="C99" s="181" t="s">
        <v>299</v>
      </c>
      <c r="D99" s="1" t="s">
        <v>235</v>
      </c>
    </row>
    <row r="100">
      <c r="F100" s="212"/>
      <c r="I100" s="212"/>
    </row>
    <row r="101">
      <c r="A101" s="1" t="s">
        <v>300</v>
      </c>
      <c r="B101" s="1">
        <v>0.0</v>
      </c>
      <c r="C101" s="181" t="s">
        <v>301</v>
      </c>
      <c r="D101" s="198" t="str">
        <f>"Range: "&amp;DEX&amp;" Locations: "&amp;IF(ENTRAP_SINGLE,"1", "1d3")&amp;" HP: "&amp;ROUNDUP(DEX/IF(ENTRAP_FRAGILE,5,3),0)</f>
        <v>Range: 12 Locations: 1d3 HP: 4</v>
      </c>
      <c r="E101" s="1">
        <v>0.0</v>
      </c>
      <c r="F101" s="186" t="s">
        <v>302</v>
      </c>
      <c r="H101" s="1">
        <v>0.0</v>
      </c>
      <c r="I101" s="186" t="s">
        <v>303</v>
      </c>
    </row>
    <row r="102">
      <c r="A102" s="1" t="s">
        <v>300</v>
      </c>
      <c r="E102" s="1">
        <v>0.0</v>
      </c>
      <c r="F102" s="187" t="s">
        <v>304</v>
      </c>
      <c r="G102" s="198" t="str">
        <f>"(2PP) HP: "&amp;ROUNDUP(DEX/2,0)</f>
        <v>(2PP) HP: 6</v>
      </c>
      <c r="H102" s="1">
        <v>0.0</v>
      </c>
      <c r="I102" s="187" t="s">
        <v>305</v>
      </c>
    </row>
    <row r="103">
      <c r="A103" s="1" t="s">
        <v>300</v>
      </c>
      <c r="E103" s="1">
        <v>0.0</v>
      </c>
      <c r="F103" s="187" t="s">
        <v>306</v>
      </c>
      <c r="H103" s="1">
        <v>0.0</v>
      </c>
      <c r="I103" s="187" t="s">
        <v>307</v>
      </c>
    </row>
    <row r="104">
      <c r="A104" s="1" t="s">
        <v>300</v>
      </c>
      <c r="E104" s="1">
        <v>0.0</v>
      </c>
      <c r="F104" s="187" t="s">
        <v>308</v>
      </c>
      <c r="G104" s="198" t="str">
        <f>"(3PP) Radius: "&amp;ROUNDUP(DEX/5,0)</f>
        <v>(3PP) Radius: 3</v>
      </c>
      <c r="H104" s="1">
        <f>IF(ISBLANK(I104), 0,1)</f>
        <v>0</v>
      </c>
      <c r="I104" s="187"/>
    </row>
    <row r="105">
      <c r="A105" s="1" t="s">
        <v>300</v>
      </c>
      <c r="E105" s="1">
        <v>0.0</v>
      </c>
      <c r="F105" s="201" t="s">
        <v>176</v>
      </c>
    </row>
    <row r="107">
      <c r="A107" s="1" t="s">
        <v>309</v>
      </c>
      <c r="B107" s="1">
        <v>0.0</v>
      </c>
      <c r="C107" s="181" t="s">
        <v>310</v>
      </c>
      <c r="D107" s="198" t="str">
        <f>"Speed: "&amp;ROUNDUP(CON/IF(FLIGHT_LEVITATE,2,1),0)&amp;" Max Altitude: "&amp;CON*500&amp;"m"</f>
        <v>Speed: 13 Max Altitude: 6500m</v>
      </c>
      <c r="E107" s="1">
        <v>0.0</v>
      </c>
      <c r="F107" s="187" t="s">
        <v>311</v>
      </c>
      <c r="G107" s="198" t="str">
        <f>"(1PP) Speed: "&amp;ROUNDUP(CON/IF(FLIGHT_LEVITATE,2,1),0)*2</f>
        <v>(1PP) Speed: 26</v>
      </c>
      <c r="H107" s="1">
        <v>0.0</v>
      </c>
      <c r="I107" s="187" t="s">
        <v>312</v>
      </c>
    </row>
    <row r="108">
      <c r="A108" s="1" t="s">
        <v>309</v>
      </c>
      <c r="E108" s="1">
        <v>0.0</v>
      </c>
      <c r="F108" s="187" t="s">
        <v>313</v>
      </c>
      <c r="H108" s="1">
        <v>0.0</v>
      </c>
      <c r="I108" s="187" t="s">
        <v>314</v>
      </c>
      <c r="J108" s="1" t="s">
        <v>235</v>
      </c>
    </row>
    <row r="109">
      <c r="A109" s="1" t="s">
        <v>309</v>
      </c>
      <c r="E109" s="1">
        <v>0.0</v>
      </c>
      <c r="F109" s="187" t="s">
        <v>315</v>
      </c>
      <c r="H109" s="1">
        <v>0.0</v>
      </c>
      <c r="I109" s="187" t="s">
        <v>316</v>
      </c>
    </row>
    <row r="110">
      <c r="A110" s="1" t="s">
        <v>309</v>
      </c>
      <c r="E110" s="1">
        <v>0.0</v>
      </c>
      <c r="F110" s="187" t="s">
        <v>317</v>
      </c>
      <c r="H110" s="1">
        <f>IF(ISBLANK(I110), 0,1)</f>
        <v>0</v>
      </c>
      <c r="I110" s="187"/>
    </row>
    <row r="111">
      <c r="A111" s="1" t="s">
        <v>309</v>
      </c>
      <c r="E111" s="1">
        <v>0.0</v>
      </c>
      <c r="F111" s="201" t="s">
        <v>176</v>
      </c>
    </row>
    <row r="113">
      <c r="A113" s="1" t="s">
        <v>318</v>
      </c>
      <c r="B113" s="1">
        <v>0.0</v>
      </c>
      <c r="C113" s="181" t="s">
        <v>319</v>
      </c>
      <c r="D113" s="210" t="str">
        <f>"Speed: "&amp;DEX</f>
        <v>Speed: 12</v>
      </c>
      <c r="E113" s="1">
        <v>0.0</v>
      </c>
      <c r="F113" s="187" t="s">
        <v>320</v>
      </c>
      <c r="G113" s="210" t="str">
        <f>"Launch Height/Distance: "&amp;DEX</f>
        <v>Launch Height/Distance: 12</v>
      </c>
      <c r="H113" s="1">
        <v>0.0</v>
      </c>
      <c r="I113" s="187" t="s">
        <v>321</v>
      </c>
    </row>
    <row r="114">
      <c r="A114" s="1" t="s">
        <v>318</v>
      </c>
      <c r="E114" s="1">
        <v>0.0</v>
      </c>
      <c r="F114" s="201" t="s">
        <v>176</v>
      </c>
      <c r="H114" s="1">
        <f>IF(ISBLANK(I114), 0,1)</f>
        <v>0</v>
      </c>
      <c r="I114" s="187"/>
    </row>
    <row r="116">
      <c r="A116" s="1" t="s">
        <v>322</v>
      </c>
      <c r="B116" s="1">
        <v>0.0</v>
      </c>
      <c r="C116" s="181" t="s">
        <v>323</v>
      </c>
      <c r="D116" s="198" t="str">
        <f>"Radius: "&amp;ROUNDUP(INT/3,0)&amp;" Armor: "&amp;ROUNDUP((CON+INT)/4,0)</f>
        <v>Radius: 5 Armor: 7</v>
      </c>
      <c r="E116" s="1">
        <v>0.0</v>
      </c>
      <c r="F116" s="187" t="s">
        <v>324</v>
      </c>
      <c r="H116" s="1">
        <v>0.0</v>
      </c>
      <c r="I116" s="187" t="s">
        <v>325</v>
      </c>
    </row>
    <row r="117">
      <c r="A117" s="1" t="s">
        <v>322</v>
      </c>
      <c r="E117" s="1">
        <v>0.0</v>
      </c>
      <c r="F117" s="187" t="s">
        <v>326</v>
      </c>
      <c r="H117" s="1">
        <v>0.0</v>
      </c>
      <c r="I117" s="187" t="s">
        <v>327</v>
      </c>
    </row>
    <row r="118">
      <c r="A118" s="1" t="s">
        <v>322</v>
      </c>
      <c r="E118" s="1">
        <v>0.0</v>
      </c>
      <c r="F118" s="187" t="s">
        <v>328</v>
      </c>
      <c r="H118" s="1">
        <v>0.0</v>
      </c>
      <c r="I118" s="187" t="s">
        <v>329</v>
      </c>
    </row>
    <row r="119">
      <c r="A119" s="1" t="s">
        <v>322</v>
      </c>
      <c r="E119" s="1">
        <v>0.0</v>
      </c>
      <c r="F119" s="187" t="s">
        <v>330</v>
      </c>
      <c r="H119" s="1">
        <f>IF(ISBLANK(I119), 0,1)</f>
        <v>0</v>
      </c>
      <c r="I119" s="187"/>
    </row>
    <row r="120">
      <c r="A120" s="1" t="s">
        <v>322</v>
      </c>
      <c r="E120" s="1">
        <v>0.0</v>
      </c>
      <c r="F120" s="201" t="s">
        <v>176</v>
      </c>
    </row>
    <row r="122">
      <c r="A122" s="1" t="s">
        <v>331</v>
      </c>
      <c r="B122" s="1">
        <v>0.0</v>
      </c>
      <c r="C122" s="181" t="s">
        <v>332</v>
      </c>
      <c r="E122" s="1">
        <v>0.0</v>
      </c>
      <c r="F122" s="187" t="s">
        <v>333</v>
      </c>
      <c r="H122" s="1">
        <v>0.0</v>
      </c>
      <c r="I122" s="187" t="s">
        <v>265</v>
      </c>
    </row>
    <row r="123">
      <c r="A123" s="1" t="s">
        <v>331</v>
      </c>
      <c r="E123" s="1">
        <v>0.0</v>
      </c>
      <c r="F123" s="187" t="s">
        <v>334</v>
      </c>
      <c r="H123" s="1">
        <v>0.0</v>
      </c>
      <c r="I123" s="187" t="s">
        <v>335</v>
      </c>
    </row>
    <row r="124">
      <c r="A124" s="1" t="s">
        <v>331</v>
      </c>
      <c r="E124" s="1">
        <v>0.0</v>
      </c>
      <c r="F124" s="187" t="s">
        <v>336</v>
      </c>
      <c r="H124" s="1">
        <v>0.0</v>
      </c>
      <c r="I124" s="187" t="s">
        <v>337</v>
      </c>
    </row>
    <row r="125">
      <c r="A125" s="1" t="s">
        <v>331</v>
      </c>
      <c r="E125" s="1">
        <v>0.0</v>
      </c>
      <c r="F125" s="187" t="s">
        <v>338</v>
      </c>
      <c r="H125" s="1">
        <f>IF(ISBLANK(I125), 0,1)</f>
        <v>0</v>
      </c>
      <c r="I125" s="187"/>
    </row>
    <row r="126">
      <c r="A126" s="1" t="s">
        <v>331</v>
      </c>
      <c r="E126" s="1">
        <v>0.0</v>
      </c>
      <c r="F126" s="201" t="s">
        <v>176</v>
      </c>
    </row>
    <row r="128">
      <c r="A128" s="1" t="s">
        <v>339</v>
      </c>
      <c r="B128" s="1">
        <v>0.0</v>
      </c>
      <c r="C128" s="181" t="s">
        <v>340</v>
      </c>
      <c r="E128" s="1">
        <f>IF(ISBLANK(F128), 0,1)</f>
        <v>0</v>
      </c>
      <c r="F128" s="208"/>
      <c r="H128" s="1">
        <v>0.0</v>
      </c>
      <c r="I128" s="187" t="s">
        <v>341</v>
      </c>
    </row>
    <row r="129">
      <c r="A129" s="1" t="s">
        <v>339</v>
      </c>
      <c r="C129" s="209"/>
      <c r="E129" s="1">
        <v>0.0</v>
      </c>
      <c r="F129" s="187" t="s">
        <v>342</v>
      </c>
      <c r="H129" s="1">
        <v>0.0</v>
      </c>
      <c r="I129" s="187" t="s">
        <v>343</v>
      </c>
    </row>
    <row r="130">
      <c r="A130" s="1" t="s">
        <v>339</v>
      </c>
      <c r="E130" s="1">
        <v>0.0</v>
      </c>
      <c r="F130" s="187" t="s">
        <v>344</v>
      </c>
      <c r="H130" s="1">
        <v>0.0</v>
      </c>
      <c r="I130" s="187" t="s">
        <v>345</v>
      </c>
    </row>
    <row r="131">
      <c r="A131" s="1" t="s">
        <v>339</v>
      </c>
      <c r="E131" s="1">
        <v>0.0</v>
      </c>
      <c r="F131" s="187" t="s">
        <v>346</v>
      </c>
      <c r="H131" s="1">
        <f>IF(ISBLANK(I131), 0,1)</f>
        <v>0</v>
      </c>
      <c r="I131" s="187"/>
    </row>
    <row r="132">
      <c r="A132" s="1" t="s">
        <v>339</v>
      </c>
      <c r="E132" s="1">
        <v>0.0</v>
      </c>
      <c r="F132" s="201" t="s">
        <v>176</v>
      </c>
    </row>
    <row r="134">
      <c r="A134" s="1" t="s">
        <v>347</v>
      </c>
      <c r="B134" s="1">
        <v>0.0</v>
      </c>
      <c r="C134" s="181" t="s">
        <v>348</v>
      </c>
      <c r="E134" s="1">
        <v>0.0</v>
      </c>
      <c r="F134" s="187" t="s">
        <v>349</v>
      </c>
      <c r="H134" s="1">
        <v>0.0</v>
      </c>
      <c r="I134" s="187" t="s">
        <v>350</v>
      </c>
    </row>
    <row r="135">
      <c r="A135" s="1" t="s">
        <v>347</v>
      </c>
      <c r="E135" s="1">
        <v>0.0</v>
      </c>
      <c r="F135" s="187" t="s">
        <v>351</v>
      </c>
      <c r="H135" s="1">
        <v>0.0</v>
      </c>
      <c r="I135" s="187" t="s">
        <v>352</v>
      </c>
    </row>
    <row r="136">
      <c r="A136" s="1" t="s">
        <v>347</v>
      </c>
      <c r="E136" s="1">
        <v>0.0</v>
      </c>
      <c r="F136" s="187" t="s">
        <v>353</v>
      </c>
      <c r="H136" s="1">
        <v>0.0</v>
      </c>
      <c r="I136" s="187" t="s">
        <v>354</v>
      </c>
    </row>
    <row r="137">
      <c r="A137" s="1" t="s">
        <v>347</v>
      </c>
      <c r="E137" s="1">
        <v>0.0</v>
      </c>
      <c r="F137" s="187" t="s">
        <v>355</v>
      </c>
      <c r="H137" s="1">
        <f>IF(ISBLANK(I137), 0,1)</f>
        <v>0</v>
      </c>
      <c r="I137" s="187"/>
    </row>
    <row r="138">
      <c r="A138" s="1" t="s">
        <v>347</v>
      </c>
      <c r="E138" s="1">
        <v>0.0</v>
      </c>
      <c r="F138" s="201" t="s">
        <v>176</v>
      </c>
    </row>
    <row r="140">
      <c r="A140" s="1" t="s">
        <v>356</v>
      </c>
      <c r="B140" s="1">
        <v>0.0</v>
      </c>
      <c r="C140" s="181" t="s">
        <v>357</v>
      </c>
      <c r="E140" s="1">
        <v>0.0</v>
      </c>
      <c r="F140" s="187" t="s">
        <v>358</v>
      </c>
      <c r="H140" s="1">
        <f>IF(ISBLANK(I140), 0,1)</f>
        <v>0</v>
      </c>
      <c r="I140" s="187"/>
    </row>
    <row r="141">
      <c r="A141" s="1" t="s">
        <v>356</v>
      </c>
      <c r="E141" s="1">
        <v>0.0</v>
      </c>
      <c r="F141" s="187" t="s">
        <v>359</v>
      </c>
    </row>
    <row r="142">
      <c r="A142" s="1" t="s">
        <v>356</v>
      </c>
      <c r="E142" s="1">
        <v>0.0</v>
      </c>
      <c r="F142" s="201" t="s">
        <v>176</v>
      </c>
    </row>
    <row r="144">
      <c r="A144" s="1" t="s">
        <v>360</v>
      </c>
      <c r="B144" s="1">
        <v>0.0</v>
      </c>
      <c r="C144" s="181" t="s">
        <v>361</v>
      </c>
      <c r="E144" s="1">
        <v>0.0</v>
      </c>
      <c r="F144" s="187" t="s">
        <v>362</v>
      </c>
      <c r="H144" s="1">
        <v>0.0</v>
      </c>
      <c r="I144" s="187" t="s">
        <v>363</v>
      </c>
    </row>
    <row r="145">
      <c r="A145" s="1" t="s">
        <v>360</v>
      </c>
      <c r="E145" s="1">
        <v>0.0</v>
      </c>
      <c r="F145" s="187" t="s">
        <v>364</v>
      </c>
      <c r="H145" s="1">
        <v>0.0</v>
      </c>
      <c r="I145" s="187" t="s">
        <v>365</v>
      </c>
    </row>
    <row r="146">
      <c r="A146" s="1" t="s">
        <v>360</v>
      </c>
      <c r="E146" s="1">
        <v>0.0</v>
      </c>
      <c r="F146" s="187" t="s">
        <v>366</v>
      </c>
      <c r="H146" s="1">
        <v>0.0</v>
      </c>
      <c r="I146" s="187" t="s">
        <v>367</v>
      </c>
    </row>
    <row r="147">
      <c r="A147" s="1" t="s">
        <v>360</v>
      </c>
      <c r="E147" s="1">
        <v>0.0</v>
      </c>
      <c r="F147" s="187" t="s">
        <v>368</v>
      </c>
      <c r="H147" s="1">
        <f>IF(ISBLANK(I147), 0,1)</f>
        <v>0</v>
      </c>
      <c r="I147" s="187"/>
    </row>
    <row r="148">
      <c r="A148" s="1" t="s">
        <v>360</v>
      </c>
      <c r="E148" s="1">
        <v>0.0</v>
      </c>
      <c r="F148" s="201" t="s">
        <v>176</v>
      </c>
    </row>
    <row r="150">
      <c r="A150" s="1" t="s">
        <v>369</v>
      </c>
      <c r="B150" s="1">
        <v>0.0</v>
      </c>
      <c r="C150" s="181" t="s">
        <v>370</v>
      </c>
      <c r="E150" s="1">
        <v>0.0</v>
      </c>
      <c r="F150" s="187" t="s">
        <v>371</v>
      </c>
      <c r="H150" s="1">
        <v>0.0</v>
      </c>
      <c r="I150" s="187" t="s">
        <v>372</v>
      </c>
    </row>
    <row r="151">
      <c r="A151" s="1" t="s">
        <v>369</v>
      </c>
      <c r="E151" s="1">
        <v>0.0</v>
      </c>
      <c r="F151" s="187" t="s">
        <v>373</v>
      </c>
      <c r="H151" s="1">
        <v>0.0</v>
      </c>
      <c r="I151" s="187" t="s">
        <v>374</v>
      </c>
    </row>
    <row r="152">
      <c r="A152" s="1" t="s">
        <v>369</v>
      </c>
      <c r="E152" s="1">
        <v>0.0</v>
      </c>
      <c r="F152" s="187" t="s">
        <v>375</v>
      </c>
      <c r="H152" s="1">
        <v>0.0</v>
      </c>
      <c r="I152" s="187" t="s">
        <v>376</v>
      </c>
    </row>
    <row r="153">
      <c r="A153" s="1" t="s">
        <v>369</v>
      </c>
      <c r="E153" s="1">
        <v>0.0</v>
      </c>
      <c r="F153" s="187" t="s">
        <v>377</v>
      </c>
      <c r="H153" s="1">
        <f>IF(ISBLANK(I153), 0,1)</f>
        <v>0</v>
      </c>
      <c r="I153" s="187"/>
    </row>
    <row r="154">
      <c r="A154" s="1" t="s">
        <v>369</v>
      </c>
      <c r="E154" s="1">
        <v>0.0</v>
      </c>
      <c r="F154" s="201" t="s">
        <v>176</v>
      </c>
    </row>
    <row r="156">
      <c r="A156" s="1" t="s">
        <v>378</v>
      </c>
      <c r="B156" s="1">
        <v>0.0</v>
      </c>
      <c r="C156" s="181" t="s">
        <v>379</v>
      </c>
      <c r="E156" s="1">
        <f>IF(AND(ISBLANK(F156),ISBLANK(F157)), 0,0.5)</f>
        <v>0</v>
      </c>
      <c r="F156" s="208"/>
      <c r="H156" s="1">
        <v>0.0</v>
      </c>
      <c r="I156" s="187" t="s">
        <v>380</v>
      </c>
    </row>
    <row r="157">
      <c r="A157" s="1" t="s">
        <v>378</v>
      </c>
      <c r="C157" s="208"/>
      <c r="E157" s="1">
        <f>IF(AND(ISBLANK(F156),ISBLANK(F157)), 0,0.5)</f>
        <v>0</v>
      </c>
      <c r="F157" s="208"/>
      <c r="H157" s="1">
        <v>0.0</v>
      </c>
      <c r="I157" s="187" t="s">
        <v>381</v>
      </c>
    </row>
    <row r="158">
      <c r="A158" s="1" t="s">
        <v>378</v>
      </c>
      <c r="E158" s="1">
        <v>0.0</v>
      </c>
      <c r="F158" s="187" t="s">
        <v>382</v>
      </c>
      <c r="H158" s="1">
        <v>0.0</v>
      </c>
      <c r="I158" s="187" t="s">
        <v>383</v>
      </c>
    </row>
    <row r="159">
      <c r="A159" s="1" t="s">
        <v>378</v>
      </c>
      <c r="E159" s="1">
        <v>0.0</v>
      </c>
      <c r="F159" s="187" t="s">
        <v>384</v>
      </c>
      <c r="H159" s="1">
        <f>IF(ISBLANK(I159), 0,1)</f>
        <v>0</v>
      </c>
      <c r="I159" s="206"/>
    </row>
    <row r="160">
      <c r="A160" s="1" t="s">
        <v>378</v>
      </c>
      <c r="E160" s="1">
        <v>0.0</v>
      </c>
      <c r="F160" s="187" t="s">
        <v>385</v>
      </c>
    </row>
    <row r="161">
      <c r="A161" s="1" t="s">
        <v>378</v>
      </c>
      <c r="E161" s="198">
        <v>0.0</v>
      </c>
      <c r="F161" s="201" t="s">
        <v>176</v>
      </c>
    </row>
    <row r="163">
      <c r="A163" s="1" t="s">
        <v>386</v>
      </c>
      <c r="B163" s="1">
        <v>0.0</v>
      </c>
      <c r="C163" s="181" t="s">
        <v>387</v>
      </c>
    </row>
    <row r="164">
      <c r="F164" s="212"/>
      <c r="I164" s="212"/>
    </row>
    <row r="165">
      <c r="A165" s="1" t="s">
        <v>388</v>
      </c>
      <c r="B165" s="1">
        <v>0.0</v>
      </c>
      <c r="C165" s="181" t="s">
        <v>389</v>
      </c>
      <c r="E165" s="1">
        <v>0.0</v>
      </c>
      <c r="F165" s="186" t="s">
        <v>390</v>
      </c>
      <c r="H165" s="1">
        <v>0.0</v>
      </c>
      <c r="I165" s="186" t="s">
        <v>391</v>
      </c>
    </row>
    <row r="166">
      <c r="A166" s="1" t="s">
        <v>388</v>
      </c>
      <c r="E166" s="1">
        <v>0.0</v>
      </c>
      <c r="F166" s="187" t="s">
        <v>392</v>
      </c>
      <c r="H166" s="1">
        <v>0.0</v>
      </c>
      <c r="I166" s="187" t="s">
        <v>393</v>
      </c>
    </row>
    <row r="167">
      <c r="A167" s="1" t="s">
        <v>388</v>
      </c>
      <c r="E167" s="1">
        <v>0.0</v>
      </c>
      <c r="F167" s="187" t="s">
        <v>394</v>
      </c>
      <c r="H167" s="1">
        <v>0.0</v>
      </c>
      <c r="I167" s="187" t="s">
        <v>395</v>
      </c>
    </row>
    <row r="168">
      <c r="A168" s="1" t="s">
        <v>388</v>
      </c>
      <c r="E168" s="1">
        <v>0.0</v>
      </c>
      <c r="F168" s="187" t="s">
        <v>396</v>
      </c>
      <c r="H168" s="1">
        <f>IF(ISBLANK(I168), 0,1)</f>
        <v>0</v>
      </c>
      <c r="I168" s="187"/>
    </row>
    <row r="169">
      <c r="A169" s="1" t="s">
        <v>388</v>
      </c>
      <c r="E169" s="1">
        <v>0.0</v>
      </c>
      <c r="F169" s="201" t="s">
        <v>176</v>
      </c>
    </row>
    <row r="171">
      <c r="A171" s="1" t="s">
        <v>397</v>
      </c>
      <c r="B171" s="1">
        <v>0.0</v>
      </c>
      <c r="C171" s="181" t="s">
        <v>398</v>
      </c>
      <c r="E171" s="1">
        <v>0.0</v>
      </c>
      <c r="F171" s="187" t="s">
        <v>399</v>
      </c>
      <c r="H171" s="1">
        <v>0.0</v>
      </c>
      <c r="I171" s="187" t="s">
        <v>400</v>
      </c>
    </row>
    <row r="172">
      <c r="A172" s="1" t="s">
        <v>397</v>
      </c>
      <c r="E172" s="1">
        <v>0.0</v>
      </c>
      <c r="F172" s="187" t="s">
        <v>401</v>
      </c>
      <c r="H172" s="1">
        <v>0.0</v>
      </c>
      <c r="I172" s="187" t="s">
        <v>402</v>
      </c>
    </row>
    <row r="173">
      <c r="A173" s="1" t="s">
        <v>397</v>
      </c>
      <c r="E173" s="1">
        <v>0.0</v>
      </c>
      <c r="F173" s="187" t="s">
        <v>403</v>
      </c>
      <c r="H173" s="1">
        <v>0.0</v>
      </c>
      <c r="I173" s="187" t="s">
        <v>404</v>
      </c>
    </row>
    <row r="174">
      <c r="A174" s="1" t="s">
        <v>397</v>
      </c>
      <c r="E174" s="1">
        <v>0.0</v>
      </c>
      <c r="F174" s="187" t="s">
        <v>405</v>
      </c>
      <c r="H174" s="1">
        <f>IF(ISBLANK(I174), 0,1)</f>
        <v>0</v>
      </c>
      <c r="I174" s="187"/>
    </row>
    <row r="175">
      <c r="A175" s="1" t="s">
        <v>397</v>
      </c>
      <c r="E175" s="1">
        <v>0.0</v>
      </c>
      <c r="F175" s="201" t="s">
        <v>176</v>
      </c>
    </row>
    <row r="177">
      <c r="A177" s="1" t="s">
        <v>406</v>
      </c>
      <c r="B177" s="1">
        <v>0.0</v>
      </c>
      <c r="C177" s="181" t="s">
        <v>407</v>
      </c>
      <c r="E177" s="1">
        <v>0.0</v>
      </c>
      <c r="F177" s="187" t="s">
        <v>408</v>
      </c>
      <c r="H177" s="1">
        <v>0.0</v>
      </c>
      <c r="I177" s="187" t="s">
        <v>409</v>
      </c>
    </row>
    <row r="178">
      <c r="A178" s="1" t="s">
        <v>406</v>
      </c>
      <c r="E178" s="1">
        <v>0.0</v>
      </c>
      <c r="F178" s="187" t="s">
        <v>410</v>
      </c>
      <c r="H178" s="1">
        <v>0.0</v>
      </c>
      <c r="I178" s="187" t="s">
        <v>411</v>
      </c>
    </row>
    <row r="179">
      <c r="A179" s="1" t="s">
        <v>406</v>
      </c>
      <c r="E179" s="1">
        <v>0.0</v>
      </c>
      <c r="F179" s="187" t="s">
        <v>412</v>
      </c>
      <c r="H179" s="1">
        <v>0.0</v>
      </c>
      <c r="I179" s="187" t="s">
        <v>413</v>
      </c>
    </row>
    <row r="180">
      <c r="A180" s="1" t="s">
        <v>406</v>
      </c>
      <c r="E180" s="1">
        <v>0.0</v>
      </c>
      <c r="F180" s="187" t="s">
        <v>414</v>
      </c>
      <c r="H180" s="1">
        <f>IF(ISBLANK(I180), 0,1)</f>
        <v>0</v>
      </c>
      <c r="I180" s="187"/>
    </row>
    <row r="181">
      <c r="A181" s="1" t="s">
        <v>406</v>
      </c>
      <c r="E181" s="1">
        <v>0.0</v>
      </c>
      <c r="F181" s="201" t="s">
        <v>176</v>
      </c>
    </row>
    <row r="183">
      <c r="A183" s="1" t="s">
        <v>415</v>
      </c>
      <c r="B183" s="1">
        <v>0.0</v>
      </c>
      <c r="C183" s="181" t="s">
        <v>416</v>
      </c>
      <c r="E183" s="1">
        <v>0.0</v>
      </c>
      <c r="F183" s="187" t="s">
        <v>362</v>
      </c>
      <c r="H183" s="1">
        <v>0.0</v>
      </c>
      <c r="I183" s="187" t="s">
        <v>417</v>
      </c>
    </row>
    <row r="184">
      <c r="A184" s="1" t="s">
        <v>415</v>
      </c>
      <c r="E184" s="1">
        <v>0.0</v>
      </c>
      <c r="F184" s="187" t="s">
        <v>418</v>
      </c>
      <c r="H184" s="1">
        <v>0.0</v>
      </c>
      <c r="I184" s="187" t="s">
        <v>419</v>
      </c>
    </row>
    <row r="185">
      <c r="A185" s="1" t="s">
        <v>415</v>
      </c>
      <c r="E185" s="1">
        <v>0.0</v>
      </c>
      <c r="F185" s="187" t="s">
        <v>420</v>
      </c>
      <c r="H185" s="1">
        <v>0.0</v>
      </c>
      <c r="I185" s="187" t="s">
        <v>421</v>
      </c>
    </row>
    <row r="186">
      <c r="A186" s="1" t="s">
        <v>415</v>
      </c>
      <c r="E186" s="1">
        <v>0.0</v>
      </c>
      <c r="F186" s="187" t="s">
        <v>422</v>
      </c>
      <c r="H186" s="1">
        <f>IF(ISBLANK(I186), 0,1)</f>
        <v>0</v>
      </c>
      <c r="I186" s="187"/>
    </row>
    <row r="187">
      <c r="A187" s="1" t="s">
        <v>415</v>
      </c>
      <c r="E187" s="1">
        <v>0.0</v>
      </c>
      <c r="F187" s="201" t="s">
        <v>176</v>
      </c>
    </row>
    <row r="189">
      <c r="A189" s="1" t="s">
        <v>423</v>
      </c>
      <c r="B189" s="1">
        <v>0.0</v>
      </c>
      <c r="C189" s="181" t="s">
        <v>424</v>
      </c>
      <c r="E189" s="1">
        <v>0.0</v>
      </c>
      <c r="F189" s="187" t="s">
        <v>425</v>
      </c>
      <c r="H189" s="1">
        <v>0.0</v>
      </c>
      <c r="I189" s="187" t="s">
        <v>426</v>
      </c>
    </row>
    <row r="190">
      <c r="A190" s="1" t="s">
        <v>423</v>
      </c>
      <c r="E190" s="1">
        <v>0.0</v>
      </c>
      <c r="F190" s="187" t="s">
        <v>427</v>
      </c>
      <c r="H190" s="1">
        <v>0.0</v>
      </c>
      <c r="I190" s="187" t="s">
        <v>428</v>
      </c>
    </row>
    <row r="191">
      <c r="A191" s="1" t="s">
        <v>423</v>
      </c>
      <c r="E191" s="1">
        <v>0.0</v>
      </c>
      <c r="F191" s="187" t="s">
        <v>429</v>
      </c>
      <c r="H191" s="1">
        <v>0.0</v>
      </c>
      <c r="I191" s="187" t="s">
        <v>430</v>
      </c>
    </row>
    <row r="192">
      <c r="A192" s="1" t="s">
        <v>423</v>
      </c>
      <c r="E192" s="1">
        <v>0.0</v>
      </c>
      <c r="F192" s="187" t="s">
        <v>431</v>
      </c>
      <c r="H192" s="1">
        <f>IF(ISBLANK(I192), 0,1)</f>
        <v>0</v>
      </c>
      <c r="I192" s="187"/>
    </row>
    <row r="193">
      <c r="A193" s="1" t="s">
        <v>423</v>
      </c>
      <c r="E193" s="1">
        <v>0.0</v>
      </c>
      <c r="F193" s="201" t="s">
        <v>176</v>
      </c>
    </row>
    <row r="195">
      <c r="A195" s="1" t="s">
        <v>432</v>
      </c>
      <c r="B195" s="1">
        <v>0.0</v>
      </c>
      <c r="C195" s="181" t="s">
        <v>433</v>
      </c>
      <c r="E195" s="1">
        <v>0.0</v>
      </c>
      <c r="F195" s="187" t="s">
        <v>434</v>
      </c>
      <c r="H195" s="1">
        <v>0.0</v>
      </c>
      <c r="I195" s="187" t="s">
        <v>435</v>
      </c>
    </row>
    <row r="196">
      <c r="A196" s="1" t="s">
        <v>432</v>
      </c>
      <c r="E196" s="1">
        <v>0.0</v>
      </c>
      <c r="F196" s="187" t="s">
        <v>436</v>
      </c>
      <c r="H196" s="1">
        <v>0.0</v>
      </c>
      <c r="I196" s="187" t="s">
        <v>437</v>
      </c>
    </row>
    <row r="197">
      <c r="A197" s="1" t="s">
        <v>432</v>
      </c>
      <c r="E197" s="1">
        <v>0.0</v>
      </c>
      <c r="F197" s="187" t="s">
        <v>438</v>
      </c>
      <c r="H197" s="1">
        <v>0.0</v>
      </c>
      <c r="I197" s="187" t="s">
        <v>439</v>
      </c>
    </row>
    <row r="198">
      <c r="A198" s="1" t="s">
        <v>432</v>
      </c>
      <c r="E198" s="1">
        <v>0.0</v>
      </c>
      <c r="F198" s="187" t="s">
        <v>440</v>
      </c>
      <c r="H198" s="1">
        <f>IF(ISBLANK(I198), 0,1)</f>
        <v>0</v>
      </c>
      <c r="I198" s="187"/>
    </row>
    <row r="199">
      <c r="A199" s="1" t="s">
        <v>432</v>
      </c>
      <c r="E199" s="1">
        <v>0.0</v>
      </c>
      <c r="F199" s="201" t="s">
        <v>176</v>
      </c>
    </row>
    <row r="201">
      <c r="A201" s="1" t="s">
        <v>441</v>
      </c>
      <c r="B201" s="1">
        <v>0.0</v>
      </c>
      <c r="C201" s="181" t="s">
        <v>442</v>
      </c>
      <c r="E201" s="1">
        <v>0.0</v>
      </c>
      <c r="F201" s="187" t="s">
        <v>443</v>
      </c>
      <c r="H201" s="1">
        <v>0.0</v>
      </c>
      <c r="I201" s="187" t="s">
        <v>444</v>
      </c>
    </row>
    <row r="202">
      <c r="A202" s="1" t="s">
        <v>441</v>
      </c>
      <c r="E202" s="1">
        <v>0.0</v>
      </c>
      <c r="F202" s="187" t="s">
        <v>445</v>
      </c>
      <c r="H202" s="1">
        <v>0.0</v>
      </c>
      <c r="I202" s="187" t="s">
        <v>446</v>
      </c>
    </row>
    <row r="203">
      <c r="A203" s="1" t="s">
        <v>441</v>
      </c>
      <c r="E203" s="1">
        <v>0.0</v>
      </c>
      <c r="F203" s="187" t="s">
        <v>382</v>
      </c>
      <c r="H203" s="1">
        <v>0.0</v>
      </c>
      <c r="I203" s="187" t="s">
        <v>447</v>
      </c>
    </row>
    <row r="204">
      <c r="A204" s="1" t="s">
        <v>441</v>
      </c>
      <c r="E204" s="1">
        <v>0.0</v>
      </c>
      <c r="F204" s="187" t="s">
        <v>448</v>
      </c>
      <c r="H204" s="1">
        <f>IF(ISBLANK(I204), 0,1)</f>
        <v>0</v>
      </c>
      <c r="I204" s="187"/>
    </row>
    <row r="205">
      <c r="A205" s="1" t="s">
        <v>441</v>
      </c>
      <c r="E205" s="1">
        <v>0.0</v>
      </c>
      <c r="F205" s="201" t="s">
        <v>176</v>
      </c>
    </row>
    <row r="207">
      <c r="A207" s="1" t="s">
        <v>449</v>
      </c>
      <c r="B207" s="1">
        <v>0.0</v>
      </c>
      <c r="C207" s="181" t="s">
        <v>450</v>
      </c>
      <c r="E207" s="1">
        <v>0.0</v>
      </c>
      <c r="F207" s="187" t="s">
        <v>451</v>
      </c>
      <c r="H207" s="1">
        <v>0.0</v>
      </c>
      <c r="I207" s="187" t="s">
        <v>452</v>
      </c>
    </row>
    <row r="208">
      <c r="A208" s="1" t="s">
        <v>449</v>
      </c>
      <c r="E208" s="1">
        <v>0.0</v>
      </c>
      <c r="F208" s="187" t="s">
        <v>453</v>
      </c>
      <c r="H208" s="1">
        <v>0.0</v>
      </c>
      <c r="I208" s="187" t="s">
        <v>454</v>
      </c>
    </row>
    <row r="209">
      <c r="A209" s="1" t="s">
        <v>449</v>
      </c>
      <c r="E209" s="1">
        <v>0.0</v>
      </c>
      <c r="F209" s="187" t="s">
        <v>455</v>
      </c>
      <c r="H209" s="1">
        <v>0.0</v>
      </c>
      <c r="I209" s="187" t="s">
        <v>456</v>
      </c>
    </row>
    <row r="210">
      <c r="A210" s="1" t="s">
        <v>449</v>
      </c>
      <c r="E210" s="1">
        <v>0.0</v>
      </c>
      <c r="F210" s="187" t="s">
        <v>457</v>
      </c>
      <c r="H210" s="1">
        <f>IF(ISBLANK(I210), 0,1)</f>
        <v>0</v>
      </c>
      <c r="I210" s="187"/>
    </row>
    <row r="211">
      <c r="A211" s="1" t="s">
        <v>449</v>
      </c>
      <c r="E211" s="1">
        <v>0.0</v>
      </c>
      <c r="F211" s="201" t="s">
        <v>176</v>
      </c>
    </row>
    <row r="213">
      <c r="A213" s="1" t="s">
        <v>458</v>
      </c>
      <c r="B213" s="1">
        <v>0.0</v>
      </c>
      <c r="C213" s="181" t="s">
        <v>459</v>
      </c>
      <c r="E213" s="1">
        <v>0.0</v>
      </c>
      <c r="F213" s="187" t="s">
        <v>460</v>
      </c>
      <c r="H213" s="1">
        <v>0.0</v>
      </c>
      <c r="I213" s="187" t="s">
        <v>461</v>
      </c>
    </row>
    <row r="214">
      <c r="A214" s="1" t="s">
        <v>458</v>
      </c>
      <c r="E214" s="1">
        <v>0.0</v>
      </c>
      <c r="F214" s="187" t="s">
        <v>462</v>
      </c>
      <c r="H214" s="1">
        <v>0.0</v>
      </c>
      <c r="I214" s="187" t="s">
        <v>463</v>
      </c>
    </row>
    <row r="215">
      <c r="A215" s="1" t="s">
        <v>458</v>
      </c>
      <c r="E215" s="1">
        <v>0.0</v>
      </c>
      <c r="F215" s="187" t="s">
        <v>464</v>
      </c>
      <c r="H215" s="1">
        <v>0.0</v>
      </c>
      <c r="I215" s="187" t="s">
        <v>465</v>
      </c>
    </row>
    <row r="216">
      <c r="A216" s="1" t="s">
        <v>458</v>
      </c>
      <c r="E216" s="1">
        <v>0.0</v>
      </c>
      <c r="F216" s="187" t="s">
        <v>466</v>
      </c>
      <c r="H216" s="1">
        <f>IF(ISBLANK(I216), 0,1)</f>
        <v>0</v>
      </c>
      <c r="I216" s="187"/>
    </row>
    <row r="217">
      <c r="A217" s="1" t="s">
        <v>458</v>
      </c>
      <c r="E217" s="1">
        <v>0.0</v>
      </c>
      <c r="F217" s="201" t="s">
        <v>176</v>
      </c>
    </row>
    <row r="219">
      <c r="A219" s="1" t="s">
        <v>467</v>
      </c>
      <c r="B219" s="1">
        <v>0.0</v>
      </c>
      <c r="C219" s="181" t="s">
        <v>468</v>
      </c>
      <c r="E219" s="1">
        <v>0.0</v>
      </c>
      <c r="F219" s="187" t="s">
        <v>469</v>
      </c>
      <c r="H219" s="1">
        <v>0.0</v>
      </c>
      <c r="I219" s="187" t="s">
        <v>470</v>
      </c>
    </row>
    <row r="220">
      <c r="A220" s="1" t="s">
        <v>467</v>
      </c>
      <c r="E220" s="1">
        <v>0.0</v>
      </c>
      <c r="F220" s="187" t="s">
        <v>471</v>
      </c>
      <c r="H220" s="1">
        <v>0.0</v>
      </c>
      <c r="I220" s="187" t="s">
        <v>472</v>
      </c>
    </row>
    <row r="221">
      <c r="A221" s="1" t="s">
        <v>467</v>
      </c>
      <c r="E221" s="1">
        <v>0.0</v>
      </c>
      <c r="F221" s="187" t="s">
        <v>473</v>
      </c>
      <c r="H221" s="1">
        <v>0.0</v>
      </c>
      <c r="I221" s="187" t="s">
        <v>474</v>
      </c>
    </row>
    <row r="222">
      <c r="A222" s="1" t="s">
        <v>467</v>
      </c>
      <c r="E222" s="1">
        <v>0.0</v>
      </c>
      <c r="F222" s="187" t="s">
        <v>475</v>
      </c>
      <c r="H222" s="1">
        <f>IF(ISBLANK(I222), 0,1)</f>
        <v>0</v>
      </c>
      <c r="I222" s="187"/>
    </row>
    <row r="223">
      <c r="A223" s="1" t="s">
        <v>467</v>
      </c>
      <c r="E223" s="1">
        <v>0.0</v>
      </c>
      <c r="F223" s="201" t="s">
        <v>176</v>
      </c>
    </row>
    <row r="225">
      <c r="A225" s="1" t="s">
        <v>476</v>
      </c>
      <c r="B225" s="1">
        <v>0.0</v>
      </c>
      <c r="C225" s="181" t="s">
        <v>477</v>
      </c>
      <c r="E225" s="1">
        <v>0.0</v>
      </c>
      <c r="F225" s="187" t="s">
        <v>478</v>
      </c>
      <c r="H225" s="1">
        <v>0.0</v>
      </c>
      <c r="I225" s="187" t="s">
        <v>479</v>
      </c>
    </row>
    <row r="226">
      <c r="A226" s="1" t="s">
        <v>476</v>
      </c>
      <c r="E226" s="1">
        <v>0.0</v>
      </c>
      <c r="F226" s="187" t="s">
        <v>480</v>
      </c>
      <c r="H226" s="1">
        <v>0.0</v>
      </c>
      <c r="I226" s="187" t="s">
        <v>481</v>
      </c>
    </row>
    <row r="227">
      <c r="A227" s="1" t="s">
        <v>476</v>
      </c>
      <c r="E227" s="1">
        <v>0.0</v>
      </c>
      <c r="F227" s="187" t="s">
        <v>482</v>
      </c>
      <c r="H227" s="1">
        <v>0.0</v>
      </c>
      <c r="I227" s="187" t="s">
        <v>483</v>
      </c>
    </row>
    <row r="228">
      <c r="A228" s="1" t="s">
        <v>476</v>
      </c>
      <c r="E228" s="1">
        <v>0.0</v>
      </c>
      <c r="F228" s="187" t="s">
        <v>484</v>
      </c>
      <c r="H228" s="1">
        <f>IF(ISBLANK(I228), 0,1)</f>
        <v>0</v>
      </c>
      <c r="I228" s="187"/>
    </row>
    <row r="229">
      <c r="A229" s="1" t="s">
        <v>476</v>
      </c>
      <c r="E229" s="1">
        <v>0.0</v>
      </c>
      <c r="F229" s="201" t="s">
        <v>176</v>
      </c>
    </row>
    <row r="231">
      <c r="A231" s="1" t="s">
        <v>485</v>
      </c>
      <c r="B231" s="1">
        <v>0.0</v>
      </c>
      <c r="C231" s="181" t="s">
        <v>486</v>
      </c>
      <c r="E231" s="1">
        <v>0.0</v>
      </c>
      <c r="F231" s="187" t="s">
        <v>487</v>
      </c>
      <c r="H231" s="1">
        <v>0.0</v>
      </c>
      <c r="I231" s="187" t="s">
        <v>488</v>
      </c>
    </row>
    <row r="232">
      <c r="A232" s="1" t="s">
        <v>485</v>
      </c>
      <c r="E232" s="1">
        <v>0.0</v>
      </c>
      <c r="F232" s="187" t="s">
        <v>489</v>
      </c>
      <c r="H232" s="1">
        <v>0.0</v>
      </c>
      <c r="I232" s="187" t="s">
        <v>490</v>
      </c>
    </row>
    <row r="233">
      <c r="A233" s="1" t="s">
        <v>485</v>
      </c>
      <c r="E233" s="1">
        <v>0.0</v>
      </c>
      <c r="F233" s="187" t="s">
        <v>491</v>
      </c>
      <c r="H233" s="1">
        <v>0.0</v>
      </c>
      <c r="I233" s="187" t="s">
        <v>492</v>
      </c>
    </row>
    <row r="234">
      <c r="A234" s="1" t="s">
        <v>485</v>
      </c>
      <c r="E234" s="1">
        <v>0.0</v>
      </c>
      <c r="F234" s="187" t="s">
        <v>493</v>
      </c>
      <c r="H234" s="1">
        <f>IF(ISBLANK(I234), 0,1)</f>
        <v>0</v>
      </c>
      <c r="I234" s="187"/>
    </row>
    <row r="235">
      <c r="A235" s="1" t="s">
        <v>485</v>
      </c>
      <c r="E235" s="1">
        <v>0.0</v>
      </c>
      <c r="F235" s="201" t="s">
        <v>176</v>
      </c>
    </row>
    <row r="237">
      <c r="A237" s="1" t="s">
        <v>494</v>
      </c>
      <c r="B237" s="1">
        <v>0.0</v>
      </c>
      <c r="C237" s="181" t="s">
        <v>495</v>
      </c>
      <c r="E237" s="1">
        <v>0.0</v>
      </c>
      <c r="F237" s="187" t="s">
        <v>496</v>
      </c>
      <c r="H237" s="1">
        <v>0.0</v>
      </c>
      <c r="I237" s="187" t="s">
        <v>497</v>
      </c>
    </row>
    <row r="238">
      <c r="A238" s="1" t="s">
        <v>494</v>
      </c>
      <c r="E238" s="1">
        <v>0.0</v>
      </c>
      <c r="F238" s="187" t="s">
        <v>498</v>
      </c>
      <c r="H238" s="1">
        <v>0.0</v>
      </c>
      <c r="I238" s="187" t="s">
        <v>499</v>
      </c>
    </row>
    <row r="239">
      <c r="A239" s="1" t="s">
        <v>494</v>
      </c>
      <c r="E239" s="1">
        <v>0.0</v>
      </c>
      <c r="F239" s="187" t="s">
        <v>500</v>
      </c>
      <c r="H239" s="1">
        <v>0.0</v>
      </c>
      <c r="I239" s="187" t="s">
        <v>501</v>
      </c>
    </row>
    <row r="240">
      <c r="A240" s="1" t="s">
        <v>494</v>
      </c>
      <c r="E240" s="1">
        <v>0.0</v>
      </c>
      <c r="F240" s="187" t="s">
        <v>502</v>
      </c>
      <c r="H240" s="1">
        <f>IF(ISBLANK(I240), 0,1)</f>
        <v>0</v>
      </c>
      <c r="I240" s="187"/>
    </row>
    <row r="241">
      <c r="A241" s="1" t="s">
        <v>494</v>
      </c>
      <c r="E241" s="1">
        <v>0.0</v>
      </c>
      <c r="F241" s="201" t="s">
        <v>176</v>
      </c>
    </row>
    <row r="243">
      <c r="A243" s="1" t="s">
        <v>503</v>
      </c>
      <c r="B243" s="1">
        <v>0.0</v>
      </c>
      <c r="C243" s="181" t="s">
        <v>504</v>
      </c>
      <c r="E243" s="1">
        <v>0.0</v>
      </c>
      <c r="F243" s="187" t="s">
        <v>505</v>
      </c>
      <c r="H243" s="1">
        <v>0.0</v>
      </c>
      <c r="I243" s="187" t="s">
        <v>506</v>
      </c>
    </row>
    <row r="244">
      <c r="A244" s="1" t="s">
        <v>503</v>
      </c>
      <c r="E244" s="1">
        <v>0.0</v>
      </c>
      <c r="F244" s="187" t="s">
        <v>507</v>
      </c>
      <c r="H244" s="1">
        <v>0.0</v>
      </c>
      <c r="I244" s="187" t="s">
        <v>508</v>
      </c>
    </row>
    <row r="245">
      <c r="A245" s="1" t="s">
        <v>503</v>
      </c>
      <c r="E245" s="1">
        <v>0.0</v>
      </c>
      <c r="F245" s="187" t="s">
        <v>509</v>
      </c>
      <c r="H245" s="1">
        <v>0.0</v>
      </c>
      <c r="I245" s="187" t="s">
        <v>510</v>
      </c>
    </row>
    <row r="246">
      <c r="A246" s="1" t="s">
        <v>503</v>
      </c>
      <c r="E246" s="1">
        <v>0.0</v>
      </c>
      <c r="F246" s="187" t="s">
        <v>511</v>
      </c>
      <c r="H246" s="1">
        <f>IF(ISBLANK(I246), 0,1)</f>
        <v>0</v>
      </c>
      <c r="I246" s="187"/>
    </row>
    <row r="247">
      <c r="A247" s="1" t="s">
        <v>503</v>
      </c>
      <c r="E247" s="1">
        <v>0.0</v>
      </c>
      <c r="F247" s="201" t="s">
        <v>176</v>
      </c>
    </row>
    <row r="249">
      <c r="A249" s="1" t="s">
        <v>512</v>
      </c>
      <c r="B249" s="1">
        <v>0.0</v>
      </c>
      <c r="C249" s="181" t="s">
        <v>513</v>
      </c>
      <c r="E249" s="1">
        <v>0.0</v>
      </c>
      <c r="F249" s="187" t="s">
        <v>514</v>
      </c>
      <c r="H249" s="1">
        <v>0.0</v>
      </c>
      <c r="I249" s="187" t="s">
        <v>499</v>
      </c>
    </row>
    <row r="250">
      <c r="A250" s="1" t="s">
        <v>512</v>
      </c>
      <c r="E250" s="1">
        <v>0.0</v>
      </c>
      <c r="F250" s="187" t="s">
        <v>515</v>
      </c>
      <c r="H250" s="1">
        <v>0.0</v>
      </c>
      <c r="I250" s="187" t="s">
        <v>516</v>
      </c>
    </row>
    <row r="251">
      <c r="A251" s="1" t="s">
        <v>512</v>
      </c>
      <c r="E251" s="1">
        <v>0.0</v>
      </c>
      <c r="F251" s="187" t="s">
        <v>517</v>
      </c>
      <c r="H251" s="1">
        <v>0.0</v>
      </c>
      <c r="I251" s="187" t="s">
        <v>518</v>
      </c>
    </row>
    <row r="252">
      <c r="A252" s="1" t="s">
        <v>512</v>
      </c>
      <c r="E252" s="1">
        <v>0.0</v>
      </c>
      <c r="F252" s="187" t="s">
        <v>519</v>
      </c>
      <c r="H252" s="1">
        <f>IF(ISBLANK(I252), 0,1)</f>
        <v>0</v>
      </c>
      <c r="I252" s="187"/>
    </row>
    <row r="253">
      <c r="A253" s="1" t="s">
        <v>512</v>
      </c>
      <c r="E253" s="1">
        <v>0.0</v>
      </c>
      <c r="F253" s="201" t="s">
        <v>176</v>
      </c>
    </row>
    <row r="255">
      <c r="A255" s="1" t="s">
        <v>520</v>
      </c>
      <c r="B255" s="1">
        <v>0.0</v>
      </c>
      <c r="C255" s="181" t="s">
        <v>521</v>
      </c>
      <c r="E255" s="1">
        <v>0.0</v>
      </c>
      <c r="F255" s="187" t="s">
        <v>522</v>
      </c>
      <c r="H255" s="1">
        <v>0.0</v>
      </c>
      <c r="I255" s="187" t="s">
        <v>523</v>
      </c>
    </row>
    <row r="256">
      <c r="A256" s="1" t="s">
        <v>520</v>
      </c>
      <c r="E256" s="1">
        <v>0.0</v>
      </c>
      <c r="F256" s="187" t="s">
        <v>524</v>
      </c>
      <c r="H256" s="1">
        <v>0.0</v>
      </c>
      <c r="I256" s="187" t="s">
        <v>525</v>
      </c>
    </row>
    <row r="257">
      <c r="A257" s="1" t="s">
        <v>520</v>
      </c>
      <c r="E257" s="1">
        <v>0.0</v>
      </c>
      <c r="F257" s="187" t="s">
        <v>526</v>
      </c>
      <c r="H257" s="1">
        <v>0.0</v>
      </c>
      <c r="I257" s="187" t="s">
        <v>527</v>
      </c>
    </row>
    <row r="258">
      <c r="A258" s="1" t="s">
        <v>520</v>
      </c>
      <c r="E258" s="1">
        <v>0.0</v>
      </c>
      <c r="F258" s="187" t="s">
        <v>528</v>
      </c>
      <c r="H258" s="1">
        <f>IF(ISBLANK(I258), 0,1)</f>
        <v>0</v>
      </c>
      <c r="I258" s="187"/>
    </row>
    <row r="259">
      <c r="A259" s="1" t="s">
        <v>520</v>
      </c>
      <c r="E259" s="1">
        <v>0.0</v>
      </c>
      <c r="F259" s="201" t="s">
        <v>176</v>
      </c>
    </row>
    <row r="261">
      <c r="A261" s="1" t="s">
        <v>529</v>
      </c>
      <c r="B261" s="1">
        <v>0.0</v>
      </c>
      <c r="C261" s="181" t="s">
        <v>530</v>
      </c>
      <c r="E261" s="1">
        <v>0.0</v>
      </c>
      <c r="F261" s="187" t="s">
        <v>531</v>
      </c>
      <c r="H261" s="1">
        <v>0.0</v>
      </c>
      <c r="I261" s="187" t="s">
        <v>532</v>
      </c>
    </row>
    <row r="262">
      <c r="A262" s="1" t="s">
        <v>529</v>
      </c>
      <c r="E262" s="1">
        <v>0.0</v>
      </c>
      <c r="F262" s="187" t="s">
        <v>533</v>
      </c>
      <c r="H262" s="1">
        <v>0.0</v>
      </c>
      <c r="I262" s="187" t="s">
        <v>523</v>
      </c>
    </row>
    <row r="263">
      <c r="A263" s="1" t="s">
        <v>529</v>
      </c>
      <c r="E263" s="1">
        <v>0.0</v>
      </c>
      <c r="F263" s="187" t="s">
        <v>534</v>
      </c>
      <c r="H263" s="1">
        <v>0.0</v>
      </c>
      <c r="I263" s="187" t="s">
        <v>525</v>
      </c>
    </row>
    <row r="264">
      <c r="A264" s="1" t="s">
        <v>529</v>
      </c>
      <c r="E264" s="1">
        <v>0.0</v>
      </c>
      <c r="F264" s="201" t="s">
        <v>535</v>
      </c>
      <c r="H264" s="1">
        <v>0.0</v>
      </c>
      <c r="I264" s="187" t="s">
        <v>527</v>
      </c>
    </row>
    <row r="265">
      <c r="A265" s="1" t="s">
        <v>529</v>
      </c>
      <c r="H265" s="1">
        <f>IF(ISBLANK(I265), 0,1)</f>
        <v>0</v>
      </c>
      <c r="I265" s="187"/>
    </row>
    <row r="267">
      <c r="A267" s="1" t="s">
        <v>536</v>
      </c>
      <c r="B267" s="1">
        <v>0.0</v>
      </c>
      <c r="C267" s="181" t="s">
        <v>537</v>
      </c>
      <c r="E267" s="1">
        <v>0.0</v>
      </c>
      <c r="F267" s="187" t="s">
        <v>538</v>
      </c>
      <c r="H267" s="1">
        <v>0.0</v>
      </c>
      <c r="I267" s="187" t="s">
        <v>539</v>
      </c>
    </row>
    <row r="268">
      <c r="A268" s="1" t="s">
        <v>536</v>
      </c>
      <c r="E268" s="1">
        <v>0.0</v>
      </c>
      <c r="F268" s="187" t="s">
        <v>540</v>
      </c>
      <c r="H268" s="1">
        <v>0.0</v>
      </c>
      <c r="I268" s="187" t="s">
        <v>541</v>
      </c>
    </row>
    <row r="269">
      <c r="A269" s="1" t="s">
        <v>536</v>
      </c>
      <c r="E269" s="1">
        <v>0.0</v>
      </c>
      <c r="F269" s="187" t="s">
        <v>542</v>
      </c>
      <c r="H269" s="1">
        <v>0.0</v>
      </c>
      <c r="I269" s="187" t="s">
        <v>543</v>
      </c>
    </row>
    <row r="270">
      <c r="A270" s="1" t="s">
        <v>536</v>
      </c>
      <c r="E270" s="1">
        <v>0.0</v>
      </c>
      <c r="F270" s="187" t="s">
        <v>544</v>
      </c>
      <c r="H270" s="1">
        <f>IF(ISBLANK(I270), 0,1)</f>
        <v>0</v>
      </c>
      <c r="I270" s="187"/>
    </row>
    <row r="271">
      <c r="A271" s="1" t="s">
        <v>536</v>
      </c>
      <c r="E271" s="1">
        <v>0.0</v>
      </c>
      <c r="F271" s="201" t="s">
        <v>176</v>
      </c>
    </row>
    <row r="273">
      <c r="A273" s="1" t="s">
        <v>545</v>
      </c>
      <c r="B273" s="1">
        <v>0.0</v>
      </c>
      <c r="C273" s="181" t="s">
        <v>546</v>
      </c>
      <c r="E273" s="1">
        <v>0.0</v>
      </c>
      <c r="F273" s="187" t="s">
        <v>547</v>
      </c>
      <c r="H273" s="1">
        <v>0.0</v>
      </c>
      <c r="I273" s="187" t="s">
        <v>548</v>
      </c>
    </row>
    <row r="274">
      <c r="A274" s="1" t="s">
        <v>545</v>
      </c>
      <c r="E274" s="1">
        <v>0.0</v>
      </c>
      <c r="F274" s="187" t="s">
        <v>549</v>
      </c>
      <c r="H274" s="1">
        <v>0.0</v>
      </c>
      <c r="I274" s="187" t="s">
        <v>550</v>
      </c>
    </row>
    <row r="275">
      <c r="A275" s="1" t="s">
        <v>545</v>
      </c>
      <c r="E275" s="1">
        <v>0.0</v>
      </c>
      <c r="F275" s="187" t="s">
        <v>551</v>
      </c>
      <c r="H275" s="1">
        <v>0.0</v>
      </c>
      <c r="I275" s="187" t="s">
        <v>552</v>
      </c>
    </row>
    <row r="276">
      <c r="A276" s="1" t="s">
        <v>545</v>
      </c>
      <c r="E276" s="1">
        <v>0.0</v>
      </c>
      <c r="F276" s="187" t="s">
        <v>553</v>
      </c>
      <c r="H276" s="1">
        <f>IF(ISBLANK(I276), 0,1)</f>
        <v>0</v>
      </c>
      <c r="I276" s="187"/>
    </row>
    <row r="277">
      <c r="A277" s="1" t="s">
        <v>545</v>
      </c>
      <c r="E277" s="1">
        <v>0.0</v>
      </c>
      <c r="F277" s="201" t="s">
        <v>176</v>
      </c>
    </row>
  </sheetData>
  <mergeCells count="2">
    <mergeCell ref="D19:D20"/>
    <mergeCell ref="D26:D28"/>
  </mergeCells>
  <conditionalFormatting sqref="G4">
    <cfRule type="cellIs" dxfId="1" priority="1" operator="greaterThan">
      <formula>$D$4</formula>
    </cfRule>
  </conditionalFormatting>
  <conditionalFormatting sqref="G6">
    <cfRule type="cellIs" dxfId="1" priority="2" operator="greaterThan">
      <formula>$D$6</formula>
    </cfRule>
  </conditionalFormatting>
  <conditionalFormatting sqref="G7">
    <cfRule type="cellIs" dxfId="1" priority="3" operator="greaterThan">
      <formula>$G$2</formula>
    </cfRule>
  </conditionalFormatting>
  <dataValidations>
    <dataValidation type="list" allowBlank="1" showErrorMessage="1" sqref="D2">
      <formula1>POWER_LEVELS</formula1>
    </dataValidation>
    <dataValidation type="list" allowBlank="1" showErrorMessage="1" sqref="C157 F156:F157">
      <formula1>LIFE_SUPPORTS</formula1>
    </dataValidation>
    <dataValidation type="list" allowBlank="1" showErrorMessage="1" sqref="D1">
      <formula1>ORIGINS</formula1>
    </dataValidation>
    <dataValidation type="list" allowBlank="1" sqref="I34 I159">
      <formula1>COMMON_POWER_LIMITS</formula1>
    </dataValidation>
    <dataValidation type="list" allowBlank="1" sqref="I16 I22 I28 I42 I48 I54 I60 I66 I72 I78 I84 I90 I96 I104 I110 I114 I119 I125 I131 I137 I140 I147 I153 I168 I174 I180 I186 I192 I198 I204 I210 I216 I222 I228 I234 I240 I246 I252 I258 I265 I270 I276">
      <formula1>calculations!$B$11:$B$24</formula1>
    </dataValidation>
    <dataValidation type="list" allowBlank="1" showErrorMessage="1" sqref="F128 C129">
      <formula1>HEIGHTENED_SENSES</formula1>
    </dataValidation>
    <dataValidation type="list" allowBlank="1" sqref="C32 F31:F32">
      <formula1>COMBAT_EXPERTISES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25.88"/>
    <col customWidth="1" min="3" max="3" width="22.38"/>
    <col customWidth="1" min="4" max="4" width="14.5"/>
    <col customWidth="1" min="6" max="6" width="15.63"/>
    <col customWidth="1" min="7" max="7" width="14.75"/>
    <col customWidth="1" min="8" max="8" width="20.75"/>
    <col customWidth="1" min="10" max="10" width="18.25"/>
    <col customWidth="1" min="11" max="11" width="17.0"/>
  </cols>
  <sheetData>
    <row r="1">
      <c r="A1" s="213" t="s">
        <v>554</v>
      </c>
      <c r="B1" s="210" t="str">
        <f t="array" ref="B1">concatenate(datasheet!F5:F22&amp;" "&amp;datasheet!J5:J22&amp;", ")</f>
        <v>Athletics 25, Brawn 26, Conceal 25, Deceit 26, Drive 25, Endurance 26, Evade 24, First aid 25, Influence 26, Insight 26, Native tongue 66, Perception 26, Researcher 26, Stealth 25, Streetwise 46, Unarmed 25, Willpower 26, Combat Style  25, </v>
      </c>
    </row>
    <row r="2">
      <c r="A2" s="213" t="s">
        <v>555</v>
      </c>
      <c r="B2" s="210" t="str">
        <f>IFERROR(__xludf.DUMMYFUNCTION("IFERROR(ARRAYFORMULA(concatenate(filter(datasheet!N5:N36,datasheet!R5:R36&gt;datasheet!O5:O36)&amp;"" ""&amp;filter(datasheet!R5:R36&amp;"", "",datasheet!R5:R36&gt;datasheet!O5:O36))))"),"Acrobatics 45, Ride 45, ")</f>
        <v>Acrobatics 45, Ride 45, </v>
      </c>
    </row>
    <row r="4">
      <c r="A4" s="1" t="s">
        <v>556</v>
      </c>
      <c r="B4" s="198" t="str">
        <f>CONCAT(B1,B2)</f>
        <v>Athletics 25, Brawn 26, Conceal 25, Deceit 26, Drive 25, Endurance 26, Evade 24, First aid 25, Influence 26, Insight 26, Native tongue 66, Perception 26, Researcher 26, Stealth 25, Streetwise 46, Unarmed 25, Willpower 26, Combat Style  25, Acrobatics 45, Ride 45, </v>
      </c>
    </row>
    <row r="5">
      <c r="A5" s="1" t="s">
        <v>557</v>
      </c>
      <c r="B5" s="198">
        <f>CON+SIZ+IF(DURABILITY&gt;0, STR, 0) + IF(ENHANCED_BODY&gt;0, ROUNDUP(POW/2,0), 0)</f>
        <v>26</v>
      </c>
      <c r="C5" s="1" t="s">
        <v>558</v>
      </c>
      <c r="D5" s="198">
        <f>CON+SIZ/2</f>
        <v>19.5</v>
      </c>
    </row>
    <row r="6">
      <c r="A6" s="118"/>
      <c r="B6" s="118"/>
      <c r="C6" s="118" t="s">
        <v>559</v>
      </c>
      <c r="D6" s="118">
        <f>POW(2,ROUNDUP((DEX+CON)/12))</f>
        <v>8</v>
      </c>
      <c r="F6" s="1" t="s">
        <v>161</v>
      </c>
      <c r="G6" s="1" t="s">
        <v>560</v>
      </c>
      <c r="H6" s="1">
        <v>2.0</v>
      </c>
    </row>
    <row r="7">
      <c r="A7" s="1" t="s">
        <v>561</v>
      </c>
      <c r="B7" s="1" t="s">
        <v>560</v>
      </c>
      <c r="D7" s="55"/>
      <c r="G7" s="1" t="s">
        <v>144</v>
      </c>
      <c r="H7" s="1">
        <v>3.0</v>
      </c>
    </row>
    <row r="8">
      <c r="B8" s="1" t="s">
        <v>144</v>
      </c>
      <c r="C8" s="118"/>
      <c r="D8" s="118"/>
      <c r="G8" s="1" t="s">
        <v>562</v>
      </c>
      <c r="H8" s="1">
        <v>4.0</v>
      </c>
    </row>
    <row r="9">
      <c r="B9" s="1" t="s">
        <v>562</v>
      </c>
      <c r="C9" s="118"/>
      <c r="D9" s="118"/>
      <c r="F9" s="1" t="s">
        <v>563</v>
      </c>
      <c r="H9" s="198">
        <f>if(STATIC_ACTION_POINTS,VLOOKUP(POWER_LEVEL,G6:H9,2,False),ROUNDUP((DEX+INT)/12,0))</f>
        <v>3</v>
      </c>
    </row>
    <row r="10">
      <c r="A10" s="55"/>
      <c r="B10" s="118"/>
      <c r="C10" s="118"/>
      <c r="D10" s="118"/>
    </row>
    <row r="11">
      <c r="A11" s="1" t="s">
        <v>564</v>
      </c>
      <c r="B11" s="1" t="s">
        <v>565</v>
      </c>
      <c r="C11" s="1" t="s">
        <v>566</v>
      </c>
      <c r="D11" s="1" t="s">
        <v>567</v>
      </c>
      <c r="E11" s="198">
        <f>CON</f>
        <v>13</v>
      </c>
      <c r="F11" s="1" t="s">
        <v>14</v>
      </c>
      <c r="G11" s="1" t="s">
        <v>178</v>
      </c>
      <c r="H11" s="1">
        <v>1.0</v>
      </c>
      <c r="I11" s="1" t="s">
        <v>568</v>
      </c>
      <c r="J11" s="1" t="s">
        <v>569</v>
      </c>
      <c r="K11" s="1" t="s">
        <v>187</v>
      </c>
      <c r="L11" s="1">
        <v>1.0</v>
      </c>
      <c r="M11" s="1" t="s">
        <v>570</v>
      </c>
      <c r="N11" s="1" t="s">
        <v>569</v>
      </c>
    </row>
    <row r="12">
      <c r="B12" s="1" t="s">
        <v>571</v>
      </c>
      <c r="D12" s="1" t="s">
        <v>572</v>
      </c>
      <c r="E12" s="198">
        <f>INT</f>
        <v>13</v>
      </c>
      <c r="F12" s="1" t="s">
        <v>27</v>
      </c>
      <c r="H12" s="1">
        <v>9.0</v>
      </c>
      <c r="I12" s="1" t="s">
        <v>573</v>
      </c>
      <c r="J12" s="1" t="s">
        <v>569</v>
      </c>
      <c r="K12" s="1" t="s">
        <v>574</v>
      </c>
      <c r="L12" s="1">
        <v>9.0</v>
      </c>
      <c r="M12" s="1" t="s">
        <v>575</v>
      </c>
      <c r="N12" s="1" t="s">
        <v>569</v>
      </c>
    </row>
    <row r="13">
      <c r="B13" s="1" t="s">
        <v>576</v>
      </c>
      <c r="D13" s="1" t="s">
        <v>577</v>
      </c>
      <c r="E13" s="198">
        <f>CHA</f>
        <v>13</v>
      </c>
      <c r="F13" s="1" t="s">
        <v>35</v>
      </c>
      <c r="H13" s="1">
        <v>13.0</v>
      </c>
      <c r="I13" s="1" t="s">
        <v>578</v>
      </c>
      <c r="J13" s="1" t="s">
        <v>579</v>
      </c>
      <c r="K13" s="198">
        <f>if(CLOSE_COMBAT_ATTACK_CHARISMA,CHA,CON)</f>
        <v>13</v>
      </c>
      <c r="L13" s="1">
        <v>13.0</v>
      </c>
      <c r="M13" s="1" t="s">
        <v>568</v>
      </c>
      <c r="N13" s="1" t="s">
        <v>579</v>
      </c>
    </row>
    <row r="14">
      <c r="B14" s="1" t="s">
        <v>580</v>
      </c>
      <c r="D14" s="1" t="s">
        <v>581</v>
      </c>
      <c r="E14" s="198">
        <f>CON</f>
        <v>13</v>
      </c>
      <c r="F14" s="1" t="s">
        <v>14</v>
      </c>
      <c r="H14" s="1">
        <v>16.0</v>
      </c>
      <c r="I14" s="1" t="s">
        <v>582</v>
      </c>
      <c r="J14" s="1" t="s">
        <v>579</v>
      </c>
      <c r="L14" s="1">
        <v>16.0</v>
      </c>
      <c r="M14" s="1" t="s">
        <v>573</v>
      </c>
      <c r="N14" s="1" t="s">
        <v>579</v>
      </c>
    </row>
    <row r="15">
      <c r="B15" s="1" t="s">
        <v>583</v>
      </c>
      <c r="D15" s="1" t="s">
        <v>584</v>
      </c>
      <c r="E15" s="198">
        <f>CHA</f>
        <v>13</v>
      </c>
      <c r="F15" s="1" t="s">
        <v>35</v>
      </c>
      <c r="H15" s="1">
        <v>19.0</v>
      </c>
      <c r="I15" s="1" t="s">
        <v>585</v>
      </c>
      <c r="J15" s="1" t="s">
        <v>586</v>
      </c>
      <c r="L15" s="1">
        <v>19.0</v>
      </c>
      <c r="M15" s="1" t="s">
        <v>587</v>
      </c>
      <c r="N15" s="1" t="s">
        <v>586</v>
      </c>
    </row>
    <row r="16">
      <c r="B16" s="1" t="s">
        <v>588</v>
      </c>
      <c r="D16" s="1" t="s">
        <v>589</v>
      </c>
      <c r="E16" s="198">
        <f>INT</f>
        <v>13</v>
      </c>
      <c r="F16" s="1" t="s">
        <v>27</v>
      </c>
      <c r="H16" s="1">
        <v>22.0</v>
      </c>
      <c r="I16" s="1" t="s">
        <v>590</v>
      </c>
      <c r="J16" s="1" t="s">
        <v>591</v>
      </c>
      <c r="L16" s="1">
        <v>22.0</v>
      </c>
      <c r="M16" s="1" t="s">
        <v>582</v>
      </c>
      <c r="N16" s="1" t="s">
        <v>591</v>
      </c>
    </row>
    <row r="17">
      <c r="B17" s="1" t="s">
        <v>592</v>
      </c>
      <c r="D17" s="1" t="s">
        <v>139</v>
      </c>
      <c r="E17" s="198">
        <f>INT</f>
        <v>13</v>
      </c>
      <c r="F17" s="1" t="s">
        <v>27</v>
      </c>
      <c r="G17" s="1" t="s">
        <v>593</v>
      </c>
      <c r="I17" s="210" t="str">
        <f>VLOOKUP(POW,H11:J16,2,TRUE)</f>
        <v>1d12</v>
      </c>
      <c r="J17" s="210" t="str">
        <f>VLOOKUP(POW,H11:J16,3,TRUE)</f>
        <v>L</v>
      </c>
      <c r="K17" s="1" t="s">
        <v>593</v>
      </c>
      <c r="M17" s="210" t="str">
        <f>VLOOKUP(CLOSE_COMBAT_ATTACK_SOURCE,L11:N16,2,TRUE)</f>
        <v>1d8</v>
      </c>
      <c r="N17" s="210" t="str">
        <f>VLOOKUP(CLOSE_COMBAT_ATTACK_SOURCE,L11:N16,3,TRUE)</f>
        <v>L</v>
      </c>
    </row>
    <row r="18">
      <c r="B18" s="1" t="s">
        <v>594</v>
      </c>
      <c r="C18" s="1" t="s">
        <v>593</v>
      </c>
      <c r="D18" s="198" t="str">
        <f>ORIGIN</f>
        <v>Training (INT)</v>
      </c>
      <c r="E18" s="198">
        <f>VLOOKUP(ORIGIN,D11:E17,2,False)</f>
        <v>13</v>
      </c>
    </row>
    <row r="19">
      <c r="B19" s="1" t="s">
        <v>595</v>
      </c>
      <c r="K19" s="1" t="s">
        <v>596</v>
      </c>
      <c r="L19" s="1">
        <v>1.0</v>
      </c>
      <c r="M19" s="1" t="s">
        <v>597</v>
      </c>
      <c r="N19" s="1" t="s">
        <v>598</v>
      </c>
    </row>
    <row r="20">
      <c r="B20" s="1" t="s">
        <v>599</v>
      </c>
      <c r="L20" s="1">
        <v>9.0</v>
      </c>
      <c r="M20" s="1" t="s">
        <v>570</v>
      </c>
      <c r="N20" s="1" t="str">
        <f>"+1"</f>
        <v>+1</v>
      </c>
    </row>
    <row r="21">
      <c r="B21" s="1" t="s">
        <v>600</v>
      </c>
      <c r="D21" s="1" t="s">
        <v>198</v>
      </c>
      <c r="E21" s="1" t="s">
        <v>601</v>
      </c>
      <c r="G21" s="214" t="s">
        <v>340</v>
      </c>
      <c r="H21" s="1" t="s">
        <v>602</v>
      </c>
      <c r="L21" s="1">
        <v>13.0</v>
      </c>
      <c r="M21" s="1" t="s">
        <v>575</v>
      </c>
      <c r="N21" s="1" t="str">
        <f t="shared" ref="N21:N22" si="1">"+2"</f>
        <v>+2</v>
      </c>
    </row>
    <row r="22">
      <c r="B22" s="1" t="s">
        <v>603</v>
      </c>
      <c r="E22" s="1" t="s">
        <v>604</v>
      </c>
      <c r="H22" s="1" t="s">
        <v>605</v>
      </c>
      <c r="L22" s="1">
        <v>16.0</v>
      </c>
      <c r="M22" s="1" t="s">
        <v>568</v>
      </c>
      <c r="N22" s="1" t="str">
        <f t="shared" si="1"/>
        <v>+2</v>
      </c>
    </row>
    <row r="23">
      <c r="B23" s="1" t="s">
        <v>606</v>
      </c>
      <c r="E23" s="1" t="s">
        <v>607</v>
      </c>
      <c r="H23" s="1" t="s">
        <v>608</v>
      </c>
      <c r="L23" s="1">
        <v>19.0</v>
      </c>
      <c r="M23" s="1" t="s">
        <v>573</v>
      </c>
      <c r="N23" s="1" t="str">
        <f t="shared" ref="N23:N24" si="2">"+3"</f>
        <v>+3</v>
      </c>
    </row>
    <row r="24">
      <c r="B24" s="1" t="s">
        <v>609</v>
      </c>
      <c r="E24" s="1" t="s">
        <v>610</v>
      </c>
      <c r="H24" s="1" t="s">
        <v>611</v>
      </c>
      <c r="L24" s="1">
        <v>22.0</v>
      </c>
      <c r="M24" s="1" t="s">
        <v>578</v>
      </c>
      <c r="N24" s="1" t="str">
        <f t="shared" si="2"/>
        <v>+3</v>
      </c>
    </row>
    <row r="25">
      <c r="E25" s="1" t="s">
        <v>612</v>
      </c>
      <c r="H25" s="1" t="s">
        <v>613</v>
      </c>
      <c r="K25" s="1" t="s">
        <v>593</v>
      </c>
      <c r="M25" s="210" t="str">
        <f>VLOOKUP(INT,L19:N24,2,TRUE)</f>
        <v>1d6</v>
      </c>
      <c r="N25" s="210" t="str">
        <f>VLOOKUP(INT,L19:N24,3,TRUE)</f>
        <v>+2</v>
      </c>
    </row>
    <row r="26">
      <c r="A26" s="1" t="s">
        <v>614</v>
      </c>
      <c r="B26" s="1" t="s">
        <v>615</v>
      </c>
      <c r="C26" s="1" t="s">
        <v>118</v>
      </c>
      <c r="E26" s="1" t="s">
        <v>616</v>
      </c>
      <c r="H26" s="1" t="s">
        <v>617</v>
      </c>
    </row>
    <row r="27">
      <c r="B27" s="1">
        <v>0.0</v>
      </c>
      <c r="C27" s="215" t="s">
        <v>618</v>
      </c>
      <c r="E27" s="1" t="s">
        <v>619</v>
      </c>
      <c r="H27" s="1" t="s">
        <v>620</v>
      </c>
    </row>
    <row r="28">
      <c r="B28" s="1">
        <v>6.0</v>
      </c>
      <c r="C28" s="215" t="s">
        <v>621</v>
      </c>
      <c r="E28" s="1" t="s">
        <v>622</v>
      </c>
      <c r="H28" s="1" t="s">
        <v>623</v>
      </c>
    </row>
    <row r="29">
      <c r="B29" s="1">
        <v>11.0</v>
      </c>
      <c r="C29" s="215" t="s">
        <v>624</v>
      </c>
      <c r="E29" s="1" t="s">
        <v>625</v>
      </c>
      <c r="H29" s="1" t="s">
        <v>626</v>
      </c>
    </row>
    <row r="30">
      <c r="B30" s="1">
        <v>16.0</v>
      </c>
      <c r="C30" s="215" t="s">
        <v>627</v>
      </c>
      <c r="E30" s="1" t="s">
        <v>628</v>
      </c>
      <c r="H30" s="1" t="s">
        <v>629</v>
      </c>
    </row>
    <row r="31">
      <c r="B31" s="1">
        <v>21.0</v>
      </c>
      <c r="C31" s="215"/>
      <c r="E31" s="1" t="s">
        <v>630</v>
      </c>
      <c r="H31" s="1" t="s">
        <v>631</v>
      </c>
    </row>
    <row r="32">
      <c r="B32" s="1">
        <v>26.0</v>
      </c>
      <c r="C32" s="216" t="s">
        <v>632</v>
      </c>
      <c r="E32" s="1" t="s">
        <v>633</v>
      </c>
    </row>
    <row r="33">
      <c r="B33" s="1">
        <v>31.0</v>
      </c>
      <c r="C33" s="216" t="s">
        <v>634</v>
      </c>
      <c r="E33" s="1" t="s">
        <v>635</v>
      </c>
    </row>
    <row r="34">
      <c r="B34" s="1">
        <v>36.0</v>
      </c>
      <c r="C34" s="216" t="s">
        <v>636</v>
      </c>
    </row>
    <row r="35">
      <c r="B35" s="1">
        <v>41.0</v>
      </c>
      <c r="C35" s="216" t="s">
        <v>637</v>
      </c>
      <c r="D35" s="1" t="s">
        <v>379</v>
      </c>
      <c r="E35" s="1" t="s">
        <v>638</v>
      </c>
    </row>
    <row r="36">
      <c r="B36" s="1">
        <v>46.0</v>
      </c>
      <c r="C36" s="216" t="s">
        <v>639</v>
      </c>
      <c r="E36" s="1" t="s">
        <v>640</v>
      </c>
    </row>
    <row r="37">
      <c r="B37" s="1">
        <v>51.0</v>
      </c>
      <c r="C37" s="216" t="s">
        <v>641</v>
      </c>
      <c r="E37" s="1" t="s">
        <v>642</v>
      </c>
    </row>
    <row r="38">
      <c r="B38" s="1">
        <v>61.0</v>
      </c>
      <c r="C38" s="216" t="s">
        <v>643</v>
      </c>
      <c r="E38" s="1" t="s">
        <v>644</v>
      </c>
    </row>
    <row r="39">
      <c r="B39" s="1">
        <v>71.0</v>
      </c>
      <c r="C39" s="216" t="s">
        <v>645</v>
      </c>
      <c r="E39" s="1" t="s">
        <v>646</v>
      </c>
    </row>
    <row r="40">
      <c r="B40" s="1">
        <v>81.0</v>
      </c>
      <c r="C40" s="216" t="s">
        <v>647</v>
      </c>
      <c r="E40" s="1" t="s">
        <v>648</v>
      </c>
    </row>
    <row r="41">
      <c r="B41" s="1">
        <v>91.0</v>
      </c>
      <c r="C41" s="216" t="s">
        <v>649</v>
      </c>
      <c r="E41" s="1" t="s">
        <v>650</v>
      </c>
    </row>
    <row r="42">
      <c r="B42" s="1">
        <v>101.0</v>
      </c>
      <c r="C42" s="216" t="s">
        <v>651</v>
      </c>
      <c r="E42" s="1" t="s">
        <v>652</v>
      </c>
    </row>
    <row r="43">
      <c r="B43" s="1">
        <v>111.0</v>
      </c>
      <c r="C43" s="216" t="s">
        <v>653</v>
      </c>
      <c r="E43" s="1" t="s">
        <v>654</v>
      </c>
    </row>
    <row r="44">
      <c r="B44" s="1">
        <v>121.0</v>
      </c>
      <c r="C44" s="216" t="s">
        <v>655</v>
      </c>
    </row>
    <row r="46">
      <c r="A46" s="1" t="s">
        <v>656</v>
      </c>
      <c r="B46" s="198">
        <f>STR+SIZ+IF(ENHANCED_STRENGTH, CON, IF(ENHANCED_BODY,ROUNDUP(CON/2,0),0))</f>
        <v>26</v>
      </c>
      <c r="C46" s="204" t="s">
        <v>657</v>
      </c>
      <c r="D46" s="217">
        <f>POW+CHA</f>
        <v>26</v>
      </c>
    </row>
    <row r="47">
      <c r="A47" s="1" t="s">
        <v>118</v>
      </c>
      <c r="B47" s="218" t="str">
        <f>VLOOKUP(DAMAGE_MOD_CALC,DAMAGE_MOD_TABLE,2,TRUE)</f>
        <v>+1d2</v>
      </c>
      <c r="C47" s="204" t="s">
        <v>658</v>
      </c>
      <c r="D47" s="219" t="str">
        <f>VLOOKUP(CHA_DAMAGE_MOD_CALC,DAMAGE_MOD_TABLE,2,TRUE)</f>
        <v>+1d2</v>
      </c>
    </row>
    <row r="49">
      <c r="A49" s="1" t="s">
        <v>659</v>
      </c>
      <c r="B49" s="1" t="s">
        <v>560</v>
      </c>
      <c r="C49" s="1" t="s">
        <v>144</v>
      </c>
      <c r="D49" s="1" t="s">
        <v>562</v>
      </c>
      <c r="E49" s="1" t="s">
        <v>660</v>
      </c>
    </row>
    <row r="50">
      <c r="A50" s="1">
        <v>0.0</v>
      </c>
      <c r="B50" s="1">
        <v>0.0</v>
      </c>
      <c r="C50" s="1">
        <v>2.0</v>
      </c>
      <c r="D50" s="1">
        <v>4.0</v>
      </c>
      <c r="E50" s="198">
        <f>VLOOKUP(IF(STATIC_POWER_SLOTS,"STATIC",ORIGIN_CHARACTERISTIC_VALUE), A50:D54, MATCH(POWER_LEVEL,A49:D49,0), TRUE)</f>
        <v>4</v>
      </c>
    </row>
    <row r="51">
      <c r="A51" s="1">
        <v>7.0</v>
      </c>
      <c r="B51" s="1">
        <v>1.0</v>
      </c>
      <c r="C51" s="1">
        <v>3.0</v>
      </c>
      <c r="D51" s="1">
        <v>5.0</v>
      </c>
    </row>
    <row r="52">
      <c r="A52" s="1">
        <v>13.0</v>
      </c>
      <c r="B52" s="1">
        <v>2.0</v>
      </c>
      <c r="C52" s="1">
        <v>4.0</v>
      </c>
      <c r="D52" s="1">
        <v>6.0</v>
      </c>
    </row>
    <row r="53">
      <c r="A53" s="1">
        <v>18.0</v>
      </c>
      <c r="B53" s="1">
        <v>3.0</v>
      </c>
      <c r="C53" s="1">
        <v>5.0</v>
      </c>
      <c r="D53" s="1">
        <v>7.0</v>
      </c>
    </row>
    <row r="54">
      <c r="A54" s="1" t="s">
        <v>661</v>
      </c>
      <c r="B54" s="1">
        <v>2.0</v>
      </c>
      <c r="C54" s="1">
        <v>4.0</v>
      </c>
      <c r="D54" s="1">
        <v>6.0</v>
      </c>
    </row>
    <row r="56">
      <c r="A56" s="1" t="s">
        <v>662</v>
      </c>
      <c r="B56" s="1" t="s">
        <v>593</v>
      </c>
      <c r="C56" s="1" t="s">
        <v>560</v>
      </c>
      <c r="D56" s="1" t="s">
        <v>144</v>
      </c>
      <c r="E56" s="1" t="s">
        <v>562</v>
      </c>
    </row>
    <row r="57">
      <c r="A57" s="1" t="s">
        <v>663</v>
      </c>
      <c r="B57" s="198">
        <f>HLOOKUP(POWER_LEVEL,C56:E63,MATCH(A57,A56:A63,0),False)</f>
        <v>90</v>
      </c>
      <c r="C57" s="1">
        <v>80.0</v>
      </c>
      <c r="D57" s="1">
        <v>90.0</v>
      </c>
      <c r="E57" s="1">
        <v>100.0</v>
      </c>
    </row>
    <row r="58">
      <c r="A58" s="1" t="s">
        <v>664</v>
      </c>
      <c r="B58" s="198">
        <f>HLOOKUP(POWER_LEVEL,C56:E63,MATCH(A58,A56:A63,0),False)</f>
        <v>20</v>
      </c>
      <c r="C58" s="1">
        <v>18.0</v>
      </c>
      <c r="D58" s="1">
        <v>20.0</v>
      </c>
      <c r="E58" s="1">
        <v>22.0</v>
      </c>
    </row>
    <row r="59">
      <c r="A59" s="1" t="s">
        <v>665</v>
      </c>
      <c r="B59" s="198" t="str">
        <f>HLOOKUP(POWER_LEVEL,C56:E63,MATCH(A59,A56:A63,0),False)</f>
        <v>+1</v>
      </c>
      <c r="C59" s="1">
        <v>0.0</v>
      </c>
      <c r="D59" s="220" t="s">
        <v>666</v>
      </c>
      <c r="E59" s="220" t="s">
        <v>667</v>
      </c>
    </row>
    <row r="60">
      <c r="A60" s="1" t="s">
        <v>668</v>
      </c>
      <c r="B60" s="198">
        <f>HLOOKUP(POWER_LEVEL,C56:E63,MATCH(A60,A56:A63,0),False)</f>
        <v>110</v>
      </c>
      <c r="C60" s="1">
        <v>100.0</v>
      </c>
      <c r="D60" s="1">
        <v>110.0</v>
      </c>
      <c r="E60" s="1">
        <v>125.0</v>
      </c>
    </row>
    <row r="61">
      <c r="A61" s="1" t="s">
        <v>669</v>
      </c>
      <c r="B61" s="198">
        <f>HLOOKUP(POWER_LEVEL,C56:E63,MATCH(A61,A56:A63,0),False)</f>
        <v>110</v>
      </c>
      <c r="C61" s="1">
        <v>100.0</v>
      </c>
      <c r="D61" s="1">
        <v>110.0</v>
      </c>
      <c r="E61" s="1">
        <v>125.0</v>
      </c>
    </row>
    <row r="62">
      <c r="A62" s="1" t="s">
        <v>670</v>
      </c>
      <c r="B62" s="198">
        <f>HLOOKUP(POWER_LEVEL,C56:E63,MATCH(A62,A56:A63,0),False)</f>
        <v>180</v>
      </c>
      <c r="C62" s="1">
        <v>150.0</v>
      </c>
      <c r="D62" s="1">
        <v>180.0</v>
      </c>
      <c r="E62" s="1">
        <v>200.0</v>
      </c>
    </row>
    <row r="63">
      <c r="A63" s="1" t="s">
        <v>671</v>
      </c>
      <c r="B63" s="198">
        <f>HLOOKUP(POWER_LEVEL,C56:E63,MATCH(A63,A56:A63,0),False)</f>
        <v>20</v>
      </c>
      <c r="C63" s="1">
        <v>15.0</v>
      </c>
      <c r="D63" s="1">
        <v>20.0</v>
      </c>
      <c r="E63" s="1">
        <v>25.0</v>
      </c>
    </row>
    <row r="65">
      <c r="B65" s="1" t="s">
        <v>593</v>
      </c>
      <c r="C65" s="1" t="s">
        <v>560</v>
      </c>
      <c r="D65" s="1" t="s">
        <v>144</v>
      </c>
      <c r="E65" s="1" t="s">
        <v>562</v>
      </c>
    </row>
    <row r="66">
      <c r="A66" s="1" t="s">
        <v>672</v>
      </c>
      <c r="B66" s="198">
        <f>HLOOKUP(POWER_LEVEL,$C$65:$E$71 ,MATCH(A66,$A$65:$A$71,0),False)</f>
        <v>6</v>
      </c>
      <c r="C66" s="1">
        <v>4.0</v>
      </c>
      <c r="D66" s="1">
        <v>6.0</v>
      </c>
      <c r="E66" s="1">
        <v>8.0</v>
      </c>
    </row>
    <row r="67">
      <c r="A67" s="1" t="s">
        <v>673</v>
      </c>
      <c r="B67" s="198">
        <f>HLOOKUP(POWER_LEVEL,$C$65:$E$71 ,MATCH(A67,$A$65:$A$71,0),False)</f>
        <v>1</v>
      </c>
      <c r="C67" s="1">
        <v>0.0</v>
      </c>
      <c r="D67" s="1">
        <v>1.0</v>
      </c>
      <c r="E67" s="1">
        <v>2.0</v>
      </c>
    </row>
    <row r="68">
      <c r="A68" s="1" t="s">
        <v>674</v>
      </c>
      <c r="B68" s="198">
        <f>HLOOKUP(POWER_LEVEL,$C$65:$E$71 ,MATCH(A68,$A$65:$A$71,0),False)</f>
        <v>4</v>
      </c>
      <c r="C68" s="1">
        <v>3.0</v>
      </c>
      <c r="D68" s="1">
        <v>4.0</v>
      </c>
      <c r="E68" s="1">
        <v>5.0</v>
      </c>
    </row>
    <row r="69">
      <c r="A69" s="1" t="s">
        <v>19</v>
      </c>
      <c r="B69" s="198">
        <f>HLOOKUP(POWER_LEVEL,$C$65:$E$71 ,MATCH(A69,$A$65:$A$71,0),False)</f>
        <v>13</v>
      </c>
      <c r="C69" s="1">
        <f>POW-2</f>
        <v>11</v>
      </c>
      <c r="D69" s="1">
        <f>POW</f>
        <v>13</v>
      </c>
      <c r="E69" s="1">
        <f>POW+2</f>
        <v>15</v>
      </c>
    </row>
    <row r="70">
      <c r="A70" s="1" t="s">
        <v>675</v>
      </c>
      <c r="B70" s="198" t="str">
        <f>HLOOKUP(POWER_LEVEL,$C$65:$E$71 ,MATCH(A70,$A$65:$A$71,0),False)</f>
        <v>2/hour</v>
      </c>
      <c r="C70" s="1" t="s">
        <v>676</v>
      </c>
      <c r="D70" s="1" t="s">
        <v>677</v>
      </c>
      <c r="E70" s="1" t="s">
        <v>678</v>
      </c>
    </row>
    <row r="71">
      <c r="A71" s="1" t="s">
        <v>679</v>
      </c>
      <c r="B71" s="221">
        <f>HLOOKUP(POWER_LEVEL,$C$65:$E$71 ,MATCH(A71,$A$65:$A$71,0),False)</f>
        <v>0.4</v>
      </c>
      <c r="C71" s="222">
        <v>0.3</v>
      </c>
      <c r="D71" s="222">
        <v>0.4</v>
      </c>
      <c r="E71" s="222">
        <v>0.5</v>
      </c>
    </row>
    <row r="73">
      <c r="D73" s="1" t="s">
        <v>680</v>
      </c>
    </row>
    <row r="74">
      <c r="B74" s="198" t="str">
        <f>IFERROR(__xludf.DUMMYFUNCTION("IFERROR(JOIN(CHAR(10),
   ARRAYFORMULA(filter(powers!$I$2:$I$10,powers!$H$2:$H$10&gt;0)&amp;
IF(ISBLANK(filter(powers!$J$2:$J$10,powers!$H$2:$H$10&gt;0)),"""", "": "")&amp;
filter(powers!$J$2:$J$10,powers!$H$2:$H$10&gt;0))
))"),"")</f>
        <v/>
      </c>
      <c r="D74" s="198" t="str">
        <f>IFERROR(__xludf.DUMMYFUNCTION("IFERROR(filter($B$74:$B$83,$B$74:$B$83&lt;&gt;""""))"),"")</f>
        <v/>
      </c>
    </row>
    <row r="75">
      <c r="A75" s="198" t="str">
        <f>IFERROR(__xludf.DUMMYFUNCTION("FILTER(powers!A13:A1001,powers!B13:B1001&gt;0)"),"#N/A")</f>
        <v>#N/A</v>
      </c>
      <c r="B75" s="198" t="str">
        <f>IFERROR(__xludf.DUMMYFUNCTION("JOIN(CHAR(10),
   ARRAYFORMULA(filter(powers!$C$13:$C1001,powers!$A$13:$A1001=A75,powers!$C$13:$C1001&lt;&gt;"""")&amp;
IF(ISBLANK(filter(powers!$D$13:$D1001,powers!$A$13:$A1001=A75,powers!$C$13:$C1001&lt;&gt;"""")),"""", "": "")&amp;
filter(powers!$D$13:$D1001,powers!$A$13:"&amp;"$A1001=A75,powers!$C$13:$C1001&lt;&gt;""""))
)&amp;
IFERROR(
CHAR(10)&amp;JOIN(CHAR(10),
   ARRAYFORMULA(filter("" -""&amp;powers!$F$13:$F1001,powers!$A$13:$A1001=A75,powers!$E$13:$E1001&gt;0)&amp;
IF(ISBLANK(filter(powers!$G$13:$G1001,powers!$A$13:$A1001=A75,powers!$E$13:$E1001&gt;"&amp;"0)),"""", "": "")&amp;
filter(powers!$G$13:$G1001,powers!$A$13:$A1001=A75,powers!$E$13:$E1001&gt;0))
), """"
)&amp;
IFERROR(
CHAR(10)&amp;JOIN(CHAR(10),
   ARRAYFORMULA(filter("" -""&amp;powers!$I$13:$I1001,powers!$A$13:$A1001=A75,powers!$H$13:$H1001&gt;0)&amp;
IF(ISBLANK(filter(p"&amp;"owers!$J$13:$J1001,powers!$A$13:$A1001=A75,powers!$H$13:$H1001&gt;0)),"""", "": "")&amp;
filter(powers!$J$13:$J1001,powers!$A$13:$A1001=A75,powers!$H$13:$H1001&gt;0))
), """"
)"),"#N/A")</f>
        <v>#N/A</v>
      </c>
    </row>
    <row r="76">
      <c r="B76" s="198" t="str">
        <f>IFERROR(__xludf.DUMMYFUNCTION("JOIN(CHAR(10),
   ARRAYFORMULA(filter(powers!$C$13:$C1001,powers!$A$13:$A1001=A76,powers!$C$13:$C1001&lt;&gt;"""")&amp;
IF(ISBLANK(filter(powers!$D$13:$D1001,powers!$A$13:$A1001=A76,powers!$C$13:$C1001&lt;&gt;"""")),"""", "": "")&amp;
filter(powers!$D$13:$D1001,powers!$A$13:"&amp;"$A1001=A76,powers!$C$13:$C1001&lt;&gt;""""))
)&amp;
IFERROR(
CHAR(10)&amp;JOIN(CHAR(10),
   ARRAYFORMULA(filter("" -""&amp;powers!$F$13:$F1001,powers!$A$13:$A1001=A76,powers!$E$13:$E1001&gt;0)&amp;
IF(ISBLANK(filter(powers!$G$13:$G1001,powers!$A$13:$A1001=A76,powers!$E$13:$E1001&gt;"&amp;"0)),"""", "": "")&amp;
filter(powers!$G$13:$G1001,powers!$A$13:$A1001=A76,powers!$E$13:$E1001&gt;0))
), """"
)&amp;
IFERROR(
CHAR(10)&amp;JOIN(CHAR(10),
   ARRAYFORMULA(filter("" -""&amp;powers!$I$13:$I1001,powers!$A$13:$A1001=A76,powers!$H$13:$H1001&gt;0)&amp;
IF(ISBLANK(filter(p"&amp;"owers!$J$13:$J1001,powers!$A$13:$A1001=A76,powers!$H$13:$H1001&gt;0)),"""", "": "")&amp;
filter(powers!$J$13:$J1001,powers!$A$13:$A1001=A76,powers!$H$13:$H1001&gt;0))
), """"
)"),"#N/A")</f>
        <v>#N/A</v>
      </c>
    </row>
    <row r="77">
      <c r="B77" s="198" t="str">
        <f>IFERROR(__xludf.DUMMYFUNCTION("JOIN(CHAR(10),
   ARRAYFORMULA(filter(powers!$C$13:$C1001,powers!$A$13:$A1001=A77,powers!$C$13:$C1001&lt;&gt;"""")&amp;
IF(ISBLANK(filter(powers!$D$13:$D1001,powers!$A$13:$A1001=A77,powers!$C$13:$C1001&lt;&gt;"""")),"""", "": "")&amp;
filter(powers!$D$13:$D1001,powers!$A$13:"&amp;"$A1001=A77,powers!$C$13:$C1001&lt;&gt;""""))
)&amp;
IFERROR(
CHAR(10)&amp;JOIN(CHAR(10),
   ARRAYFORMULA(filter("" -""&amp;powers!$F$13:$F1001,powers!$A$13:$A1001=A77,powers!$E$13:$E1001&gt;0)&amp;
IF(ISBLANK(filter(powers!$G$13:$G1001,powers!$A$13:$A1001=A77,powers!$E$13:$E1001&gt;"&amp;"0)),"""", "": "")&amp;
filter(powers!$G$13:$G1001,powers!$A$13:$A1001=A77,powers!$E$13:$E1001&gt;0))
), """"
)&amp;
IFERROR(
CHAR(10)&amp;JOIN(CHAR(10),
   ARRAYFORMULA(filter("" -""&amp;powers!$I$13:$I1001,powers!$A$13:$A1001=A77,powers!$H$13:$H1001&gt;0)&amp;
IF(ISBLANK(filter(p"&amp;"owers!$J$13:$J1001,powers!$A$13:$A1001=A77,powers!$H$13:$H1001&gt;0)),"""", "": "")&amp;
filter(powers!$J$13:$J1001,powers!$A$13:$A1001=A77,powers!$H$13:$H1001&gt;0))
), """"
)"),"#N/A")</f>
        <v>#N/A</v>
      </c>
    </row>
    <row r="78">
      <c r="B78" s="198" t="str">
        <f>IFERROR(__xludf.DUMMYFUNCTION("JOIN(CHAR(10),
   ARRAYFORMULA(filter(powers!$C$13:$C1001,powers!$A$13:$A1001=A78,powers!$C$13:$C1001&lt;&gt;"""")&amp;
IF(ISBLANK(filter(powers!$D$13:$D1001,powers!$A$13:$A1001=A78,powers!$C$13:$C1001&lt;&gt;"""")),"""", "": "")&amp;
filter(powers!$D$13:$D1001,powers!$A$13:"&amp;"$A1001=A78,powers!$C$13:$C1001&lt;&gt;""""))
)&amp;
IFERROR(
CHAR(10)&amp;JOIN(CHAR(10),
   ARRAYFORMULA(filter("" -""&amp;powers!$F$13:$F1001,powers!$A$13:$A1001=A78,powers!$E$13:$E1001&gt;0)&amp;
IF(ISBLANK(filter(powers!$G$13:$G1001,powers!$A$13:$A1001=A78,powers!$E$13:$E1001&gt;"&amp;"0)),"""", "": "")&amp;
filter(powers!$G$13:$G1001,powers!$A$13:$A1001=A78,powers!$E$13:$E1001&gt;0))
), """"
)&amp;
IFERROR(
CHAR(10)&amp;JOIN(CHAR(10),
   ARRAYFORMULA(filter("" -""&amp;powers!$I$13:$I1001,powers!$A$13:$A1001=A78,powers!$H$13:$H1001&gt;0)&amp;
IF(ISBLANK(filter(p"&amp;"owers!$J$13:$J1001,powers!$A$13:$A1001=A78,powers!$H$13:$H1001&gt;0)),"""", "": "")&amp;
filter(powers!$J$13:$J1001,powers!$A$13:$A1001=A78,powers!$H$13:$H1001&gt;0))
), """"
)"),"#N/A")</f>
        <v>#N/A</v>
      </c>
    </row>
    <row r="79">
      <c r="B79" s="198" t="str">
        <f>IFERROR(__xludf.DUMMYFUNCTION("JOIN(CHAR(10),
   ARRAYFORMULA(filter(powers!$C$13:$C1001,powers!$A$13:$A1001=A79,powers!$C$13:$C1001&lt;&gt;"""")&amp;
IF(ISBLANK(filter(powers!$D$13:$D1001,powers!$A$13:$A1001=A79,powers!$C$13:$C1001&lt;&gt;"""")),"""", "": "")&amp;
filter(powers!$D$13:$D1001,powers!$A$13:"&amp;"$A1001=A79,powers!$C$13:$C1001&lt;&gt;""""))
)&amp;
IFERROR(
CHAR(10)&amp;JOIN(CHAR(10),
   ARRAYFORMULA(filter("" -""&amp;powers!$F$13:$F1001,powers!$A$13:$A1001=A79,powers!$E$13:$E1001&gt;0)&amp;
IF(ISBLANK(filter(powers!$G$13:$G1001,powers!$A$13:$A1001=A79,powers!$E$13:$E1001&gt;"&amp;"0)),"""", "": "")&amp;
filter(powers!$G$13:$G1001,powers!$A$13:$A1001=A79,powers!$E$13:$E1001&gt;0))
), """"
)&amp;
IFERROR(
CHAR(10)&amp;JOIN(CHAR(10),
   ARRAYFORMULA(filter("" -""&amp;powers!$I$13:$I1001,powers!$A$13:$A1001=A79,powers!$H$13:$H1001&gt;0)&amp;
IF(ISBLANK(filter(p"&amp;"owers!$J$13:$J1001,powers!$A$13:$A1001=A79,powers!$H$13:$H1001&gt;0)),"""", "": "")&amp;
filter(powers!$J$13:$J1001,powers!$A$13:$A1001=A79,powers!$H$13:$H1001&gt;0))
), """"
)"),"#N/A")</f>
        <v>#N/A</v>
      </c>
    </row>
    <row r="80">
      <c r="B80" s="198" t="str">
        <f>IFERROR(__xludf.DUMMYFUNCTION("JOIN(CHAR(10),
   ARRAYFORMULA(filter(powers!$C$13:$C1001,powers!$A$13:$A1001=A80,powers!$C$13:$C1001&lt;&gt;"""")&amp;
IF(ISBLANK(filter(powers!$D$13:$D1001,powers!$A$13:$A1001=A80,powers!$C$13:$C1001&lt;&gt;"""")),"""", "": "")&amp;
filter(powers!$D$13:$D1001,powers!$A$13:"&amp;"$A1001=A80,powers!$C$13:$C1001&lt;&gt;""""))
)&amp;
IFERROR(
CHAR(10)&amp;JOIN(CHAR(10),
   ARRAYFORMULA(filter("" -""&amp;powers!$F$13:$F1001,powers!$A$13:$A1001=A80,powers!$E$13:$E1001&gt;0)&amp;
IF(ISBLANK(filter(powers!$G$13:$G1001,powers!$A$13:$A1001=A80,powers!$E$13:$E1001&gt;"&amp;"0)),"""", "": "")&amp;
filter(powers!$G$13:$G1001,powers!$A$13:$A1001=A80,powers!$E$13:$E1001&gt;0))
), """"
)&amp;
IFERROR(
CHAR(10)&amp;JOIN(CHAR(10),
   ARRAYFORMULA(filter("" -""&amp;powers!$I$13:$I1001,powers!$A$13:$A1001=A80,powers!$H$13:$H1001&gt;0)&amp;
IF(ISBLANK(filter(p"&amp;"owers!$J$13:$J1001,powers!$A$13:$A1001=A80,powers!$H$13:$H1001&gt;0)),"""", "": "")&amp;
filter(powers!$J$13:$J1001,powers!$A$13:$A1001=A80,powers!$H$13:$H1001&gt;0))
), """"
)"),"#N/A")</f>
        <v>#N/A</v>
      </c>
    </row>
    <row r="81">
      <c r="B81" s="198" t="str">
        <f>IFERROR(__xludf.DUMMYFUNCTION("JOIN(CHAR(10),
   ARRAYFORMULA(filter(powers!$C$13:$C1001,powers!$A$13:$A1001=A81,powers!$C$13:$C1001&lt;&gt;"""")&amp;
IF(ISBLANK(filter(powers!$D$13:$D1001,powers!$A$13:$A1001=A81,powers!$C$13:$C1001&lt;&gt;"""")),"""", "": "")&amp;
filter(powers!$D$13:$D1001,powers!$A$13:"&amp;"$A1001=A81,powers!$C$13:$C1001&lt;&gt;""""))
)&amp;
IFERROR(
CHAR(10)&amp;JOIN(CHAR(10),
   ARRAYFORMULA(filter("" -""&amp;powers!$F$13:$F1001,powers!$A$13:$A1001=A81,powers!$E$13:$E1001&gt;0)&amp;
IF(ISBLANK(filter(powers!$G$13:$G1001,powers!$A$13:$A1001=A81,powers!$E$13:$E1001&gt;"&amp;"0)),"""", "": "")&amp;
filter(powers!$G$13:$G1001,powers!$A$13:$A1001=A81,powers!$E$13:$E1001&gt;0))
), """"
)&amp;
IFERROR(
CHAR(10)&amp;JOIN(CHAR(10),
   ARRAYFORMULA(filter("" -""&amp;powers!$I$13:$I1001,powers!$A$13:$A1001=A81,powers!$H$13:$H1001&gt;0)&amp;
IF(ISBLANK(filter(p"&amp;"owers!$J$13:$J1001,powers!$A$13:$A1001=A81,powers!$H$13:$H1001&gt;0)),"""", "": "")&amp;
filter(powers!$J$13:$J1001,powers!$A$13:$A1001=A81,powers!$H$13:$H1001&gt;0))
), """"
)"),"#N/A")</f>
        <v>#N/A</v>
      </c>
    </row>
    <row r="82">
      <c r="B82" s="198" t="str">
        <f>IFERROR(__xludf.DUMMYFUNCTION("JOIN(CHAR(10),
   ARRAYFORMULA(filter(powers!$C$13:$C1001,powers!$A$13:$A1001=A82,powers!$C$13:$C1001&lt;&gt;"""")&amp;
IF(ISBLANK(filter(powers!$D$13:$D1001,powers!$A$13:$A1001=A82,powers!$C$13:$C1001&lt;&gt;"""")),"""", "": "")&amp;
filter(powers!$D$13:$D1001,powers!$A$13:"&amp;"$A1001=A82,powers!$C$13:$C1001&lt;&gt;""""))
)&amp;
IFERROR(
CHAR(10)&amp;JOIN(CHAR(10),
   ARRAYFORMULA(filter("" -""&amp;powers!$F$13:$F1001,powers!$A$13:$A1001=A82,powers!$E$13:$E1001&gt;0)&amp;
IF(ISBLANK(filter(powers!$G$13:$G1001,powers!$A$13:$A1001=A82,powers!$E$13:$E1001&gt;"&amp;"0)),"""", "": "")&amp;
filter(powers!$G$13:$G1001,powers!$A$13:$A1001=A82,powers!$E$13:$E1001&gt;0))
), """"
)&amp;
IFERROR(
CHAR(10)&amp;JOIN(CHAR(10),
   ARRAYFORMULA(filter("" -""&amp;powers!$I$13:$I1001,powers!$A$13:$A1001=A82,powers!$H$13:$H1001&gt;0)&amp;
IF(ISBLANK(filter(p"&amp;"owers!$J$13:$J1001,powers!$A$13:$A1001=A82,powers!$H$13:$H1001&gt;0)),"""", "": "")&amp;
filter(powers!$J$13:$J1001,powers!$A$13:$A1001=A82,powers!$H$13:$H1001&gt;0))
), """"
)"),"#N/A")</f>
        <v>#N/A</v>
      </c>
    </row>
    <row r="83">
      <c r="B83" s="198" t="str">
        <f>IFERROR(__xludf.DUMMYFUNCTION("JOIN(CHAR(10),
   ARRAYFORMULA(filter(powers!$C$13:$C1001,powers!$A$13:$A1001=A83,powers!$C$13:$C1001&lt;&gt;"""")&amp;
IF(ISBLANK(filter(powers!$D$13:$D1001,powers!$A$13:$A1001=A83,powers!$C$13:$C1001&lt;&gt;"""")),"""", "": "")&amp;
filter(powers!$D$13:$D1001,powers!$A$13:"&amp;"$A1001=A83,powers!$C$13:$C1001&lt;&gt;""""))
)&amp;
IFERROR(
CHAR(10)&amp;JOIN(CHAR(10),
   ARRAYFORMULA(filter("" -""&amp;powers!$F$13:$F1001,powers!$A$13:$A1001=A83,powers!$E$13:$E1001&gt;0)&amp;
IF(ISBLANK(filter(powers!$G$13:$G1001,powers!$A$13:$A1001=A83,powers!$E$13:$E1001&gt;"&amp;"0)),"""", "": "")&amp;
filter(powers!$G$13:$G1001,powers!$A$13:$A1001=A83,powers!$E$13:$E1001&gt;0))
), """"
)&amp;
IFERROR(
CHAR(10)&amp;JOIN(CHAR(10),
   ARRAYFORMULA(filter("" -""&amp;powers!$I$13:$I1001,powers!$A$13:$A1001=A83,powers!$H$13:$H1001&gt;0)&amp;
IF(ISBLANK(filter(p"&amp;"owers!$J$13:$J1001,powers!$A$13:$A1001=A83,powers!$H$13:$H1001&gt;0)),"""", "": "")&amp;
filter(powers!$J$13:$J1001,powers!$A$13:$A1001=A83,powers!$H$13:$H1001&gt;0))
), """"
)"),"#N/A")</f>
        <v>#N/A</v>
      </c>
    </row>
  </sheetData>
  <drawing r:id="rId1"/>
</worksheet>
</file>