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tmp" ContentType="image/png"/>
  <Default Extension="wdp" ContentType="image/vnd.ms-photo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0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moh\Downloads\"/>
    </mc:Choice>
  </mc:AlternateContent>
  <xr:revisionPtr revIDLastSave="0" documentId="8_{C3D9E8AC-EE99-4FBB-9E8A-A9942A873987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Balance Sheet" sheetId="2" r:id="rId1"/>
    <sheet name="Cash Flow" sheetId="3" r:id="rId2"/>
    <sheet name="Income sheet" sheetId="4" r:id="rId3"/>
    <sheet name="Financial Analysis" sheetId="5" r:id="rId4"/>
    <sheet name="CCA" sheetId="7" r:id="rId5"/>
    <sheet name="Caculation" sheetId="6" r:id="rId6"/>
    <sheet name="DCF" sheetId="9" r:id="rId7"/>
    <sheet name="Sheet1" sheetId="11" r:id="rId8"/>
    <sheet name="DDM_2-Stage" sheetId="8" r:id="rId9"/>
    <sheet name="Figure table " sheetId="10" r:id="rId10"/>
    <sheet name="Sheet2" sheetId="12" r:id="rId11"/>
  </sheets>
  <definedNames>
    <definedName name="_xlnm._FilterDatabase" localSheetId="4" hidden="1">CCA!$A$1:$H$1</definedName>
    <definedName name="_xlnm._FilterDatabase" localSheetId="8" hidden="1">'DDM_2-Stage'!$A$2:$C$13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8" i="9" l="1"/>
  <c r="V51" i="9"/>
  <c r="V53" i="9" s="1"/>
  <c r="V45" i="9"/>
  <c r="V54" i="9" s="1"/>
  <c r="AR36" i="9"/>
  <c r="AS32" i="9"/>
  <c r="AS26" i="9"/>
  <c r="AS29" i="9"/>
  <c r="G17" i="8"/>
  <c r="AS24" i="9"/>
  <c r="O13" i="9"/>
  <c r="N5" i="9"/>
  <c r="B3" i="5"/>
  <c r="J1" i="8"/>
  <c r="D14" i="8"/>
  <c r="BB9" i="9"/>
  <c r="BB5" i="9"/>
  <c r="E29" i="7"/>
  <c r="E30" i="7"/>
  <c r="C15" i="6"/>
  <c r="J29" i="7"/>
  <c r="AS27" i="9"/>
  <c r="O5" i="9"/>
  <c r="P5" i="9"/>
  <c r="BB6" i="9"/>
  <c r="BC9" i="9"/>
  <c r="BB10" i="9"/>
  <c r="N13" i="9"/>
  <c r="N7" i="9"/>
  <c r="BA8" i="9"/>
  <c r="AQ10" i="9"/>
  <c r="AQ8" i="9"/>
  <c r="AQ5" i="9"/>
  <c r="AQ6" i="9" s="1"/>
  <c r="G11" i="8"/>
  <c r="AS25" i="9"/>
  <c r="AU23" i="9"/>
  <c r="N9" i="9"/>
  <c r="C229" i="10"/>
  <c r="I215" i="10"/>
  <c r="I216" i="10" s="1"/>
  <c r="V52" i="9" l="1"/>
  <c r="H248" i="10"/>
  <c r="I217" i="10" l="1"/>
  <c r="I218" i="10" s="1"/>
  <c r="F225" i="10"/>
  <c r="F231" i="10" s="1"/>
  <c r="C2" i="8"/>
  <c r="I219" i="10" l="1"/>
  <c r="O7" i="9"/>
  <c r="P7" i="9" s="1"/>
  <c r="Q7" i="9" s="1"/>
  <c r="O14" i="9"/>
  <c r="AR23" i="9"/>
  <c r="AR46" i="9" s="1"/>
  <c r="I163" i="10"/>
  <c r="H163" i="10"/>
  <c r="G163" i="10"/>
  <c r="F163" i="10"/>
  <c r="AW46" i="9"/>
  <c r="V2" i="10"/>
  <c r="V4" i="10" s="1"/>
  <c r="D139" i="10"/>
  <c r="C142" i="10"/>
  <c r="B42" i="5"/>
  <c r="P70" i="10"/>
  <c r="P68" i="10"/>
  <c r="G2" i="8"/>
  <c r="B57" i="7"/>
  <c r="AF50" i="9"/>
  <c r="AE50" i="9"/>
  <c r="AD50" i="9"/>
  <c r="AB50" i="9"/>
  <c r="B44" i="7"/>
  <c r="J44" i="7" s="1"/>
  <c r="Q8" i="7"/>
  <c r="N8" i="7"/>
  <c r="E33" i="7"/>
  <c r="V61" i="9"/>
  <c r="V57" i="9"/>
  <c r="AQ9" i="9"/>
  <c r="M58" i="4"/>
  <c r="N58" i="4"/>
  <c r="O58" i="4"/>
  <c r="P58" i="4"/>
  <c r="Q58" i="4"/>
  <c r="R58" i="4"/>
  <c r="S58" i="4"/>
  <c r="T58" i="4"/>
  <c r="U58" i="4"/>
  <c r="L58" i="4"/>
  <c r="AS31" i="9"/>
  <c r="AX23" i="9"/>
  <c r="V56" i="9" s="1"/>
  <c r="AR43" i="9"/>
  <c r="BI5" i="9"/>
  <c r="BR5" i="9"/>
  <c r="BT6" i="9" s="1"/>
  <c r="BJ5" i="9"/>
  <c r="BK5" i="9"/>
  <c r="BL5" i="9"/>
  <c r="BM5" i="9"/>
  <c r="BN5" i="9"/>
  <c r="BO5" i="9"/>
  <c r="BP5" i="9"/>
  <c r="BQ5" i="9"/>
  <c r="V9" i="9"/>
  <c r="AR45" i="9"/>
  <c r="AS30" i="9"/>
  <c r="AZ9" i="9"/>
  <c r="AQ7" i="9"/>
  <c r="AR7" i="9"/>
  <c r="AS7" i="9"/>
  <c r="AT7" i="9"/>
  <c r="AU7" i="9"/>
  <c r="AV7" i="9"/>
  <c r="AW7" i="9"/>
  <c r="AX7" i="9"/>
  <c r="AY7" i="9"/>
  <c r="AZ7" i="9"/>
  <c r="AZ5" i="9"/>
  <c r="AR9" i="9"/>
  <c r="AS9" i="9"/>
  <c r="AT9" i="9"/>
  <c r="AU9" i="9"/>
  <c r="AV9" i="9"/>
  <c r="AW9" i="9"/>
  <c r="AX9" i="9"/>
  <c r="AY9" i="9"/>
  <c r="AR5" i="9"/>
  <c r="AS5" i="9"/>
  <c r="AT5" i="9"/>
  <c r="AU5" i="9"/>
  <c r="AV5" i="9"/>
  <c r="AW5" i="9"/>
  <c r="AX5" i="9"/>
  <c r="AY5" i="9"/>
  <c r="K44" i="5"/>
  <c r="B44" i="5"/>
  <c r="K42" i="5"/>
  <c r="I44" i="5"/>
  <c r="L13" i="9"/>
  <c r="W23" i="9"/>
  <c r="X23" i="9"/>
  <c r="C17" i="6"/>
  <c r="AG15" i="9"/>
  <c r="AG16" i="9"/>
  <c r="AG17" i="9"/>
  <c r="AG19" i="9"/>
  <c r="AG6" i="9"/>
  <c r="AH6" i="9" s="1"/>
  <c r="AI6" i="9" s="1"/>
  <c r="AJ6" i="9" s="1"/>
  <c r="AK6" i="9" s="1"/>
  <c r="AL6" i="9" s="1"/>
  <c r="AG7" i="9"/>
  <c r="AH7" i="9" s="1"/>
  <c r="AI7" i="9" s="1"/>
  <c r="AJ7" i="9" s="1"/>
  <c r="AK7" i="9" s="1"/>
  <c r="AL7" i="9" s="1"/>
  <c r="AG8" i="9"/>
  <c r="AH8" i="9" s="1"/>
  <c r="AI8" i="9" s="1"/>
  <c r="AJ8" i="9" s="1"/>
  <c r="AK8" i="9" s="1"/>
  <c r="AL8" i="9" s="1"/>
  <c r="C8" i="6"/>
  <c r="Y23" i="9"/>
  <c r="AG21" i="9"/>
  <c r="AF23" i="9"/>
  <c r="AE23" i="9"/>
  <c r="AD23" i="9"/>
  <c r="AC23" i="9"/>
  <c r="AB23" i="9"/>
  <c r="AA23" i="9"/>
  <c r="Z23" i="9"/>
  <c r="AF5" i="9"/>
  <c r="AE5" i="9"/>
  <c r="AE9" i="9" s="1"/>
  <c r="AD5" i="9"/>
  <c r="AD9" i="9" s="1"/>
  <c r="AC5" i="9"/>
  <c r="AC9" i="9" s="1"/>
  <c r="AB5" i="9"/>
  <c r="AB9" i="9" s="1"/>
  <c r="AA5" i="9"/>
  <c r="AA9" i="9" s="1"/>
  <c r="Z5" i="9"/>
  <c r="Z9" i="9" s="1"/>
  <c r="Y5" i="9"/>
  <c r="Y9" i="9" s="1"/>
  <c r="X5" i="9"/>
  <c r="W5" i="9"/>
  <c r="W11" i="9" s="1"/>
  <c r="O9" i="9"/>
  <c r="P9" i="9" s="1"/>
  <c r="N8" i="9"/>
  <c r="O8" i="9" s="1"/>
  <c r="P8" i="9" s="1"/>
  <c r="Q8" i="9" s="1"/>
  <c r="L59" i="9"/>
  <c r="K59" i="9"/>
  <c r="J59" i="9"/>
  <c r="L60" i="9"/>
  <c r="K61" i="9"/>
  <c r="K60" i="9"/>
  <c r="K62" i="9"/>
  <c r="C61" i="9"/>
  <c r="C60" i="9"/>
  <c r="L61" i="9"/>
  <c r="D61" i="9"/>
  <c r="E61" i="9"/>
  <c r="F61" i="9"/>
  <c r="G61" i="9"/>
  <c r="H61" i="9"/>
  <c r="I61" i="9"/>
  <c r="J61" i="9"/>
  <c r="D60" i="9"/>
  <c r="E60" i="9"/>
  <c r="F60" i="9"/>
  <c r="G60" i="9"/>
  <c r="H60" i="9"/>
  <c r="I60" i="9"/>
  <c r="J60" i="9"/>
  <c r="L31" i="9"/>
  <c r="K31" i="9"/>
  <c r="C53" i="9"/>
  <c r="D53" i="9"/>
  <c r="E53" i="9"/>
  <c r="F53" i="9"/>
  <c r="G53" i="9"/>
  <c r="H53" i="9"/>
  <c r="H54" i="9" s="1"/>
  <c r="I53" i="9"/>
  <c r="I54" i="9" s="1"/>
  <c r="J53" i="9"/>
  <c r="K53" i="9"/>
  <c r="L53" i="9"/>
  <c r="B53" i="9"/>
  <c r="D34" i="9"/>
  <c r="C28" i="9"/>
  <c r="D28" i="9"/>
  <c r="E28" i="9"/>
  <c r="F28" i="9"/>
  <c r="G28" i="9"/>
  <c r="H28" i="9"/>
  <c r="J29" i="9"/>
  <c r="K29" i="9"/>
  <c r="L29" i="9"/>
  <c r="C30" i="9"/>
  <c r="D30" i="9"/>
  <c r="E30" i="9"/>
  <c r="F30" i="9"/>
  <c r="G30" i="9"/>
  <c r="H30" i="9"/>
  <c r="I30" i="9"/>
  <c r="J30" i="9"/>
  <c r="K30" i="9"/>
  <c r="L30" i="9"/>
  <c r="C31" i="9"/>
  <c r="D31" i="9"/>
  <c r="E31" i="9"/>
  <c r="F31" i="9"/>
  <c r="G31" i="9"/>
  <c r="H31" i="9"/>
  <c r="I31" i="9"/>
  <c r="J31" i="9"/>
  <c r="C33" i="9"/>
  <c r="D33" i="9"/>
  <c r="E33" i="9"/>
  <c r="F33" i="9"/>
  <c r="G33" i="9"/>
  <c r="H33" i="9"/>
  <c r="I33" i="9"/>
  <c r="J33" i="9"/>
  <c r="K33" i="9"/>
  <c r="L33" i="9"/>
  <c r="C34" i="9"/>
  <c r="E34" i="9"/>
  <c r="F34" i="9"/>
  <c r="G34" i="9"/>
  <c r="H34" i="9"/>
  <c r="I34" i="9"/>
  <c r="J34" i="9"/>
  <c r="K34" i="9"/>
  <c r="L34" i="9"/>
  <c r="D27" i="9"/>
  <c r="E27" i="9"/>
  <c r="F27" i="9"/>
  <c r="G27" i="9"/>
  <c r="H27" i="9"/>
  <c r="I27" i="9"/>
  <c r="J27" i="9"/>
  <c r="K27" i="9"/>
  <c r="L27" i="9"/>
  <c r="C27" i="9"/>
  <c r="H13" i="9"/>
  <c r="K13" i="9"/>
  <c r="F13" i="9"/>
  <c r="G13" i="9"/>
  <c r="I13" i="9"/>
  <c r="J13" i="9"/>
  <c r="E13" i="9"/>
  <c r="D13" i="9"/>
  <c r="C13" i="9"/>
  <c r="B13" i="9"/>
  <c r="S8" i="7"/>
  <c r="R8" i="7"/>
  <c r="T8" i="7"/>
  <c r="U8" i="7"/>
  <c r="B35" i="7"/>
  <c r="M8" i="7"/>
  <c r="J30" i="7"/>
  <c r="K44" i="7" s="1"/>
  <c r="C44" i="5"/>
  <c r="D44" i="5"/>
  <c r="E44" i="5"/>
  <c r="F44" i="5"/>
  <c r="G44" i="5"/>
  <c r="H44" i="5"/>
  <c r="J44" i="5"/>
  <c r="D42" i="5"/>
  <c r="E42" i="5"/>
  <c r="F42" i="5"/>
  <c r="G42" i="5"/>
  <c r="H42" i="5"/>
  <c r="I42" i="5"/>
  <c r="J42" i="5"/>
  <c r="C42" i="5"/>
  <c r="B4" i="5"/>
  <c r="E31" i="7"/>
  <c r="D8" i="6"/>
  <c r="E8" i="6"/>
  <c r="F8" i="6"/>
  <c r="G8" i="6"/>
  <c r="H8" i="6"/>
  <c r="I8" i="6"/>
  <c r="J8" i="6"/>
  <c r="K8" i="6"/>
  <c r="L8" i="6"/>
  <c r="D7" i="6"/>
  <c r="E7" i="6"/>
  <c r="F7" i="6"/>
  <c r="G7" i="6"/>
  <c r="H7" i="6"/>
  <c r="I7" i="6"/>
  <c r="J7" i="6"/>
  <c r="K7" i="6"/>
  <c r="L7" i="6"/>
  <c r="C7" i="6"/>
  <c r="D6" i="6"/>
  <c r="D9" i="6" s="1"/>
  <c r="E6" i="6"/>
  <c r="E9" i="6" s="1"/>
  <c r="F6" i="6"/>
  <c r="F9" i="6" s="1"/>
  <c r="G6" i="6"/>
  <c r="G9" i="6" s="1"/>
  <c r="H6" i="6"/>
  <c r="H9" i="6" s="1"/>
  <c r="I6" i="6"/>
  <c r="I9" i="6" s="1"/>
  <c r="J6" i="6"/>
  <c r="J9" i="6" s="1"/>
  <c r="K6" i="6"/>
  <c r="K9" i="6" s="1"/>
  <c r="L6" i="6"/>
  <c r="L9" i="6" s="1"/>
  <c r="C6" i="6"/>
  <c r="C9" i="6" s="1"/>
  <c r="D5" i="6"/>
  <c r="D10" i="6" s="1"/>
  <c r="E5" i="6"/>
  <c r="E10" i="6" s="1"/>
  <c r="F5" i="6"/>
  <c r="F10" i="6" s="1"/>
  <c r="G5" i="6"/>
  <c r="G10" i="6" s="1"/>
  <c r="H5" i="6"/>
  <c r="H10" i="6" s="1"/>
  <c r="I5" i="6"/>
  <c r="I10" i="6" s="1"/>
  <c r="J5" i="6"/>
  <c r="J10" i="6" s="1"/>
  <c r="K5" i="6"/>
  <c r="K10" i="6" s="1"/>
  <c r="L5" i="6"/>
  <c r="L10" i="6" s="1"/>
  <c r="C5" i="6"/>
  <c r="C10" i="6" s="1"/>
  <c r="D3" i="6"/>
  <c r="E3" i="6"/>
  <c r="F3" i="6"/>
  <c r="G3" i="6"/>
  <c r="H3" i="6"/>
  <c r="I3" i="6"/>
  <c r="J3" i="6"/>
  <c r="K3" i="6"/>
  <c r="L3" i="6"/>
  <c r="C3" i="6"/>
  <c r="D2" i="6"/>
  <c r="D11" i="6" s="1"/>
  <c r="E2" i="6"/>
  <c r="E11" i="6" s="1"/>
  <c r="F2" i="6"/>
  <c r="F11" i="6" s="1"/>
  <c r="G2" i="6"/>
  <c r="G11" i="6" s="1"/>
  <c r="H2" i="6"/>
  <c r="H11" i="6" s="1"/>
  <c r="I2" i="6"/>
  <c r="I11" i="6" s="1"/>
  <c r="J2" i="6"/>
  <c r="J11" i="6" s="1"/>
  <c r="K2" i="6"/>
  <c r="K11" i="6" s="1"/>
  <c r="L2" i="6"/>
  <c r="L11" i="6" s="1"/>
  <c r="C2" i="6"/>
  <c r="C11" i="6" s="1"/>
  <c r="D17" i="6"/>
  <c r="E17" i="6"/>
  <c r="F17" i="6"/>
  <c r="G17" i="6"/>
  <c r="H17" i="6"/>
  <c r="I17" i="6"/>
  <c r="J17" i="6"/>
  <c r="K17" i="6"/>
  <c r="L17" i="6"/>
  <c r="D16" i="6"/>
  <c r="E16" i="6"/>
  <c r="F16" i="6"/>
  <c r="G16" i="6"/>
  <c r="H16" i="6"/>
  <c r="I16" i="6"/>
  <c r="J16" i="6"/>
  <c r="K16" i="6"/>
  <c r="L16" i="6"/>
  <c r="C16" i="6"/>
  <c r="E7" i="5"/>
  <c r="E6" i="5"/>
  <c r="C6" i="5"/>
  <c r="D6" i="5"/>
  <c r="F6" i="5"/>
  <c r="G6" i="5"/>
  <c r="H6" i="5"/>
  <c r="I6" i="5"/>
  <c r="J6" i="5"/>
  <c r="K6" i="5"/>
  <c r="B6" i="5"/>
  <c r="C7" i="5"/>
  <c r="D7" i="5"/>
  <c r="F7" i="5"/>
  <c r="G7" i="5"/>
  <c r="H7" i="5"/>
  <c r="I7" i="5"/>
  <c r="J7" i="5"/>
  <c r="K7" i="5"/>
  <c r="B7" i="5"/>
  <c r="C5" i="5"/>
  <c r="D5" i="5"/>
  <c r="E5" i="5"/>
  <c r="F5" i="5"/>
  <c r="G5" i="5"/>
  <c r="H5" i="5"/>
  <c r="I5" i="5"/>
  <c r="J5" i="5"/>
  <c r="K5" i="5"/>
  <c r="B5" i="5"/>
  <c r="C4" i="5"/>
  <c r="D4" i="5"/>
  <c r="E4" i="5"/>
  <c r="F4" i="5"/>
  <c r="G4" i="5"/>
  <c r="H4" i="5"/>
  <c r="I4" i="5"/>
  <c r="J4" i="5"/>
  <c r="K4" i="5"/>
  <c r="K3" i="5"/>
  <c r="J3" i="5"/>
  <c r="I3" i="5"/>
  <c r="H3" i="5"/>
  <c r="G3" i="5"/>
  <c r="F3" i="5"/>
  <c r="E3" i="5"/>
  <c r="D3" i="5"/>
  <c r="C3" i="5"/>
  <c r="J43" i="7" l="1"/>
  <c r="V58" i="4"/>
  <c r="S60" i="4" s="1"/>
  <c r="K12" i="8"/>
  <c r="B2" i="8"/>
  <c r="I221" i="10"/>
  <c r="I222" i="10" s="1"/>
  <c r="E163" i="10"/>
  <c r="BQ10" i="9"/>
  <c r="AG23" i="9"/>
  <c r="O11" i="9"/>
  <c r="P11" i="9" s="1"/>
  <c r="Q11" i="9" s="1"/>
  <c r="R11" i="9" s="1"/>
  <c r="S11" i="9" s="1"/>
  <c r="J2" i="8"/>
  <c r="L62" i="9"/>
  <c r="N59" i="9"/>
  <c r="O59" i="9"/>
  <c r="N27" i="9"/>
  <c r="AS28" i="9"/>
  <c r="R8" i="9"/>
  <c r="S8" i="9" s="1"/>
  <c r="R7" i="9"/>
  <c r="S7" i="9" s="1"/>
  <c r="BQ7" i="9"/>
  <c r="BP7" i="9"/>
  <c r="BP10" i="9"/>
  <c r="BO10" i="9"/>
  <c r="BN10" i="9"/>
  <c r="BR10" i="9"/>
  <c r="BS5" i="9"/>
  <c r="BT5" i="9" s="1"/>
  <c r="BU5" i="9" s="1"/>
  <c r="BU6" i="9"/>
  <c r="BV6" i="9" s="1"/>
  <c r="BW6" i="9" s="1"/>
  <c r="BQ6" i="9"/>
  <c r="Q9" i="9"/>
  <c r="R9" i="9" s="1"/>
  <c r="S9" i="9" s="1"/>
  <c r="AF9" i="9"/>
  <c r="AG5" i="9"/>
  <c r="AY6" i="9"/>
  <c r="AX6" i="9"/>
  <c r="AW6" i="9"/>
  <c r="AV6" i="9"/>
  <c r="AU6" i="9"/>
  <c r="AT6" i="9"/>
  <c r="AS6" i="9"/>
  <c r="AR6" i="9"/>
  <c r="AY10" i="9"/>
  <c r="AX10" i="9"/>
  <c r="AW10" i="9"/>
  <c r="AV10" i="9"/>
  <c r="AU10" i="9"/>
  <c r="AT10" i="9"/>
  <c r="AS10" i="9"/>
  <c r="AR10" i="9"/>
  <c r="AZ6" i="9"/>
  <c r="AZ8" i="9"/>
  <c r="AY8" i="9"/>
  <c r="AX8" i="9"/>
  <c r="AW8" i="9"/>
  <c r="AV8" i="9"/>
  <c r="AU8" i="9"/>
  <c r="AT8" i="9"/>
  <c r="AS8" i="9"/>
  <c r="AR8" i="9"/>
  <c r="AZ10" i="9"/>
  <c r="L35" i="9"/>
  <c r="W9" i="9"/>
  <c r="W12" i="9" s="1"/>
  <c r="X9" i="9"/>
  <c r="X11" i="9"/>
  <c r="Y12" i="9"/>
  <c r="Z12" i="9"/>
  <c r="AA12" i="9"/>
  <c r="AB12" i="9"/>
  <c r="AC12" i="9"/>
  <c r="AD12" i="9"/>
  <c r="AE12" i="9"/>
  <c r="B16" i="9"/>
  <c r="B17" i="9"/>
  <c r="B19" i="9"/>
  <c r="B20" i="9"/>
  <c r="C16" i="9"/>
  <c r="C17" i="9"/>
  <c r="C19" i="9"/>
  <c r="C20" i="9"/>
  <c r="D16" i="9"/>
  <c r="D17" i="9"/>
  <c r="D19" i="9"/>
  <c r="D20" i="9"/>
  <c r="E22" i="9"/>
  <c r="E16" i="9"/>
  <c r="E17" i="9"/>
  <c r="E19" i="9"/>
  <c r="E20" i="9"/>
  <c r="J16" i="9"/>
  <c r="J18" i="9"/>
  <c r="J19" i="9"/>
  <c r="J20" i="9"/>
  <c r="I16" i="9"/>
  <c r="I18" i="9"/>
  <c r="I19" i="9"/>
  <c r="I20" i="9"/>
  <c r="G16" i="9"/>
  <c r="G17" i="9"/>
  <c r="G19" i="9"/>
  <c r="G20" i="9"/>
  <c r="F16" i="9"/>
  <c r="F17" i="9"/>
  <c r="F19" i="9"/>
  <c r="F20" i="9"/>
  <c r="K16" i="9"/>
  <c r="K18" i="9"/>
  <c r="K19" i="9"/>
  <c r="K20" i="9"/>
  <c r="L16" i="9"/>
  <c r="L18" i="9"/>
  <c r="L19" i="9"/>
  <c r="L20" i="9"/>
  <c r="H16" i="9"/>
  <c r="H17" i="9"/>
  <c r="H19" i="9"/>
  <c r="H20" i="9"/>
  <c r="AH21" i="9"/>
  <c r="Y11" i="9"/>
  <c r="Z11" i="9"/>
  <c r="AA11" i="9"/>
  <c r="AB11" i="9"/>
  <c r="AC11" i="9"/>
  <c r="AD11" i="9"/>
  <c r="AE11" i="9"/>
  <c r="AF11" i="9"/>
  <c r="O60" i="9"/>
  <c r="J62" i="9"/>
  <c r="I62" i="9"/>
  <c r="H62" i="9"/>
  <c r="G62" i="9"/>
  <c r="F62" i="9"/>
  <c r="E62" i="9"/>
  <c r="D62" i="9"/>
  <c r="C62" i="9"/>
  <c r="N60" i="9"/>
  <c r="B22" i="9"/>
  <c r="B23" i="9"/>
  <c r="C22" i="9"/>
  <c r="C23" i="9"/>
  <c r="D22" i="9"/>
  <c r="D23" i="9"/>
  <c r="E23" i="9"/>
  <c r="J35" i="9"/>
  <c r="J22" i="9"/>
  <c r="J23" i="9"/>
  <c r="I35" i="9"/>
  <c r="I22" i="9"/>
  <c r="I23" i="9"/>
  <c r="G35" i="9"/>
  <c r="G22" i="9"/>
  <c r="G23" i="9"/>
  <c r="F22" i="9"/>
  <c r="F23" i="9"/>
  <c r="K22" i="9"/>
  <c r="K23" i="9"/>
  <c r="L22" i="9"/>
  <c r="L23" i="9"/>
  <c r="H22" i="9"/>
  <c r="H23" i="9"/>
  <c r="N29" i="9"/>
  <c r="B54" i="9"/>
  <c r="B56" i="9" s="1"/>
  <c r="G54" i="9"/>
  <c r="G56" i="9" s="1"/>
  <c r="F54" i="9"/>
  <c r="F56" i="9" s="1"/>
  <c r="E54" i="9"/>
  <c r="E56" i="9" s="1"/>
  <c r="D54" i="9"/>
  <c r="D56" i="9" s="1"/>
  <c r="C54" i="9"/>
  <c r="C56" i="9" s="1"/>
  <c r="L54" i="9"/>
  <c r="L56" i="9" s="1"/>
  <c r="K54" i="9"/>
  <c r="K56" i="9" s="1"/>
  <c r="J54" i="9"/>
  <c r="J56" i="9" s="1"/>
  <c r="I56" i="9"/>
  <c r="H56" i="9"/>
  <c r="C35" i="9"/>
  <c r="D35" i="9"/>
  <c r="E35" i="9"/>
  <c r="F35" i="9"/>
  <c r="K35" i="9"/>
  <c r="H35" i="9"/>
  <c r="N34" i="9"/>
  <c r="N33" i="9"/>
  <c r="N31" i="9"/>
  <c r="N30" i="9"/>
  <c r="C4" i="6"/>
  <c r="C14" i="6" s="1"/>
  <c r="L4" i="6"/>
  <c r="L14" i="6" s="1"/>
  <c r="K4" i="6"/>
  <c r="K14" i="6" s="1"/>
  <c r="J4" i="6"/>
  <c r="J14" i="6" s="1"/>
  <c r="I4" i="6"/>
  <c r="I14" i="6" s="1"/>
  <c r="H4" i="6"/>
  <c r="H14" i="6" s="1"/>
  <c r="G4" i="6"/>
  <c r="G14" i="6" s="1"/>
  <c r="F4" i="6"/>
  <c r="F14" i="6" s="1"/>
  <c r="E4" i="6"/>
  <c r="E14" i="6" s="1"/>
  <c r="D4" i="6"/>
  <c r="D14" i="6" s="1"/>
  <c r="L12" i="8" l="1"/>
  <c r="AR44" i="9"/>
  <c r="AR47" i="9"/>
  <c r="V44" i="9"/>
  <c r="P13" i="9"/>
  <c r="W28" i="9" s="1"/>
  <c r="Z36" i="9"/>
  <c r="AR41" i="9"/>
  <c r="L63" i="9"/>
  <c r="BB7" i="9"/>
  <c r="BB11" i="9" s="1"/>
  <c r="W36" i="9"/>
  <c r="N61" i="9"/>
  <c r="X12" i="9"/>
  <c r="BE23" i="9"/>
  <c r="BF23" i="9"/>
  <c r="O61" i="9"/>
  <c r="I24" i="9"/>
  <c r="Y36" i="9"/>
  <c r="X36" i="9"/>
  <c r="BE25" i="9"/>
  <c r="BF25" i="9" s="1"/>
  <c r="BS10" i="9"/>
  <c r="V36" i="9"/>
  <c r="BE24" i="9"/>
  <c r="BF24" i="9"/>
  <c r="AG9" i="9"/>
  <c r="J3" i="8"/>
  <c r="J24" i="9"/>
  <c r="H24" i="9"/>
  <c r="C24" i="9"/>
  <c r="E24" i="9"/>
  <c r="F24" i="9"/>
  <c r="G24" i="9"/>
  <c r="D24" i="9"/>
  <c r="AF12" i="9"/>
  <c r="K24" i="9"/>
  <c r="B24" i="9"/>
  <c r="BA6" i="9"/>
  <c r="BR7" i="9"/>
  <c r="Q5" i="9"/>
  <c r="R5" i="9" s="1"/>
  <c r="R13" i="9" s="1"/>
  <c r="V40" i="9"/>
  <c r="AI21" i="9"/>
  <c r="V38" i="9"/>
  <c r="BA10" i="9"/>
  <c r="BV5" i="9"/>
  <c r="BW5" i="9" s="1"/>
  <c r="BX5" i="9" s="1"/>
  <c r="AG11" i="9"/>
  <c r="V31" i="9"/>
  <c r="E32" i="7"/>
  <c r="E34" i="7" s="1"/>
  <c r="N18" i="9"/>
  <c r="N20" i="9"/>
  <c r="N19" i="9"/>
  <c r="N16" i="9"/>
  <c r="AH5" i="9"/>
  <c r="N22" i="9"/>
  <c r="N23" i="9"/>
  <c r="L24" i="9"/>
  <c r="N35" i="9"/>
  <c r="D15" i="6"/>
  <c r="E15" i="6"/>
  <c r="F15" i="6"/>
  <c r="G15" i="6"/>
  <c r="H15" i="6"/>
  <c r="I15" i="6"/>
  <c r="J15" i="6"/>
  <c r="K15" i="6"/>
  <c r="L15" i="6"/>
  <c r="V28" i="9" l="1"/>
  <c r="V29" i="9" s="1"/>
  <c r="AG12" i="9"/>
  <c r="W29" i="9"/>
  <c r="J4" i="8"/>
  <c r="K7" i="8" s="1"/>
  <c r="M12" i="8"/>
  <c r="BT10" i="9"/>
  <c r="O15" i="9"/>
  <c r="AR42" i="9"/>
  <c r="BC7" i="9"/>
  <c r="BE26" i="9"/>
  <c r="J5" i="8"/>
  <c r="K43" i="7"/>
  <c r="I33" i="7"/>
  <c r="BU10" i="9"/>
  <c r="BW10" i="9"/>
  <c r="Y28" i="9"/>
  <c r="S5" i="9"/>
  <c r="S13" i="9" s="1"/>
  <c r="Q13" i="9"/>
  <c r="BV10" i="9" s="1"/>
  <c r="AH9" i="9"/>
  <c r="V30" i="9" s="1"/>
  <c r="W40" i="9"/>
  <c r="AJ21" i="9"/>
  <c r="W38" i="9"/>
  <c r="W31" i="9"/>
  <c r="AI5" i="9"/>
  <c r="AJ5" i="9" s="1"/>
  <c r="V34" i="9" l="1"/>
  <c r="V35" i="9" s="1"/>
  <c r="C144" i="10"/>
  <c r="V6" i="10"/>
  <c r="V39" i="9"/>
  <c r="J7" i="8"/>
  <c r="J8" i="8" s="1"/>
  <c r="O12" i="8"/>
  <c r="N12" i="8"/>
  <c r="AR48" i="9"/>
  <c r="BX10" i="9"/>
  <c r="O17" i="9"/>
  <c r="V32" i="9"/>
  <c r="BD7" i="9"/>
  <c r="P15" i="9"/>
  <c r="Q15" i="9"/>
  <c r="R15" i="9"/>
  <c r="S15" i="9"/>
  <c r="Z28" i="9"/>
  <c r="Z29" i="9" s="1"/>
  <c r="BX6" i="9"/>
  <c r="X40" i="9"/>
  <c r="BE7" i="9"/>
  <c r="AK21" i="9"/>
  <c r="X38" i="9"/>
  <c r="BD9" i="9"/>
  <c r="BD5" i="9"/>
  <c r="BC5" i="9"/>
  <c r="BC11" i="9" s="1"/>
  <c r="W39" i="9" s="1"/>
  <c r="X28" i="9"/>
  <c r="AJ9" i="9"/>
  <c r="X30" i="9" s="1"/>
  <c r="AI9" i="9"/>
  <c r="W30" i="9" s="1"/>
  <c r="W34" i="9" s="1"/>
  <c r="W37" i="9" s="1"/>
  <c r="X31" i="9"/>
  <c r="AK5" i="9"/>
  <c r="K8" i="8" l="1"/>
  <c r="K9" i="8" s="1"/>
  <c r="C143" i="10"/>
  <c r="C146" i="10" s="1"/>
  <c r="V5" i="10"/>
  <c r="N2" i="8"/>
  <c r="W32" i="9"/>
  <c r="W33" i="9" s="1"/>
  <c r="BD11" i="9"/>
  <c r="X39" i="9" s="1"/>
  <c r="W35" i="9"/>
  <c r="X29" i="9"/>
  <c r="X34" i="9"/>
  <c r="X37" i="9" s="1"/>
  <c r="Y29" i="9"/>
  <c r="Y38" i="9"/>
  <c r="AL21" i="9"/>
  <c r="Z31" i="9" s="1"/>
  <c r="Y40" i="9"/>
  <c r="BF7" i="9"/>
  <c r="V33" i="9"/>
  <c r="V37" i="9"/>
  <c r="V41" i="9" s="1"/>
  <c r="AA43" i="9" s="1"/>
  <c r="W41" i="9"/>
  <c r="AB43" i="9" s="1"/>
  <c r="BE9" i="9"/>
  <c r="BE5" i="9"/>
  <c r="Y31" i="9"/>
  <c r="AL5" i="9"/>
  <c r="AK9" i="9"/>
  <c r="Y30" i="9" s="1"/>
  <c r="X41" i="9" l="1"/>
  <c r="AC43" i="9" s="1"/>
  <c r="X32" i="9"/>
  <c r="X33" i="9" s="1"/>
  <c r="X35" i="9"/>
  <c r="BE11" i="9"/>
  <c r="Y39" i="9" s="1"/>
  <c r="Y34" i="9"/>
  <c r="Y32" i="9" s="1"/>
  <c r="Y33" i="9" s="1"/>
  <c r="Z40" i="9"/>
  <c r="Z38" i="9"/>
  <c r="BF9" i="9"/>
  <c r="BF5" i="9"/>
  <c r="AL9" i="9"/>
  <c r="Z30" i="9" s="1"/>
  <c r="Z34" i="9" s="1"/>
  <c r="Z37" i="9" l="1"/>
  <c r="Z35" i="9"/>
  <c r="Y37" i="9"/>
  <c r="Y41" i="9" s="1"/>
  <c r="AD43" i="9" s="1"/>
  <c r="Y35" i="9"/>
  <c r="BF11" i="9"/>
  <c r="Z39" i="9" s="1"/>
  <c r="Z32" i="9"/>
  <c r="Z41" i="9" l="1"/>
  <c r="Z33" i="9"/>
  <c r="AE43" i="9" l="1"/>
  <c r="AA44" i="9" s="1"/>
  <c r="V55" i="9" l="1"/>
  <c r="V60" i="9" s="1"/>
  <c r="V62" i="9" l="1"/>
  <c r="AA50" i="9" l="1"/>
  <c r="V3" i="10"/>
  <c r="V7" i="10" s="1"/>
  <c r="V8" i="10" s="1"/>
  <c r="M65" i="9"/>
</calcChain>
</file>

<file path=xl/sharedStrings.xml><?xml version="1.0" encoding="utf-8"?>
<sst xmlns="http://schemas.openxmlformats.org/spreadsheetml/2006/main" count="1014" uniqueCount="646">
  <si>
    <t>Consolidated statements of financial position
(In millions of Canadian dollars)</t>
  </si>
  <si>
    <t>Field Name</t>
  </si>
  <si>
    <t>Cash and cash equivalents</t>
  </si>
  <si>
    <t>Cash on deposit</t>
  </si>
  <si>
    <t>Restricted Accounts -</t>
  </si>
  <si>
    <t>Cash and cash equivalents - Balancing value</t>
  </si>
  <si>
    <t>Cash equivalents</t>
  </si>
  <si>
    <t>Trade and other receivables</t>
  </si>
  <si>
    <t>Accrued revenues</t>
  </si>
  <si>
    <t>Trade receivables</t>
  </si>
  <si>
    <t>Accounts receivable</t>
  </si>
  <si>
    <t>Allowance for doubtful accounts</t>
  </si>
  <si>
    <t>Income taxes recoverable</t>
  </si>
  <si>
    <t>Finance lease receivable</t>
  </si>
  <si>
    <t>Prepayments</t>
  </si>
  <si>
    <t>Government grant receivable</t>
  </si>
  <si>
    <t>Inventories</t>
  </si>
  <si>
    <t>Parts and other consumables</t>
  </si>
  <si>
    <t>Coal</t>
  </si>
  <si>
    <t>Emission credits</t>
  </si>
  <si>
    <t>Derivative financial instruments assets</t>
  </si>
  <si>
    <t>Current Assets</t>
  </si>
  <si>
    <t>Property, plant and equipmen, Gross</t>
  </si>
  <si>
    <t>Plant and equipment - Accumulated Depreciation</t>
  </si>
  <si>
    <t>Property, plant and equipment</t>
  </si>
  <si>
    <t>Construction work in progress</t>
  </si>
  <si>
    <t>Land</t>
  </si>
  <si>
    <t>Plant and equipment - Gross</t>
  </si>
  <si>
    <t>Plant and equipment - Net - Balancing value</t>
  </si>
  <si>
    <t>Intangible Assets - Gross - Total</t>
  </si>
  <si>
    <t>Intangible Assets - Accumulated Amortization &amp; Impairment - Total</t>
  </si>
  <si>
    <t>Intangible assets and goodwill</t>
  </si>
  <si>
    <t>Intangible work in progress - Gross</t>
  </si>
  <si>
    <t>PPAs - Gross</t>
  </si>
  <si>
    <t>PPAs - Accumulated Amortisation</t>
  </si>
  <si>
    <t>Contract rights - Gross</t>
  </si>
  <si>
    <t>Contract rights - Accumulated Amortisation</t>
  </si>
  <si>
    <t>Other rights - Gross</t>
  </si>
  <si>
    <t>Other rights - Accumulated Amortisation</t>
  </si>
  <si>
    <t>Emission credits - Gross</t>
  </si>
  <si>
    <t>Software - Gross</t>
  </si>
  <si>
    <t>Software - Accumulated Amortisation</t>
  </si>
  <si>
    <t>Goodwill - Gross</t>
  </si>
  <si>
    <t>Finance lease receivables</t>
  </si>
  <si>
    <t>Deferred tax assets</t>
  </si>
  <si>
    <t>Intangible assets</t>
  </si>
  <si>
    <t>Intangible assets - Balancing value</t>
  </si>
  <si>
    <t>Total Intangible Assets , Gross</t>
  </si>
  <si>
    <t>Acc Amort/Imp Total Intangible Assets</t>
  </si>
  <si>
    <t>Goodwill</t>
  </si>
  <si>
    <t>Other assets</t>
  </si>
  <si>
    <t>Equity-accounted investments</t>
  </si>
  <si>
    <t>Other financial assets</t>
  </si>
  <si>
    <t>Government grants receivable</t>
  </si>
  <si>
    <t>Right-of-use assets</t>
  </si>
  <si>
    <t>Total Non-current Assets</t>
  </si>
  <si>
    <t>Total Assets</t>
  </si>
  <si>
    <t>Trade and other payables</t>
  </si>
  <si>
    <t>Trade payables</t>
  </si>
  <si>
    <t>Operating accruals</t>
  </si>
  <si>
    <t>Dividends payable</t>
  </si>
  <si>
    <t>Taxes payable</t>
  </si>
  <si>
    <t>Accrued interest</t>
  </si>
  <si>
    <t>Deferred revenue and other liabilities</t>
  </si>
  <si>
    <t>Deferred government grant revenue</t>
  </si>
  <si>
    <t>Lease liabilities</t>
  </si>
  <si>
    <t>Contract Liabilities</t>
  </si>
  <si>
    <t>Deferred payments on capital project costs</t>
  </si>
  <si>
    <t>Other deferred revenue and liabilities</t>
  </si>
  <si>
    <t>Derivative financial instruments liabilities</t>
  </si>
  <si>
    <t>Provisions</t>
  </si>
  <si>
    <t>Loans and borrowings</t>
  </si>
  <si>
    <t>Subscription receipts</t>
  </si>
  <si>
    <t>Total Current Liabilities</t>
  </si>
  <si>
    <t>Deferred revenue and other liabilities - Balancing value</t>
  </si>
  <si>
    <t>Deferred tax liabilities</t>
  </si>
  <si>
    <t>Equity attributable to shareholders of the Company</t>
  </si>
  <si>
    <t>Total liabilities</t>
  </si>
  <si>
    <t>Share capital</t>
  </si>
  <si>
    <t>Common Stock - Issued &amp; Paid</t>
  </si>
  <si>
    <t>Other Preferred Stock</t>
  </si>
  <si>
    <t>Other reserves</t>
  </si>
  <si>
    <t>Cash Flow Hedges</t>
  </si>
  <si>
    <t>Translation Reserve</t>
  </si>
  <si>
    <t>Defined Benefit Plan, Acturial Gains/Los</t>
  </si>
  <si>
    <t>Employee Benefits</t>
  </si>
  <si>
    <t>Deficit</t>
  </si>
  <si>
    <t>Deficit and other reserves</t>
  </si>
  <si>
    <t>Non-controlling interests</t>
  </si>
  <si>
    <t>Total equity</t>
  </si>
  <si>
    <t>Total liabilities and equity</t>
  </si>
  <si>
    <t>Consolidated statements of cash flows
(In millions of Canadian dollars)</t>
  </si>
  <si>
    <t>Net income</t>
  </si>
  <si>
    <t>Depreciation and amortization</t>
  </si>
  <si>
    <t>Gain on acquisition transaction</t>
  </si>
  <si>
    <t>Impairments</t>
  </si>
  <si>
    <t>Net finance expense</t>
  </si>
  <si>
    <t>Fair value changes on commodity derivative instruments and emission credits held for trading</t>
  </si>
  <si>
    <t>Foreign exchange gain</t>
  </si>
  <si>
    <t>Other items</t>
  </si>
  <si>
    <t>Reduction in finance lease receivables</t>
  </si>
  <si>
    <t>Interest paid</t>
  </si>
  <si>
    <t>Income taxes recovered (paid)</t>
  </si>
  <si>
    <t>Realized losses on settlement of interest rate derivatives</t>
  </si>
  <si>
    <t>Miscellaneous financing fees paid</t>
  </si>
  <si>
    <t>Reclamation costs</t>
  </si>
  <si>
    <t>Other</t>
  </si>
  <si>
    <t>Other cash items</t>
  </si>
  <si>
    <t>Income tax (recovery) expense</t>
  </si>
  <si>
    <t>Change in non-cash operating working capital</t>
  </si>
  <si>
    <t>Change in fair value of derivative instruments reflected as cash settlement</t>
  </si>
  <si>
    <t>Distributions received from equity-accounted investments</t>
  </si>
  <si>
    <t>Income from equity-accounted investments</t>
  </si>
  <si>
    <t>Loss on de-recognition of power purchase arrangement</t>
  </si>
  <si>
    <t>Recognition of government grant deferred revenue</t>
  </si>
  <si>
    <t>Foreign exchange (gains) losses</t>
  </si>
  <si>
    <t>Tax-equity attributes</t>
  </si>
  <si>
    <t>Impairment reversal</t>
  </si>
  <si>
    <t>Impairment</t>
  </si>
  <si>
    <t>Gain on divestiture</t>
  </si>
  <si>
    <t>Net cash flows from operating activities</t>
  </si>
  <si>
    <t>Purchase of Property, plant and equipment and other assets</t>
  </si>
  <si>
    <t>Proceeds on disposal of joint venture</t>
  </si>
  <si>
    <t>Other cash flows from investing activities</t>
  </si>
  <si>
    <t>Change in non-cash investing working capital</t>
  </si>
  <si>
    <t>Government grant received</t>
  </si>
  <si>
    <t>Genesee Coal Mine prepayment</t>
  </si>
  <si>
    <t>Business acquisitions, net of acquired cash</t>
  </si>
  <si>
    <t>Acquisition of equity-accounted investment</t>
  </si>
  <si>
    <t>Divestiture</t>
  </si>
  <si>
    <t>Net cash flows used in investing activities</t>
  </si>
  <si>
    <t>Proceeds from issue of loans and borrowings</t>
  </si>
  <si>
    <t>Repayment of loans and borrowings</t>
  </si>
  <si>
    <t>Issue costs on loans and borrowings</t>
  </si>
  <si>
    <t>Proceeds from exercise of share options</t>
  </si>
  <si>
    <t>Issue of shares</t>
  </si>
  <si>
    <t>Share issue costs</t>
  </si>
  <si>
    <t>Distributions to non-controlling interests</t>
  </si>
  <si>
    <t>Dividends - Common - Cash Paid</t>
  </si>
  <si>
    <t>Preferred share dividends paid</t>
  </si>
  <si>
    <t>Dividends paid</t>
  </si>
  <si>
    <t>Capitalized interest paid</t>
  </si>
  <si>
    <t>Income taxes paid on preferred share dividends</t>
  </si>
  <si>
    <t>Common shares purchased</t>
  </si>
  <si>
    <t>Issue of share capital</t>
  </si>
  <si>
    <t>Proceeds on sale and leaseback of generating facility</t>
  </si>
  <si>
    <t>Realized gains (losses) on settlement of foreign exchange derivatives</t>
  </si>
  <si>
    <t>Realized gains on settlement of foreign exchange derivatives</t>
  </si>
  <si>
    <t>Repayment of lease liabilities</t>
  </si>
  <si>
    <t>Redemption of preferred shares</t>
  </si>
  <si>
    <t>Net proceeds from issuance of subscription receipts2</t>
  </si>
  <si>
    <t>Net cash flows from financing activities</t>
  </si>
  <si>
    <t>Foreign exchange loss on cash held in a foreign currency</t>
  </si>
  <si>
    <t>Cash derecognized on loss of control of subsidiaries</t>
  </si>
  <si>
    <t>Cash and cash equivalents at beginning of period</t>
  </si>
  <si>
    <t>Cash and cash equivalents at end of period</t>
  </si>
  <si>
    <t>Net decrease in cash and cash equivalents</t>
  </si>
  <si>
    <t>Consolidated statements of Income
(In millions of Canadian dollars)</t>
  </si>
  <si>
    <t>Revenues</t>
  </si>
  <si>
    <t>Other income</t>
  </si>
  <si>
    <t>Revenues and other income</t>
  </si>
  <si>
    <t>Energy purchases and fuel</t>
  </si>
  <si>
    <t>Gross margin</t>
  </si>
  <si>
    <t>Other raw materials and operating charges</t>
  </si>
  <si>
    <t>Share-based payments</t>
  </si>
  <si>
    <t>Staff costs and employee benefits expense - Balancing value</t>
  </si>
  <si>
    <t>Staff costs and employee benefits expense</t>
  </si>
  <si>
    <t>Losses on termination of power purchase arrangement</t>
  </si>
  <si>
    <t>Depreciation of property plant and equipment</t>
  </si>
  <si>
    <t>Amortisation of  Contract rights and Other rights</t>
  </si>
  <si>
    <t>Amortisation of Computer Software</t>
  </si>
  <si>
    <t>Amortization of intangible assets - Balancing value</t>
  </si>
  <si>
    <t>Amortization of intangible assets</t>
  </si>
  <si>
    <t>Depreciation of Financial Lease Right-of-Use Assets</t>
  </si>
  <si>
    <t>Losses on retirement of property plant and equipment</t>
  </si>
  <si>
    <t>Operating lease payment</t>
  </si>
  <si>
    <t>Other administrative expense - Balancing value</t>
  </si>
  <si>
    <t>Other administrative expense</t>
  </si>
  <si>
    <t>Foreign exchange gain (loss)</t>
  </si>
  <si>
    <t>Reported Operating Expense</t>
  </si>
  <si>
    <t>Operating (loss) income</t>
  </si>
  <si>
    <t>Inventory write-downs - Gain/Loss</t>
  </si>
  <si>
    <t>Net (losses) gains related to decommissioning of facilitie</t>
  </si>
  <si>
    <t>Termination fees</t>
  </si>
  <si>
    <t>Insurance recoveries, net of related expenses</t>
  </si>
  <si>
    <t>Other losses on disposal</t>
  </si>
  <si>
    <t>Losses on disposals and other transactions</t>
  </si>
  <si>
    <t>(Loss) gain on disposals and other transactions</t>
  </si>
  <si>
    <t>Interest on long-term debt</t>
  </si>
  <si>
    <t>Capitalized interest</t>
  </si>
  <si>
    <t>Unrealized losses representing changes in the fair value of interest rate derivatives</t>
  </si>
  <si>
    <t>Termination of interest rate non-hedges</t>
  </si>
  <si>
    <t>Other - Balancing value</t>
  </si>
  <si>
    <t>Gain on interest rate non hedges</t>
  </si>
  <si>
    <t>Interest on lease liabilities</t>
  </si>
  <si>
    <t>Charge on early debt extinguishment</t>
  </si>
  <si>
    <t>Accretion on decommissioning provisions</t>
  </si>
  <si>
    <t>Contributions and grants</t>
  </si>
  <si>
    <t>Accretion on deferred government grant revenue</t>
  </si>
  <si>
    <t>Interest on long-term government grant receivable</t>
  </si>
  <si>
    <t>Net finance expense - Balancing value</t>
  </si>
  <si>
    <t>Non-operating Income/(Expense), Net</t>
  </si>
  <si>
    <t>(Loss) income before tax</t>
  </si>
  <si>
    <t>Income tax recovery (expense)</t>
  </si>
  <si>
    <t>Total current income tax expense</t>
  </si>
  <si>
    <t>Relating To Origination And Reversal Of temporary differences</t>
  </si>
  <si>
    <t>Post-employment defined benefit plan expense</t>
  </si>
  <si>
    <t>Relating to prior periods</t>
  </si>
  <si>
    <t>Post-employment defined contribution plan expense</t>
  </si>
  <si>
    <t>Changes in US Tax rate</t>
  </si>
  <si>
    <t>Change in statutory tax rate</t>
  </si>
  <si>
    <t>Income Taxes - Total</t>
  </si>
  <si>
    <t>Income for the period attributable to shareholders</t>
  </si>
  <si>
    <t>Minority Interests</t>
  </si>
  <si>
    <t>Preferred share dividends of the Company</t>
  </si>
  <si>
    <t>Preferred Dividends and Similar</t>
  </si>
  <si>
    <t>As Rep. Net Inc. Attrib. to Common S/H.</t>
  </si>
  <si>
    <t>SubTotal</t>
  </si>
  <si>
    <t>Actuarial gains</t>
  </si>
  <si>
    <t>Unrealized (losses) gains on derivative instruments</t>
  </si>
  <si>
    <t>Unrealized gains (losses) on derivative instruments – joint ventures</t>
  </si>
  <si>
    <t>Reclassification of (gains) losses on derivative instruments to income for the year</t>
  </si>
  <si>
    <t>Unrealized (losses) gains</t>
  </si>
  <si>
    <t>Losses realized in net income on disposal of joint ventu</t>
  </si>
  <si>
    <t>Reclassification of losses on derivative instruments to income for the period joint venture</t>
  </si>
  <si>
    <t>Other Comprehensive Income - Net of Tax - Total</t>
  </si>
  <si>
    <t>Total comprehensive (loss) income</t>
  </si>
  <si>
    <t>Total comprehensive income</t>
  </si>
  <si>
    <t>Basic earnings per share</t>
  </si>
  <si>
    <t>Basic EPS Excluding ExtraOrdinary Items</t>
  </si>
  <si>
    <t>As Reported Net Income-Fully Diluted</t>
  </si>
  <si>
    <t>Weighted average number of common shares</t>
  </si>
  <si>
    <t>Diluted weighted average number of common shares</t>
  </si>
  <si>
    <t>Diluted earnings per share</t>
  </si>
  <si>
    <t>Diluted EPS Excluding ExtraOrd Items</t>
  </si>
  <si>
    <t>Diluted Net Income excluding Extra Items applicable to Common - (Company Level)</t>
  </si>
  <si>
    <t>Revenue - Realized Derivative Gains/Losses (incl Reclassified from OCI)</t>
  </si>
  <si>
    <t>Energy purchases and fuel - Derivatives</t>
  </si>
  <si>
    <t>Foreign exchange (loss) gain - Derivatives</t>
  </si>
  <si>
    <t>Finance expense - Derivatives</t>
  </si>
  <si>
    <t>Audit Fees</t>
  </si>
  <si>
    <t>Audit-Related Fees</t>
  </si>
  <si>
    <t>All Other Fees</t>
  </si>
  <si>
    <t>Total Depreciation of Fixed Assets</t>
  </si>
  <si>
    <t>Auditor Fees - Total</t>
  </si>
  <si>
    <t>Total Amortization of Intangible Assets (excl Goodwill)</t>
  </si>
  <si>
    <t>Total Depreciation &amp; Amortization (Combined)</t>
  </si>
  <si>
    <t>Non-GAAP Adjusted EBITDA</t>
  </si>
  <si>
    <t>Interest Expense on Financial Lease Liabilities - Supplemental</t>
  </si>
  <si>
    <t>Diluted Weighted Average Shares used to Calculate EPS - (Instrument Level)</t>
  </si>
  <si>
    <t>Basic EPS - Net Inc incl Extra Items appl to Common - (Instrument Level)</t>
  </si>
  <si>
    <t>Diluted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</si>
  <si>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</si>
  <si>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</si>
  <si>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</si>
  <si>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</si>
  <si>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</si>
  <si>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</si>
  <si>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</si>
  <si>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</si>
  <si>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Solvency</t>
  </si>
  <si>
    <t>Ratios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</si>
  <si>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</si>
  <si>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</si>
  <si>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</si>
  <si>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</si>
  <si>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</si>
  <si>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</si>
  <si>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</si>
  <si>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</si>
  <si>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</si>
  <si>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</si>
  <si>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Debt to Equity</t>
  </si>
  <si>
    <t>Debt to Asset</t>
  </si>
  <si>
    <t>Interest Coverage</t>
  </si>
  <si>
    <t>Cash Coverage</t>
  </si>
  <si>
    <t>Times Interest Earned</t>
    <phoneticPr fontId="23" type="noConversion"/>
  </si>
  <si>
    <t xml:space="preserve"> </t>
  </si>
  <si>
    <t xml:space="preserve">Profitability </t>
  </si>
  <si>
    <t>Gross Profit Margin</t>
  </si>
  <si>
    <t>Operating Profit  Margin</t>
  </si>
  <si>
    <t>Net Profit Margin</t>
  </si>
  <si>
    <t>Average Total Assets</t>
  </si>
  <si>
    <t>Average Equity</t>
  </si>
  <si>
    <t>ROA</t>
  </si>
  <si>
    <t>ROE</t>
  </si>
  <si>
    <t>Operating</t>
  </si>
  <si>
    <t>Accounts Receivable Turnover</t>
  </si>
  <si>
    <t>Average Receivables Collection Days</t>
  </si>
  <si>
    <t>Payables Turnover</t>
  </si>
  <si>
    <t>Average Payables Payment Days</t>
  </si>
  <si>
    <t>Inventory Turnover</t>
  </si>
  <si>
    <t>Average Inventory Days</t>
  </si>
  <si>
    <t>Average Net Trade Cycle Days</t>
  </si>
  <si>
    <t>Growth Rate</t>
  </si>
  <si>
    <t>Revenue from Business Activities - Total</t>
  </si>
  <si>
    <t>Revenue Growth Rate</t>
  </si>
  <si>
    <t>EPS - Diluted - excluding Extraordinary Items Applicable to Common - Total</t>
  </si>
  <si>
    <t>Earnings Per Share Growth, EPS Growth</t>
  </si>
  <si>
    <t>Identifier (GRID_REPORT.RIC)</t>
  </si>
  <si>
    <t>Company Name</t>
  </si>
  <si>
    <t>EBITDA Margin - %
(FY0)</t>
  </si>
  <si>
    <t>Net Debt to EBITDA, TTM
(FI0)</t>
  </si>
  <si>
    <t>Revenue 10 YR Hist Growth</t>
  </si>
  <si>
    <t>Return on Average Total Equity - %, TTM
(FI0)</t>
  </si>
  <si>
    <t>Credit SmartRatios Net Debt / Equity, NTM</t>
  </si>
  <si>
    <t>EPS IBES Actual (Last Fisc YR)</t>
  </si>
  <si>
    <t>Forward Enterprise Value To EBITDA (Time Series Ratio)
(FY1)</t>
  </si>
  <si>
    <t>Relative Valuation P/E, NTM</t>
  </si>
  <si>
    <t>Company</t>
  </si>
  <si>
    <t>Return on Average Total Equity - %, TTM
(FI0)</t>
    <phoneticPr fontId="23" type="noConversion"/>
  </si>
  <si>
    <t>ACOx.TO</t>
  </si>
  <si>
    <t>Atco Ltd</t>
  </si>
  <si>
    <t>CPX.TO</t>
  </si>
  <si>
    <t>EMA.TO</t>
  </si>
  <si>
    <t>NPI.TO</t>
  </si>
  <si>
    <t>Northland Power Inc (Ontario)</t>
  </si>
  <si>
    <t>CU.TO</t>
  </si>
  <si>
    <t>Canadian Utilities Ltd</t>
  </si>
  <si>
    <t>FTS.TO</t>
  </si>
  <si>
    <t>Emera Inc</t>
  </si>
  <si>
    <t>H.TO</t>
  </si>
  <si>
    <t>Capital Power Corp</t>
  </si>
  <si>
    <t>Fortis Inc</t>
  </si>
  <si>
    <t>TRP.TO</t>
  </si>
  <si>
    <t>TC Energy Corp</t>
  </si>
  <si>
    <t>Average</t>
  </si>
  <si>
    <t>Hydro One Ltd</t>
  </si>
  <si>
    <t>BLX.TO</t>
  </si>
  <si>
    <t>Boralex Inc</t>
  </si>
  <si>
    <t>TA.TO</t>
  </si>
  <si>
    <t>TransAlta Corp</t>
  </si>
  <si>
    <t>Criterion 1</t>
  </si>
  <si>
    <t>Description</t>
  </si>
  <si>
    <t>Examples</t>
  </si>
  <si>
    <r>
      <t>Primary Screening Criteria</t>
    </r>
    <r>
      <rPr>
        <b/>
        <sz val="10"/>
        <color rgb="FFFFFFFF"/>
        <rFont val="Times New Roman"/>
        <family val="1"/>
      </rPr>
      <t xml:space="preserve">
Basaed on Business model and Strategic alignment.</t>
    </r>
  </si>
  <si>
    <t>Included In Comps</t>
  </si>
  <si>
    <t>Geographic Focus</t>
  </si>
  <si>
    <r>
      <t xml:space="preserve">Publicly traded </t>
    </r>
    <r>
      <rPr>
        <b/>
        <sz val="11"/>
        <color rgb="FF000000"/>
        <rFont val="Times New Roman"/>
        <family val="1"/>
      </rPr>
      <t>North American IPPs</t>
    </r>
    <r>
      <rPr>
        <sz val="11"/>
        <color rgb="FF000000"/>
        <rFont val="Times New Roman"/>
        <family val="1"/>
      </rPr>
      <t>, operating primarily in Canada and the U.S.</t>
    </r>
  </si>
  <si>
    <t>NPI.TO, EMA.TO, FTS.TO</t>
  </si>
  <si>
    <t>North American Focused IPPs</t>
  </si>
  <si>
    <t>Business Model</t>
  </si>
  <si>
    <r>
      <t>Hybrid structure</t>
    </r>
    <r>
      <rPr>
        <sz val="11"/>
        <color rgb="FF000000"/>
        <rFont val="Times New Roman"/>
        <family val="1"/>
      </rPr>
      <t xml:space="preserve"> — exposure to merchant wholesale markets (e.g., Alberta)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long-term Power Purchase Agreements (PPAs).</t>
    </r>
  </si>
  <si>
    <t>CPX, NPI, EMA</t>
  </si>
  <si>
    <t xml:space="preserve">Hybrid Merchant/Contracted Model: </t>
  </si>
  <si>
    <t>Asset Mix</t>
  </si>
  <si>
    <t>Diversified generation portfolio: gas, wind, solar, storage.</t>
  </si>
  <si>
    <t>EMA, TA, FTS</t>
  </si>
  <si>
    <t xml:space="preserve">Diversified Fuel Mix: </t>
  </si>
  <si>
    <t>Strategic Direction</t>
  </si>
  <si>
    <r>
      <t xml:space="preserve">Active </t>
    </r>
    <r>
      <rPr>
        <b/>
        <sz val="11"/>
        <color rgb="FF000000"/>
        <rFont val="Times New Roman"/>
        <family val="1"/>
      </rPr>
      <t>transition toward net-zero</t>
    </r>
    <r>
      <rPr>
        <sz val="11"/>
        <color rgb="FF000000"/>
        <rFont val="Times New Roman"/>
        <family val="1"/>
      </rPr>
      <t xml:space="preserve"> and decarbonization (renewables, CCS, hydrogen, BESS).</t>
    </r>
  </si>
  <si>
    <t>CPX, EMA, ACOx.TO</t>
  </si>
  <si>
    <r>
      <t>Secondary Screening Criteria</t>
    </r>
    <r>
      <rPr>
        <b/>
        <sz val="10"/>
        <color rgb="FFFFFFFF"/>
        <rFont val="Times New Roman"/>
        <family val="1"/>
      </rPr>
      <t xml:space="preserve">
provides broader market context and includes companies that share key financial characteristics or strategic goals, even if their business models aren't identical.</t>
    </r>
  </si>
  <si>
    <t>U.S. IPPs with a Decarbonization Focus</t>
  </si>
  <si>
    <t>Renewable Energy "Yield cos"</t>
  </si>
  <si>
    <t xml:space="preserve">Key Customers/Off-takers: </t>
  </si>
  <si>
    <t>AltaGas Ltd</t>
  </si>
  <si>
    <t>Market Multiples/Company</t>
  </si>
  <si>
    <t>EV/EBITDA FY1</t>
  </si>
  <si>
    <t>EV/EBITDA  Valuation</t>
  </si>
  <si>
    <t>P/E   Valuation</t>
  </si>
  <si>
    <t>CPX EV</t>
  </si>
  <si>
    <t>EPS</t>
  </si>
  <si>
    <t>less：Net Debt</t>
  </si>
  <si>
    <t>Price</t>
  </si>
  <si>
    <t>Less:Minority Interest</t>
  </si>
  <si>
    <t>Equity Value</t>
  </si>
  <si>
    <t>Share outstanding</t>
  </si>
  <si>
    <t>Stock Price</t>
  </si>
  <si>
    <t>P/E FY1</t>
  </si>
  <si>
    <t>Metric</t>
  </si>
  <si>
    <t>Peer Average Multiple</t>
  </si>
  <si>
    <t>Implied Value (CAD/share)</t>
  </si>
  <si>
    <t>EV/EBITDA</t>
  </si>
  <si>
    <t>P/E</t>
  </si>
  <si>
    <t>Revenue from bussiness</t>
  </si>
  <si>
    <t>other revenue</t>
  </si>
  <si>
    <t>Total Revenue</t>
  </si>
  <si>
    <t>Other raw materials and operating charges+Accretion on decommissioning provisions</t>
  </si>
  <si>
    <t>other operaring expense</t>
  </si>
  <si>
    <t>Staff costs and employee benefits expense + Other administrative expense</t>
  </si>
  <si>
    <t>Selling，General&amp; Administrative Expenses</t>
  </si>
  <si>
    <t>Cost of Operating Revenue</t>
  </si>
  <si>
    <t>Gross profit</t>
  </si>
  <si>
    <t>Equity Earnings/(Loss) - before Taxes including Non-Recurring</t>
  </si>
  <si>
    <t>Other Non-Operating Income/(Expense) - Total</t>
  </si>
  <si>
    <t>EBIT</t>
  </si>
  <si>
    <t>EBITDA</t>
  </si>
  <si>
    <t>Revenue Forecast</t>
  </si>
  <si>
    <t>Historical</t>
  </si>
  <si>
    <t>Forecast</t>
  </si>
  <si>
    <t>Cost Forecast</t>
    <phoneticPr fontId="23" type="noConversion"/>
  </si>
  <si>
    <t>Net Working Capital</t>
  </si>
  <si>
    <t>CapEx</t>
  </si>
  <si>
    <t>Year</t>
  </si>
  <si>
    <t>Revenue growth by Segement  (CAGR)</t>
  </si>
  <si>
    <t>2025E</t>
  </si>
  <si>
    <t>2026E</t>
  </si>
  <si>
    <t>2027E</t>
  </si>
  <si>
    <t>2028E</t>
  </si>
  <si>
    <t>2029E</t>
  </si>
  <si>
    <t>Cost growth  (CAGR)</t>
  </si>
  <si>
    <t>Revenue Segment</t>
  </si>
  <si>
    <t>Cost Items</t>
  </si>
  <si>
    <t>Alberta commercial facilities and portfolio optimization</t>
  </si>
  <si>
    <t>Inventory</t>
  </si>
  <si>
    <t>Alberta contracted plants</t>
  </si>
  <si>
    <t>N/A</t>
  </si>
  <si>
    <t>INV%</t>
  </si>
  <si>
    <t>Western Canada contracted facilities</t>
  </si>
  <si>
    <t>Receivables</t>
  </si>
  <si>
    <t>Ontario contracted facilities</t>
  </si>
  <si>
    <t>AR%</t>
  </si>
  <si>
    <t>U.S. contracted facilities</t>
  </si>
  <si>
    <t xml:space="preserve">Total Expenses </t>
  </si>
  <si>
    <t>Payables</t>
  </si>
  <si>
    <t>U.S. commercial facilities</t>
  </si>
  <si>
    <t>AP%</t>
  </si>
  <si>
    <t>Based on Revenue</t>
  </si>
  <si>
    <t>Unrealized changes in fair value 
of commodity derivatives and 
emission credits</t>
    <phoneticPr fontId="23" type="noConversion"/>
  </si>
  <si>
    <t>NWC</t>
  </si>
  <si>
    <t>Corporate</t>
  </si>
  <si>
    <t>Depreciation and amortization</t>
    <phoneticPr fontId="23" type="noConversion"/>
  </si>
  <si>
    <t>As % of Revenue</t>
  </si>
  <si>
    <t>Percentage of  Total Revenue</t>
  </si>
  <si>
    <t>WACC</t>
  </si>
  <si>
    <t>Total Value of Equity</t>
  </si>
  <si>
    <t>Total Value of Preference Shares</t>
    <phoneticPr fontId="23" type="noConversion"/>
  </si>
  <si>
    <t>Total Value of Debt</t>
  </si>
  <si>
    <t>Share Price</t>
  </si>
  <si>
    <t>Unrealized changes in fair value 
of commodity derivatives and 
emission credits</t>
  </si>
  <si>
    <t>Outstanding Shares</t>
  </si>
  <si>
    <t>TVE</t>
  </si>
  <si>
    <t>TVP</t>
  </si>
  <si>
    <t>TVD</t>
  </si>
  <si>
    <t>Equity</t>
  </si>
  <si>
    <t xml:space="preserve">Total Market Value </t>
  </si>
  <si>
    <t>Preference Shares</t>
  </si>
  <si>
    <t>Revenue growth by Segement</t>
  </si>
  <si>
    <t>Cost of Equity</t>
  </si>
  <si>
    <t>Debt</t>
  </si>
  <si>
    <t>Forecast</t>
    <phoneticPr fontId="23" type="noConversion"/>
  </si>
  <si>
    <t>Cost of Debt</t>
  </si>
  <si>
    <t>Interest Expenses</t>
  </si>
  <si>
    <t>Value of Debt</t>
  </si>
  <si>
    <t>Revenue groeth</t>
  </si>
  <si>
    <t>Effective Tax Rate</t>
  </si>
  <si>
    <t>Total Expenses of Operating</t>
  </si>
  <si>
    <t>Tax Expense</t>
  </si>
  <si>
    <t>Pre-Tax Income</t>
  </si>
  <si>
    <t>Cost of Preference Shares</t>
  </si>
  <si>
    <t>EBITDA Margin</t>
  </si>
  <si>
    <t>DPS for PS</t>
  </si>
  <si>
    <t>EBIT Margin</t>
  </si>
  <si>
    <t>EBIT*(1-Tax Rate)</t>
  </si>
  <si>
    <t>(Plus)D&amp;A</t>
  </si>
  <si>
    <t>(less)changes in working capital</t>
  </si>
  <si>
    <t xml:space="preserve">Pre-tax Cost of Debt </t>
    <phoneticPr fontId="23" type="noConversion"/>
  </si>
  <si>
    <t>(less)Capex</t>
  </si>
  <si>
    <t>Unlevered  Free cash flow of firm</t>
  </si>
  <si>
    <t xml:space="preserve">Tax Rate </t>
    <phoneticPr fontId="23" type="noConversion"/>
  </si>
  <si>
    <t>Capacity (MW)</t>
  </si>
  <si>
    <t xml:space="preserve">Risk-free rate </t>
    <phoneticPr fontId="23" type="noConversion"/>
  </si>
  <si>
    <t xml:space="preserve">After-tax cost of debt </t>
    <phoneticPr fontId="23" type="noConversion"/>
  </si>
  <si>
    <t>PVs</t>
  </si>
  <si>
    <t xml:space="preserve">Market risk premium </t>
    <phoneticPr fontId="23" type="noConversion"/>
  </si>
  <si>
    <t xml:space="preserve">Cost of Equity </t>
    <phoneticPr fontId="23" type="noConversion"/>
  </si>
  <si>
    <t>Current WACC</t>
  </si>
  <si>
    <t xml:space="preserve">Levered beta </t>
    <phoneticPr fontId="23" type="noConversion"/>
  </si>
  <si>
    <t xml:space="preserve">Net debt </t>
    <phoneticPr fontId="23" type="noConversion"/>
  </si>
  <si>
    <t>-</t>
  </si>
  <si>
    <t>Present value (5-year CF)</t>
  </si>
  <si>
    <t>Value of Preference Shares</t>
    <phoneticPr fontId="23" type="noConversion"/>
  </si>
  <si>
    <t xml:space="preserve">Market value of equity </t>
    <phoneticPr fontId="23" type="noConversion"/>
  </si>
  <si>
    <t xml:space="preserve">Enterprise value </t>
    <phoneticPr fontId="23" type="noConversion"/>
  </si>
  <si>
    <t xml:space="preserve">WACC </t>
    <phoneticPr fontId="23" type="noConversion"/>
  </si>
  <si>
    <t>Share price calculation</t>
  </si>
  <si>
    <t>Sensitive Analysis</t>
    <phoneticPr fontId="23" type="noConversion"/>
  </si>
  <si>
    <t>Perpetual growth rate</t>
    <phoneticPr fontId="23" type="noConversion"/>
  </si>
  <si>
    <t>WACC</t>
    <phoneticPr fontId="23" type="noConversion"/>
  </si>
  <si>
    <t>Alberta spot price( per MWh)</t>
  </si>
  <si>
    <t>Terminal Value</t>
  </si>
  <si>
    <t>Implied EV/EBITDA</t>
  </si>
  <si>
    <t>Alberta commercial facilities Revenue</t>
  </si>
  <si>
    <t>Present value of terminal value</t>
  </si>
  <si>
    <t>other income</t>
  </si>
  <si>
    <t>Portfolio optimization</t>
  </si>
  <si>
    <t>Enterprise Value</t>
  </si>
  <si>
    <t>Total</t>
  </si>
  <si>
    <t>Total debt</t>
  </si>
  <si>
    <t>Cash</t>
  </si>
  <si>
    <t>Alberta capacity(MW)</t>
  </si>
  <si>
    <t>Net Debt/ Net Cash</t>
  </si>
  <si>
    <t>Alberta capacity(MW) Growth</t>
  </si>
  <si>
    <t>Minority interest</t>
  </si>
  <si>
    <t>Alberta spot price growth</t>
  </si>
  <si>
    <t>Portfolio optimization growth</t>
  </si>
  <si>
    <t>Number of share outstanding</t>
  </si>
  <si>
    <t>Net Debt</t>
    <phoneticPr fontId="23" type="noConversion"/>
  </si>
  <si>
    <t>Portfolio optimization growth/spot price growth (β)</t>
  </si>
  <si>
    <t>indicated per share price (CAD)</t>
  </si>
  <si>
    <t>Average β (3 years)</t>
  </si>
  <si>
    <t>Terminal Growth</t>
  </si>
  <si>
    <t>Total Dividends</t>
  </si>
  <si>
    <t>Dividend at end of 2025</t>
  </si>
  <si>
    <t>sensitive analyse</t>
  </si>
  <si>
    <t>2025(Est)</t>
  </si>
  <si>
    <t>Stage 1  growth rate (2025–2029)</t>
  </si>
  <si>
    <t>Dividend at end of 2026</t>
  </si>
  <si>
    <t>Stage 2  growth rate (beyond 2029)</t>
  </si>
  <si>
    <t>Dividend at end of 2027</t>
  </si>
  <si>
    <t>Dividend at end of 2028</t>
  </si>
  <si>
    <t>Risk-free Rate</t>
    <phoneticPr fontId="23" type="noConversion"/>
  </si>
  <si>
    <t>Dividend at end of 2029</t>
  </si>
  <si>
    <t xml:space="preserve">10 YEAR CAD BOND </t>
  </si>
  <si>
    <t>Terminal Value (TV) at Year 2028</t>
    <phoneticPr fontId="23" type="noConversion"/>
  </si>
  <si>
    <t>present value</t>
    <phoneticPr fontId="23" type="noConversion"/>
  </si>
  <si>
    <t>D2029/(Re-g2)</t>
  </si>
  <si>
    <t>Market Return : Rm</t>
    <phoneticPr fontId="23" type="noConversion"/>
  </si>
  <si>
    <t>Price 2025</t>
    <phoneticPr fontId="23" type="noConversion"/>
  </si>
  <si>
    <t>30 Year Annualized S&amp;P 500 Return (Dividends Reinvested)</t>
  </si>
  <si>
    <t>20 Year Annualized S&amp;P 500 Return (Dividends Reinvested)</t>
  </si>
  <si>
    <t>Stage 1  growth rate (2025–2030)</t>
    <phoneticPr fontId="23" type="noConversion"/>
  </si>
  <si>
    <t>Rm average</t>
  </si>
  <si>
    <t>2025E</t>
    <phoneticPr fontId="23" type="noConversion"/>
  </si>
  <si>
    <t>2026E</t>
    <phoneticPr fontId="23" type="noConversion"/>
  </si>
  <si>
    <t>2027E</t>
    <phoneticPr fontId="23" type="noConversion"/>
  </si>
  <si>
    <t>2028E</t>
    <phoneticPr fontId="23" type="noConversion"/>
  </si>
  <si>
    <t>2029E</t>
    <phoneticPr fontId="23" type="noConversion"/>
  </si>
  <si>
    <t>Stage 2  growth rate (beyond 2030)</t>
  </si>
  <si>
    <t>Beta</t>
    <phoneticPr fontId="23" type="noConversion"/>
  </si>
  <si>
    <t>Risk-free Rate</t>
  </si>
  <si>
    <t>Discount Raate</t>
    <phoneticPr fontId="23" type="noConversion"/>
  </si>
  <si>
    <t>Market Return : Rm</t>
  </si>
  <si>
    <t>CAPM : Re = Rf + B (Rm-Rf)</t>
  </si>
  <si>
    <t>Stage 1 growth rate (2025–2029)</t>
  </si>
  <si>
    <t>Stage 2 growth rate (beyond 2029)</t>
    <phoneticPr fontId="23" type="noConversion"/>
  </si>
  <si>
    <t>Beta</t>
  </si>
  <si>
    <t>Terminal Value (TV) at Year 2028</t>
  </si>
  <si>
    <t>Current Price</t>
  </si>
  <si>
    <t>Debt-to-Equity</t>
  </si>
  <si>
    <t>Dividend Yield</t>
  </si>
  <si>
    <t>Revenues and other income by fuel type</t>
  </si>
  <si>
    <t>Challenges and Risks (negative)</t>
  </si>
  <si>
    <t>Opportunities (positive)</t>
  </si>
  <si>
    <t>Company Data</t>
  </si>
  <si>
    <t>Valuation Results</t>
  </si>
  <si>
    <t xml:space="preserve"> Financial Data</t>
    <phoneticPr fontId="23" type="noConversion"/>
  </si>
  <si>
    <t>Renewables</t>
  </si>
  <si>
    <t>🌦 Climate risks for hydropower</t>
  </si>
  <si>
    <r>
      <rPr>
        <sz val="11"/>
        <color rgb="FF000000"/>
        <rFont val="Segoe UI Emoji"/>
        <family val="2"/>
      </rPr>
      <t>☀️</t>
    </r>
    <r>
      <rPr>
        <sz val="11"/>
        <color rgb="FF000000"/>
        <rFont val="Calibri"/>
        <family val="2"/>
      </rPr>
      <t xml:space="preserve"> Growth in renewables &amp; electrification</t>
    </r>
    <phoneticPr fontId="23" type="noConversion"/>
  </si>
  <si>
    <t>Last Close</t>
    <phoneticPr fontId="23" type="noConversion"/>
  </si>
  <si>
    <t>DCF –Terminal Growth</t>
    <phoneticPr fontId="23" type="noConversion"/>
  </si>
  <si>
    <t>24E</t>
  </si>
  <si>
    <t>25E</t>
    <phoneticPr fontId="23" type="noConversion"/>
  </si>
  <si>
    <t>26E</t>
  </si>
  <si>
    <t>27E</t>
  </si>
  <si>
    <t>Flexible generation</t>
  </si>
  <si>
    <t>💰 Capital &amp; financing pressure</t>
  </si>
  <si>
    <r>
      <rPr>
        <sz val="11"/>
        <color rgb="FF000000"/>
        <rFont val="Segoe UI Emoji"/>
        <family val="2"/>
      </rPr>
      <t>💵</t>
    </r>
    <r>
      <rPr>
        <sz val="11"/>
        <color rgb="FF000000"/>
        <rFont val="Calibri"/>
        <family val="2"/>
      </rPr>
      <t xml:space="preserve"> Government support &amp; green incentives</t>
    </r>
    <phoneticPr fontId="23" type="noConversion"/>
  </si>
  <si>
    <t>Market Cap</t>
  </si>
  <si>
    <t>11.00B</t>
    <phoneticPr fontId="23" type="noConversion"/>
  </si>
  <si>
    <t>DCF –Exit Multiple</t>
    <phoneticPr fontId="23" type="noConversion"/>
  </si>
  <si>
    <t>Rev. ($M)</t>
  </si>
  <si>
    <t>Natural gas/coal dual-fuel</t>
  </si>
  <si>
    <t>⚖️ Policy &amp; regulatory uncertainty</t>
  </si>
  <si>
    <r>
      <rPr>
        <sz val="11"/>
        <color rgb="FF000000"/>
        <rFont val="Segoe UI Emoji"/>
        <family val="2"/>
      </rPr>
      <t>⚡</t>
    </r>
    <r>
      <rPr>
        <sz val="11"/>
        <color rgb="FF000000"/>
        <rFont val="Calibri"/>
        <family val="2"/>
      </rPr>
      <t xml:space="preserve"> Technological innovation (storage, smart grid)</t>
    </r>
    <phoneticPr fontId="23" type="noConversion"/>
  </si>
  <si>
    <t>Shares Outstanding</t>
  </si>
  <si>
    <t>155.47M</t>
  </si>
  <si>
    <t>DDM –Terminal Growth</t>
    <phoneticPr fontId="23" type="noConversion"/>
  </si>
  <si>
    <t xml:space="preserve"> Rev. Growth</t>
    <phoneticPr fontId="23" type="noConversion"/>
  </si>
  <si>
    <t>📈 Cost inflation &amp; fuel price volatility</t>
  </si>
  <si>
    <r>
      <rPr>
        <sz val="11"/>
        <color rgb="FF000000"/>
        <rFont val="Segoe UI Emoji"/>
        <family val="2"/>
      </rPr>
      <t>🌍</t>
    </r>
    <r>
      <rPr>
        <sz val="11"/>
        <color rgb="FF000000"/>
        <rFont val="Calibri"/>
        <family val="2"/>
      </rPr>
      <t xml:space="preserve"> Cross-border trade with U.S.</t>
    </r>
    <phoneticPr fontId="23" type="noConversion"/>
  </si>
  <si>
    <t>52-Week High</t>
  </si>
  <si>
    <t>DDM–Exit Multiple</t>
    <phoneticPr fontId="23" type="noConversion"/>
  </si>
  <si>
    <t>Adj. EBITDA ($M)</t>
  </si>
  <si>
    <t>52-Week Low</t>
  </si>
  <si>
    <t>CCA –Exit Multiple</t>
    <phoneticPr fontId="23" type="noConversion"/>
  </si>
  <si>
    <t>Adj. EBITDA Margin</t>
  </si>
  <si>
    <t>Target Price</t>
  </si>
  <si>
    <t>Implied Return</t>
  </si>
  <si>
    <t xml:space="preserve"> </t>
    <phoneticPr fontId="23" type="noConversion"/>
  </si>
  <si>
    <t>Revenues and other income by facility geography</t>
    <phoneticPr fontId="23" type="noConversion"/>
  </si>
  <si>
    <t>Alberta</t>
  </si>
  <si>
    <t>U.S.</t>
  </si>
  <si>
    <t>Rest of Canada</t>
  </si>
  <si>
    <t>Dicount Rate</t>
    <phoneticPr fontId="23" type="noConversion"/>
  </si>
  <si>
    <t>rate</t>
    <phoneticPr fontId="23" type="noConversion"/>
  </si>
  <si>
    <t>Scenario</t>
  </si>
  <si>
    <t>Economic Conditions</t>
  </si>
  <si>
    <t>Key Assumptions</t>
  </si>
  <si>
    <t>Fair Value (CAD/share)</t>
  </si>
  <si>
    <t>Bull Case</t>
  </si>
  <si>
    <t>Economic expansion, higher demand, supportive carbon policy, low interest rates</t>
    <phoneticPr fontId="23" type="noConversion"/>
  </si>
  <si>
    <t>GDP ↑,WACC 5.6%, g 3.5%,price +48%</t>
    <phoneticPr fontId="23" type="noConversion"/>
  </si>
  <si>
    <t>Alberta</t>
    <phoneticPr fontId="23" type="noConversion"/>
  </si>
  <si>
    <t>Base Case</t>
  </si>
  <si>
    <t>Stable growth, neutral policy, balanced inflation</t>
    <phoneticPr fontId="23" type="noConversion"/>
  </si>
  <si>
    <t>WACC 5.8%, g 3.0%,</t>
    <phoneticPr fontId="23" type="noConversion"/>
  </si>
  <si>
    <t>U.S.</t>
    <phoneticPr fontId="23" type="noConversion"/>
  </si>
  <si>
    <t>Bear Case</t>
  </si>
  <si>
    <t>Slower growth, policy uncertainty, high interest rates</t>
    <phoneticPr fontId="23" type="noConversion"/>
  </si>
  <si>
    <t>GDP ↓, WACC 6.0%, g 2.0%,price-43%</t>
    <phoneticPr fontId="23" type="noConversion"/>
  </si>
  <si>
    <t>Rest of Canada</t>
    <phoneticPr fontId="23" type="noConversion"/>
  </si>
  <si>
    <t>Risk</t>
  </si>
  <si>
    <t>Likelihood (1–3)</t>
  </si>
  <si>
    <t>Impact (1–3)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</si>
  <si>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</si>
  <si>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</si>
  <si>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</si>
  <si>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</si>
  <si>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Coal/Dual Fuel Exposure (%Capacity)</t>
    <phoneticPr fontId="23" type="noConversion"/>
  </si>
  <si>
    <t>Adjusted EBITDA Growth</t>
    <phoneticPr fontId="23" type="noConversion"/>
  </si>
  <si>
    <t>U.S.  Exposure(%Capacity)</t>
    <phoneticPr fontId="23" type="noConversion"/>
  </si>
  <si>
    <t>Dividend Pre Share Growth(%Capacity)</t>
    <phoneticPr fontId="23" type="noConversion"/>
  </si>
  <si>
    <t>52week range</t>
    <phoneticPr fontId="23" type="noConversion"/>
  </si>
  <si>
    <t>42.66 (low)</t>
    <phoneticPr fontId="23" type="noConversion"/>
  </si>
  <si>
    <t>73.55 (high)</t>
    <phoneticPr fontId="23" type="noConversion"/>
  </si>
  <si>
    <t>DCF(50%)</t>
    <phoneticPr fontId="23" type="noConversion"/>
  </si>
  <si>
    <t>DDM(30%)</t>
    <phoneticPr fontId="23" type="noConversion"/>
  </si>
  <si>
    <t>CCA(20%)</t>
    <phoneticPr fontId="23" type="noConversion"/>
  </si>
  <si>
    <t>Current price</t>
    <phoneticPr fontId="23" type="noConversion"/>
  </si>
  <si>
    <t>Trager price</t>
    <phoneticPr fontId="23" type="noConversion"/>
  </si>
  <si>
    <t>EBITDA</t>
    <phoneticPr fontId="23" type="noConversion"/>
  </si>
  <si>
    <t>Alberta commercial facilities and portfolio optimization</t>
    <phoneticPr fontId="23" type="noConversion"/>
  </si>
  <si>
    <t>EBITDA Margin</t>
    <phoneticPr fontId="23" type="noConversion"/>
  </si>
  <si>
    <t>Western Canada contracted facilities</t>
    <phoneticPr fontId="23" type="noConversion"/>
  </si>
  <si>
    <t>Ontario contracted facilities</t>
    <phoneticPr fontId="23" type="noConversion"/>
  </si>
  <si>
    <t>U.S. contracted facilities</t>
    <phoneticPr fontId="23" type="noConversion"/>
  </si>
  <si>
    <t>Total Revenue(CAD M)</t>
    <phoneticPr fontId="23" type="noConversion"/>
  </si>
  <si>
    <t>Revenue Growth</t>
    <phoneticPr fontId="23" type="noConversion"/>
  </si>
  <si>
    <t>EBITDA(CAD M)</t>
    <phoneticPr fontId="23" type="noConversion"/>
  </si>
  <si>
    <t>others</t>
  </si>
  <si>
    <t>Suncor Energy</t>
  </si>
  <si>
    <t>ENMAX Corporation</t>
  </si>
  <si>
    <t>Heartland Generation</t>
  </si>
  <si>
    <t>CPX</t>
  </si>
  <si>
    <t>TransAlta Corporation</t>
  </si>
  <si>
    <t>Stage 2  growth rate (beyond 2029)</t>
    <phoneticPr fontId="23" type="noConversion"/>
  </si>
  <si>
    <t>Average 10 year Average Growth (stage 1 growth rate)</t>
    <phoneticPr fontId="23" type="noConversion"/>
  </si>
  <si>
    <t>Stage 2  growth rate</t>
    <phoneticPr fontId="23" type="noConversion"/>
  </si>
  <si>
    <t>Rerurn of Market</t>
    <phoneticPr fontId="23" type="noConversion"/>
  </si>
  <si>
    <t>Dividend Forecast</t>
    <phoneticPr fontId="23" type="noConversion"/>
  </si>
  <si>
    <t>Perpetual growth rate (stage 2 growth rate)</t>
    <phoneticPr fontId="23" type="noConversion"/>
  </si>
  <si>
    <t>Present value of terminal value</t>
    <phoneticPr fontId="23" type="noConversion"/>
  </si>
  <si>
    <t>Present value (5-year CF)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</si>
</sst>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.00_);[Red]\(&quot;$&quot;#,##0.00\)"/>
    <numFmt numFmtId="165" formatCode="&quot;¥&quot;#,##0.00;[Red]&quot;¥&quot;\-#,##0.00"/>
    <numFmt numFmtId="166" formatCode="\$#,##0_);[Red]\(\$#,##0\)"/>
    <numFmt numFmtId="167" formatCode="\$#,##0.00_);[Red]\(\$#,##0.00\)"/>
    <numFmt numFmtId="168" formatCode="0.00_);[Red]\(0.00\)"/>
    <numFmt numFmtId="169" formatCode="#,##0.0"/>
    <numFmt numFmtId="170" formatCode="0.00000%"/>
    <numFmt numFmtId="171" formatCode="0.00_ "/>
  </numFmts>
  <fonts count="54">
    <font>
      <sz val="11"/>
      <color rgb="FF000000"/>
      <name val="Calibri"/>
      <charset val="134"/>
    </font>
    <font>
      <b/>
      <sz val="12"/>
      <color theme="0"/>
      <name val="Times New Roman"/>
      <family val="1"/>
    </font>
    <font>
      <b/>
      <sz val="14"/>
      <color theme="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theme="0"/>
      <name val="Times New Roman"/>
      <family val="1"/>
    </font>
    <font>
      <sz val="11"/>
      <color rgb="FFF5475B"/>
      <name val="Times New Roman"/>
      <family val="1"/>
    </font>
    <font>
      <sz val="12"/>
      <color rgb="FF000000"/>
      <name val="Calibri"/>
      <family val="2"/>
    </font>
    <font>
      <b/>
      <sz val="11"/>
      <color rgb="FFF5475B"/>
      <name val="Times New Roman"/>
      <family val="1"/>
    </font>
    <font>
      <sz val="10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color theme="0"/>
      <name val="Calibri"/>
      <family val="2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Å®Ä½"/>
      <charset val="134"/>
    </font>
    <font>
      <b/>
      <sz val="10"/>
      <color rgb="FFFFFFFF"/>
      <name val="Times New Roman"/>
      <family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4"/>
      <color rgb="FF000000"/>
      <name val="Times New Roman"/>
      <family val="1"/>
    </font>
    <font>
      <sz val="12"/>
      <color rgb="FF000000"/>
      <name val="Å®Ä½"/>
      <charset val="134"/>
    </font>
    <font>
      <sz val="14"/>
      <color rgb="FF000000"/>
      <name val="Times New Roman"/>
      <family val="1"/>
    </font>
    <font>
      <sz val="9"/>
      <name val="Calibri"/>
      <family val="2"/>
    </font>
    <font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等线"/>
      <family val="3"/>
      <charset val="134"/>
    </font>
    <font>
      <sz val="10"/>
      <color rgb="FF000000"/>
      <name val="Times New Roman"/>
      <family val="1"/>
    </font>
    <font>
      <b/>
      <sz val="9"/>
      <color theme="1"/>
      <name val="Times New Roman"/>
      <family val="1"/>
    </font>
    <font>
      <sz val="14"/>
      <color rgb="FFFFFFFF"/>
      <name val="Times New Roman"/>
      <family val="1"/>
    </font>
    <font>
      <b/>
      <sz val="14"/>
      <color theme="3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000000"/>
      <name val="Calibri"/>
      <family val="2"/>
    </font>
    <font>
      <sz val="12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4"/>
      <color theme="0"/>
      <name val="Times New Roman"/>
      <family val="1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.5"/>
      <color rgb="FF000000"/>
      <name val="Arial"/>
      <family val="2"/>
    </font>
    <font>
      <b/>
      <sz val="12"/>
      <color theme="0"/>
      <name val="Calibri"/>
      <family val="2"/>
    </font>
    <font>
      <sz val="11"/>
      <color rgb="FF000000"/>
      <name val="Segoe UI Emoji"/>
      <family val="2"/>
    </font>
    <font>
      <sz val="11"/>
      <color rgb="FF000000"/>
      <name val="Calibri"/>
      <family val="2"/>
      <charset val="134"/>
    </font>
    <font>
      <b/>
      <sz val="12"/>
      <color theme="0"/>
      <name val="Calibri"/>
      <family val="2"/>
      <charset val="134"/>
    </font>
    <font>
      <b/>
      <sz val="11"/>
      <color theme="0"/>
      <name val="Times New Roman"/>
      <family val="1"/>
    </font>
    <font>
      <b/>
      <sz val="11"/>
      <color rgb="FF1B1C1D"/>
      <name val="Arial"/>
      <family val="2"/>
    </font>
    <font>
      <sz val="11"/>
      <color rgb="FF1B1C1D"/>
      <name val="Arial"/>
      <family val="2"/>
    </font>
    <font>
      <sz val="11"/>
      <color rgb="FF000000"/>
      <name val="Trade Gothic Inline"/>
      <family val="2"/>
    </font>
    <font>
      <sz val="8"/>
      <color rgb="FF000000"/>
      <name val="Arial"/>
      <family val="2"/>
    </font>
    <font>
      <b/>
      <sz val="8"/>
      <color rgb="FF000000"/>
      <name val="Arial-BoldMT"/>
      <family val="2"/>
    </font>
    <font>
      <b/>
      <sz val="9"/>
      <color theme="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等线"/>
      <family val="3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1F497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D9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D4D75"/>
        <bgColor indexed="64"/>
      </patternFill>
    </fill>
    <fill>
      <patternFill patternType="solid">
        <fgColor rgb="FF9E8C05"/>
        <bgColor indexed="64"/>
      </patternFill>
    </fill>
    <fill>
      <patternFill patternType="solid">
        <fgColor rgb="FF719ACA"/>
        <bgColor indexed="64"/>
      </patternFill>
    </fill>
    <fill>
      <patternFill patternType="solid">
        <fgColor rgb="FFDBE3F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BCA6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5D8DB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 applyNumberFormat="0" applyBorder="0" applyAlignment="0"/>
    <xf numFmtId="0" fontId="19" fillId="0" borderId="0" applyNumberFormat="0" applyFill="0" applyBorder="0" applyAlignment="0" applyProtection="0"/>
  </cellStyleXfs>
  <cellXfs count="402">
    <xf numFmtId="0" fontId="0" fillId="0" borderId="0" xfId="0"/>
    <xf numFmtId="0" fontId="2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68" fontId="3" fillId="4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168" fontId="4" fillId="0" borderId="2" xfId="0" applyNumberFormat="1" applyFont="1" applyBorder="1" applyAlignment="1">
      <alignment horizontal="right" vertical="center" wrapText="1"/>
    </xf>
    <xf numFmtId="168" fontId="6" fillId="0" borderId="2" xfId="0" applyNumberFormat="1" applyFont="1" applyBorder="1" applyAlignment="1">
      <alignment horizontal="right" vertical="center" wrapText="1"/>
    </xf>
    <xf numFmtId="0" fontId="7" fillId="0" borderId="0" xfId="0" applyFont="1"/>
    <xf numFmtId="0" fontId="3" fillId="0" borderId="2" xfId="0" applyFont="1" applyBorder="1" applyAlignment="1">
      <alignment horizontal="left" vertical="center" wrapText="1"/>
    </xf>
    <xf numFmtId="168" fontId="3" fillId="0" borderId="2" xfId="0" applyNumberFormat="1" applyFont="1" applyBorder="1" applyAlignment="1">
      <alignment horizontal="right" vertical="center" wrapText="1"/>
    </xf>
    <xf numFmtId="168" fontId="8" fillId="0" borderId="2" xfId="0" applyNumberFormat="1" applyFont="1" applyBorder="1" applyAlignment="1">
      <alignment horizontal="right" vertical="center" wrapText="1"/>
    </xf>
    <xf numFmtId="0" fontId="3" fillId="4" borderId="3" xfId="0" applyFont="1" applyFill="1" applyBorder="1" applyAlignment="1">
      <alignment horizontal="left" vertical="center" wrapText="1"/>
    </xf>
    <xf numFmtId="168" fontId="3" fillId="4" borderId="3" xfId="0" applyNumberFormat="1" applyFont="1" applyFill="1" applyBorder="1" applyAlignment="1">
      <alignment horizontal="right" vertical="center" wrapText="1"/>
    </xf>
    <xf numFmtId="0" fontId="9" fillId="0" borderId="4" xfId="0" applyFont="1" applyBorder="1" applyAlignment="1">
      <alignment horizontal="left" vertical="center" wrapText="1"/>
    </xf>
    <xf numFmtId="169" fontId="9" fillId="0" borderId="4" xfId="0" applyNumberFormat="1" applyFont="1" applyBorder="1" applyAlignment="1">
      <alignment horizontal="left" vertical="center" wrapText="1"/>
    </xf>
    <xf numFmtId="4" fontId="9" fillId="0" borderId="4" xfId="0" applyNumberFormat="1" applyFont="1" applyBorder="1" applyAlignment="1">
      <alignment horizontal="left" vertical="center" wrapText="1"/>
    </xf>
    <xf numFmtId="4" fontId="9" fillId="0" borderId="4" xfId="0" applyNumberFormat="1" applyFont="1" applyBorder="1" applyAlignment="1">
      <alignment horizontal="left" vertical="center" wrapText="1" indent="2"/>
    </xf>
    <xf numFmtId="3" fontId="9" fillId="0" borderId="4" xfId="0" applyNumberFormat="1" applyFont="1" applyBorder="1" applyAlignment="1">
      <alignment horizontal="left" vertical="center" wrapText="1"/>
    </xf>
    <xf numFmtId="169" fontId="9" fillId="0" borderId="4" xfId="0" applyNumberFormat="1" applyFont="1" applyBorder="1" applyAlignment="1">
      <alignment horizontal="left" vertical="center" wrapText="1" indent="2"/>
    </xf>
    <xf numFmtId="0" fontId="3" fillId="6" borderId="2" xfId="0" applyFont="1" applyFill="1" applyBorder="1" applyAlignment="1">
      <alignment horizontal="left" vertical="center" wrapText="1"/>
    </xf>
    <xf numFmtId="168" fontId="3" fillId="10" borderId="2" xfId="0" applyNumberFormat="1" applyFont="1" applyFill="1" applyBorder="1" applyAlignment="1">
      <alignment horizontal="right" vertical="center" wrapText="1"/>
    </xf>
    <xf numFmtId="0" fontId="12" fillId="9" borderId="5" xfId="0" applyFont="1" applyFill="1" applyBorder="1" applyAlignment="1">
      <alignment horizontal="center" wrapText="1"/>
    </xf>
    <xf numFmtId="0" fontId="0" fillId="11" borderId="5" xfId="0" applyFill="1" applyBorder="1"/>
    <xf numFmtId="0" fontId="0" fillId="11" borderId="5" xfId="0" applyFill="1" applyBorder="1" applyAlignment="1">
      <alignment wrapText="1"/>
    </xf>
    <xf numFmtId="0" fontId="12" fillId="9" borderId="9" xfId="0" applyFont="1" applyFill="1" applyBorder="1" applyAlignment="1">
      <alignment wrapText="1"/>
    </xf>
    <xf numFmtId="0" fontId="3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0" fillId="3" borderId="10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1" fillId="7" borderId="11" xfId="0" applyFont="1" applyFill="1" applyBorder="1"/>
    <xf numFmtId="0" fontId="4" fillId="0" borderId="5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wrapText="1"/>
    </xf>
    <xf numFmtId="0" fontId="16" fillId="0" borderId="0" xfId="0" applyFont="1" applyBorder="1" applyAlignment="1"/>
    <xf numFmtId="0" fontId="4" fillId="14" borderId="0" xfId="0" applyFont="1" applyFill="1" applyBorder="1" applyAlignment="1"/>
    <xf numFmtId="10" fontId="4" fillId="14" borderId="0" xfId="0" applyNumberFormat="1" applyFont="1" applyFill="1" applyBorder="1" applyAlignment="1"/>
    <xf numFmtId="0" fontId="4" fillId="13" borderId="0" xfId="0" applyFont="1" applyFill="1" applyBorder="1" applyAlignment="1"/>
    <xf numFmtId="0" fontId="0" fillId="0" borderId="5" xfId="0" applyBorder="1"/>
    <xf numFmtId="0" fontId="0" fillId="11" borderId="12" xfId="0" applyFill="1" applyBorder="1"/>
    <xf numFmtId="0" fontId="3" fillId="10" borderId="18" xfId="0" applyFont="1" applyFill="1" applyBorder="1" applyAlignment="1">
      <alignment horizontal="left" vertical="center" wrapText="1"/>
    </xf>
    <xf numFmtId="168" fontId="3" fillId="10" borderId="10" xfId="0" applyNumberFormat="1" applyFont="1" applyFill="1" applyBorder="1" applyAlignment="1">
      <alignment horizontal="righ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168" fontId="4" fillId="16" borderId="2" xfId="0" applyNumberFormat="1" applyFont="1" applyFill="1" applyBorder="1" applyAlignment="1">
      <alignment horizontal="right" vertical="center" wrapText="1"/>
    </xf>
    <xf numFmtId="0" fontId="4" fillId="17" borderId="2" xfId="0" applyFont="1" applyFill="1" applyBorder="1" applyAlignment="1">
      <alignment horizontal="left" vertical="center" wrapText="1"/>
    </xf>
    <xf numFmtId="168" fontId="4" fillId="17" borderId="2" xfId="0" applyNumberFormat="1" applyFont="1" applyFill="1" applyBorder="1" applyAlignment="1">
      <alignment horizontal="right" vertical="center" wrapText="1"/>
    </xf>
    <xf numFmtId="0" fontId="15" fillId="0" borderId="5" xfId="0" applyFont="1" applyBorder="1" applyAlignment="1">
      <alignment horizontal="center" vertical="center"/>
    </xf>
    <xf numFmtId="0" fontId="4" fillId="14" borderId="5" xfId="0" applyFont="1" applyFill="1" applyBorder="1" applyAlignment="1"/>
    <xf numFmtId="0" fontId="15" fillId="13" borderId="5" xfId="0" applyFont="1" applyFill="1" applyBorder="1" applyAlignment="1"/>
    <xf numFmtId="0" fontId="15" fillId="17" borderId="5" xfId="0" applyFont="1" applyFill="1" applyBorder="1" applyAlignment="1"/>
    <xf numFmtId="2" fontId="18" fillId="17" borderId="5" xfId="0" applyNumberFormat="1" applyFont="1" applyFill="1" applyBorder="1"/>
    <xf numFmtId="0" fontId="15" fillId="17" borderId="12" xfId="0" applyFont="1" applyFill="1" applyBorder="1" applyAlignment="1"/>
    <xf numFmtId="0" fontId="3" fillId="13" borderId="5" xfId="0" applyFont="1" applyFill="1" applyBorder="1" applyAlignment="1"/>
    <xf numFmtId="0" fontId="10" fillId="13" borderId="5" xfId="0" applyFont="1" applyFill="1" applyBorder="1" applyAlignment="1"/>
    <xf numFmtId="0" fontId="0" fillId="5" borderId="0" xfId="0" applyFill="1"/>
    <xf numFmtId="0" fontId="0" fillId="5" borderId="0" xfId="0" applyFill="1" applyAlignment="1">
      <alignment wrapText="1"/>
    </xf>
    <xf numFmtId="10" fontId="3" fillId="15" borderId="5" xfId="0" applyNumberFormat="1" applyFont="1" applyFill="1" applyBorder="1" applyAlignment="1">
      <alignment vertical="center"/>
    </xf>
    <xf numFmtId="2" fontId="3" fillId="15" borderId="5" xfId="0" applyNumberFormat="1" applyFont="1" applyFill="1" applyBorder="1" applyAlignment="1">
      <alignment vertical="center"/>
    </xf>
    <xf numFmtId="0" fontId="3" fillId="13" borderId="5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2" fontId="3" fillId="15" borderId="0" xfId="0" applyNumberFormat="1" applyFont="1" applyFill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16" fillId="0" borderId="5" xfId="0" applyFont="1" applyBorder="1" applyAlignment="1"/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0" fontId="21" fillId="0" borderId="5" xfId="0" applyNumberFormat="1" applyFont="1" applyBorder="1" applyAlignment="1">
      <alignment horizontal="center" vertical="center"/>
    </xf>
    <xf numFmtId="10" fontId="22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0" fontId="22" fillId="6" borderId="5" xfId="0" applyNumberFormat="1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0" fillId="19" borderId="5" xfId="0" applyFont="1" applyFill="1" applyBorder="1" applyAlignment="1">
      <alignment horizontal="center" vertical="center"/>
    </xf>
    <xf numFmtId="10" fontId="22" fillId="19" borderId="5" xfId="0" applyNumberFormat="1" applyFont="1" applyFill="1" applyBorder="1" applyAlignment="1">
      <alignment horizontal="center" vertical="center"/>
    </xf>
    <xf numFmtId="2" fontId="22" fillId="19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0" fontId="16" fillId="0" borderId="0" xfId="0" applyNumberFormat="1" applyFont="1" applyBorder="1" applyAlignment="1"/>
    <xf numFmtId="0" fontId="16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2" fontId="3" fillId="15" borderId="0" xfId="0" applyNumberFormat="1" applyFont="1" applyFill="1" applyAlignment="1">
      <alignment vertical="center"/>
    </xf>
    <xf numFmtId="0" fontId="4" fillId="14" borderId="5" xfId="0" applyFont="1" applyFill="1" applyBorder="1"/>
    <xf numFmtId="0" fontId="4" fillId="5" borderId="5" xfId="0" applyFont="1" applyFill="1" applyBorder="1"/>
    <xf numFmtId="0" fontId="4" fillId="5" borderId="13" xfId="0" applyFont="1" applyFill="1" applyBorder="1"/>
    <xf numFmtId="0" fontId="4" fillId="0" borderId="0" xfId="0" applyFont="1"/>
    <xf numFmtId="0" fontId="4" fillId="19" borderId="2" xfId="0" applyFont="1" applyFill="1" applyBorder="1" applyAlignment="1">
      <alignment horizontal="left" vertical="center" wrapText="1"/>
    </xf>
    <xf numFmtId="168" fontId="4" fillId="19" borderId="2" xfId="0" applyNumberFormat="1" applyFont="1" applyFill="1" applyBorder="1" applyAlignment="1">
      <alignment horizontal="right" vertical="center" wrapText="1"/>
    </xf>
    <xf numFmtId="168" fontId="3" fillId="19" borderId="2" xfId="0" applyNumberFormat="1" applyFont="1" applyFill="1" applyBorder="1" applyAlignment="1">
      <alignment horizontal="left" vertical="center" wrapText="1"/>
    </xf>
    <xf numFmtId="168" fontId="3" fillId="19" borderId="2" xfId="0" applyNumberFormat="1" applyFont="1" applyFill="1" applyBorder="1" applyAlignment="1">
      <alignment horizontal="right" vertical="center" wrapText="1"/>
    </xf>
    <xf numFmtId="0" fontId="3" fillId="19" borderId="2" xfId="0" applyFont="1" applyFill="1" applyBorder="1" applyAlignment="1">
      <alignment horizontal="left" vertical="center" wrapText="1"/>
    </xf>
    <xf numFmtId="0" fontId="24" fillId="0" borderId="5" xfId="0" applyFont="1" applyBorder="1" applyAlignment="1">
      <alignment horizontal="center" vertical="center" wrapText="1"/>
    </xf>
    <xf numFmtId="3" fontId="25" fillId="0" borderId="5" xfId="0" applyNumberFormat="1" applyFont="1" applyBorder="1" applyAlignment="1">
      <alignment horizontal="right" vertical="center" wrapText="1"/>
    </xf>
    <xf numFmtId="3" fontId="25" fillId="20" borderId="5" xfId="0" applyNumberFormat="1" applyFont="1" applyFill="1" applyBorder="1" applyAlignment="1">
      <alignment horizontal="right" vertical="center" wrapText="1"/>
    </xf>
    <xf numFmtId="0" fontId="26" fillId="0" borderId="0" xfId="0" applyFont="1"/>
    <xf numFmtId="10" fontId="25" fillId="0" borderId="5" xfId="0" applyNumberFormat="1" applyFont="1" applyBorder="1" applyAlignment="1">
      <alignment horizontal="right" vertical="center" wrapText="1"/>
    </xf>
    <xf numFmtId="0" fontId="12" fillId="9" borderId="9" xfId="0" applyFont="1" applyFill="1" applyBorder="1" applyAlignment="1">
      <alignment horizontal="center" vertical="center" wrapText="1"/>
    </xf>
    <xf numFmtId="10" fontId="27" fillId="0" borderId="5" xfId="0" applyNumberFormat="1" applyFont="1" applyBorder="1" applyAlignment="1">
      <alignment horizontal="right" vertical="center" wrapText="1"/>
    </xf>
    <xf numFmtId="0" fontId="24" fillId="21" borderId="12" xfId="0" applyFont="1" applyFill="1" applyBorder="1" applyAlignment="1">
      <alignment horizontal="center" vertical="center" wrapText="1"/>
    </xf>
    <xf numFmtId="10" fontId="27" fillId="0" borderId="5" xfId="0" applyNumberFormat="1" applyFont="1" applyBorder="1" applyAlignment="1">
      <alignment horizontal="right" vertical="center"/>
    </xf>
    <xf numFmtId="10" fontId="27" fillId="21" borderId="5" xfId="0" applyNumberFormat="1" applyFont="1" applyFill="1" applyBorder="1" applyAlignment="1">
      <alignment horizontal="right" vertical="center"/>
    </xf>
    <xf numFmtId="10" fontId="27" fillId="0" borderId="5" xfId="0" applyNumberFormat="1" applyFont="1" applyBorder="1" applyAlignment="1">
      <alignment vertical="center"/>
    </xf>
    <xf numFmtId="10" fontId="27" fillId="20" borderId="5" xfId="0" applyNumberFormat="1" applyFont="1" applyFill="1" applyBorder="1" applyAlignment="1">
      <alignment vertical="center"/>
    </xf>
    <xf numFmtId="10" fontId="27" fillId="21" borderId="5" xfId="0" applyNumberFormat="1" applyFont="1" applyFill="1" applyBorder="1" applyAlignment="1">
      <alignment vertical="center"/>
    </xf>
    <xf numFmtId="10" fontId="25" fillId="5" borderId="5" xfId="0" applyNumberFormat="1" applyFont="1" applyFill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10" fontId="27" fillId="0" borderId="12" xfId="0" applyNumberFormat="1" applyFont="1" applyBorder="1" applyAlignment="1">
      <alignment horizontal="right" vertical="center"/>
    </xf>
    <xf numFmtId="3" fontId="27" fillId="0" borderId="5" xfId="0" applyNumberFormat="1" applyFont="1" applyBorder="1" applyAlignment="1">
      <alignment horizontal="right" vertical="center" wrapText="1"/>
    </xf>
    <xf numFmtId="0" fontId="29" fillId="9" borderId="9" xfId="0" applyFont="1" applyFill="1" applyBorder="1" applyAlignment="1">
      <alignment horizontal="center" vertical="center" wrapText="1"/>
    </xf>
    <xf numFmtId="0" fontId="29" fillId="9" borderId="9" xfId="0" applyFont="1" applyFill="1" applyBorder="1" applyAlignment="1">
      <alignment wrapText="1"/>
    </xf>
    <xf numFmtId="10" fontId="0" fillId="0" borderId="0" xfId="0" applyNumberFormat="1"/>
    <xf numFmtId="2" fontId="0" fillId="0" borderId="0" xfId="0" applyNumberFormat="1"/>
    <xf numFmtId="10" fontId="28" fillId="0" borderId="5" xfId="0" applyNumberFormat="1" applyFont="1" applyBorder="1" applyAlignment="1">
      <alignment horizontal="center" vertical="center" wrapText="1"/>
    </xf>
    <xf numFmtId="2" fontId="28" fillId="0" borderId="5" xfId="0" applyNumberFormat="1" applyFont="1" applyBorder="1" applyAlignment="1">
      <alignment horizontal="center" vertical="center" wrapText="1"/>
    </xf>
    <xf numFmtId="3" fontId="25" fillId="0" borderId="12" xfId="0" applyNumberFormat="1" applyFont="1" applyBorder="1" applyAlignment="1">
      <alignment horizontal="right" vertical="center" wrapText="1"/>
    </xf>
    <xf numFmtId="3" fontId="25" fillId="20" borderId="12" xfId="0" applyNumberFormat="1" applyFont="1" applyFill="1" applyBorder="1" applyAlignment="1">
      <alignment horizontal="right" vertical="center" wrapText="1"/>
    </xf>
    <xf numFmtId="10" fontId="27" fillId="17" borderId="5" xfId="0" applyNumberFormat="1" applyFont="1" applyFill="1" applyBorder="1" applyAlignment="1">
      <alignment horizontal="right" vertical="center"/>
    </xf>
    <xf numFmtId="0" fontId="12" fillId="9" borderId="9" xfId="0" applyFont="1" applyFill="1" applyBorder="1" applyAlignment="1">
      <alignment vertical="center" wrapText="1"/>
    </xf>
    <xf numFmtId="10" fontId="31" fillId="17" borderId="12" xfId="0" applyNumberFormat="1" applyFont="1" applyFill="1" applyBorder="1" applyAlignment="1">
      <alignment horizontal="right" vertical="center"/>
    </xf>
    <xf numFmtId="10" fontId="31" fillId="17" borderId="5" xfId="0" applyNumberFormat="1" applyFont="1" applyFill="1" applyBorder="1" applyAlignment="1">
      <alignment horizontal="right" vertical="center"/>
    </xf>
    <xf numFmtId="0" fontId="30" fillId="4" borderId="5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center" vertical="center" wrapText="1"/>
    </xf>
    <xf numFmtId="10" fontId="0" fillId="22" borderId="0" xfId="0" applyNumberFormat="1" applyFill="1"/>
    <xf numFmtId="0" fontId="32" fillId="0" borderId="0" xfId="0" applyFont="1"/>
    <xf numFmtId="168" fontId="3" fillId="0" borderId="2" xfId="0" applyNumberFormat="1" applyFont="1" applyBorder="1" applyAlignment="1">
      <alignment horizontal="left" vertical="center" wrapText="1"/>
    </xf>
    <xf numFmtId="0" fontId="12" fillId="9" borderId="19" xfId="0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0" fillId="0" borderId="20" xfId="0" applyBorder="1"/>
    <xf numFmtId="0" fontId="0" fillId="19" borderId="0" xfId="0" applyFill="1"/>
    <xf numFmtId="3" fontId="0" fillId="0" borderId="0" xfId="0" applyNumberFormat="1"/>
    <xf numFmtId="10" fontId="27" fillId="0" borderId="13" xfId="0" applyNumberFormat="1" applyFont="1" applyBorder="1" applyAlignment="1">
      <alignment horizontal="right" vertical="center"/>
    </xf>
    <xf numFmtId="10" fontId="31" fillId="17" borderId="13" xfId="0" applyNumberFormat="1" applyFont="1" applyFill="1" applyBorder="1" applyAlignment="1">
      <alignment horizontal="right" vertical="center"/>
    </xf>
    <xf numFmtId="0" fontId="12" fillId="9" borderId="16" xfId="0" applyFont="1" applyFill="1" applyBorder="1" applyAlignment="1">
      <alignment wrapText="1"/>
    </xf>
    <xf numFmtId="0" fontId="4" fillId="0" borderId="0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3" fillId="24" borderId="21" xfId="0" applyFont="1" applyFill="1" applyBorder="1" applyAlignment="1">
      <alignment horizontal="left" vertical="center"/>
    </xf>
    <xf numFmtId="0" fontId="3" fillId="24" borderId="14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17" fillId="9" borderId="22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33" fillId="3" borderId="5" xfId="0" applyFont="1" applyFill="1" applyBorder="1"/>
    <xf numFmtId="0" fontId="34" fillId="3" borderId="5" xfId="0" applyFont="1" applyFill="1" applyBorder="1"/>
    <xf numFmtId="10" fontId="25" fillId="0" borderId="5" xfId="0" applyNumberFormat="1" applyFont="1" applyBorder="1" applyAlignment="1">
      <alignment horizontal="right" vertical="center"/>
    </xf>
    <xf numFmtId="0" fontId="3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3" fontId="32" fillId="0" borderId="0" xfId="0" applyNumberFormat="1" applyFont="1"/>
    <xf numFmtId="0" fontId="3" fillId="0" borderId="5" xfId="0" applyFont="1" applyBorder="1" applyAlignment="1">
      <alignment horizontal="left" vertical="center"/>
    </xf>
    <xf numFmtId="3" fontId="25" fillId="26" borderId="5" xfId="0" applyNumberFormat="1" applyFont="1" applyFill="1" applyBorder="1" applyAlignment="1">
      <alignment horizontal="right" vertical="center" wrapText="1"/>
    </xf>
    <xf numFmtId="0" fontId="4" fillId="0" borderId="18" xfId="0" applyFont="1" applyBorder="1" applyAlignment="1">
      <alignment horizontal="left" vertical="center" wrapText="1"/>
    </xf>
    <xf numFmtId="3" fontId="25" fillId="5" borderId="0" xfId="0" applyNumberFormat="1" applyFont="1" applyFill="1" applyBorder="1" applyAlignment="1">
      <alignment horizontal="right" vertical="center" wrapText="1"/>
    </xf>
    <xf numFmtId="0" fontId="0" fillId="5" borderId="0" xfId="0" applyFill="1" applyBorder="1"/>
    <xf numFmtId="0" fontId="0" fillId="0" borderId="12" xfId="0" applyBorder="1"/>
    <xf numFmtId="0" fontId="35" fillId="0" borderId="12" xfId="0" applyFont="1" applyBorder="1"/>
    <xf numFmtId="10" fontId="25" fillId="21" borderId="23" xfId="0" applyNumberFormat="1" applyFont="1" applyFill="1" applyBorder="1" applyAlignment="1">
      <alignment horizontal="right" vertical="center"/>
    </xf>
    <xf numFmtId="10" fontId="25" fillId="24" borderId="5" xfId="0" applyNumberFormat="1" applyFont="1" applyFill="1" applyBorder="1" applyAlignment="1">
      <alignment horizontal="right" vertical="center"/>
    </xf>
    <xf numFmtId="10" fontId="27" fillId="5" borderId="5" xfId="0" applyNumberFormat="1" applyFont="1" applyFill="1" applyBorder="1" applyAlignment="1">
      <alignment horizontal="right" vertical="center"/>
    </xf>
    <xf numFmtId="0" fontId="0" fillId="11" borderId="0" xfId="0" applyFill="1"/>
    <xf numFmtId="2" fontId="37" fillId="0" borderId="0" xfId="0" applyNumberFormat="1" applyFont="1"/>
    <xf numFmtId="9" fontId="0" fillId="0" borderId="5" xfId="0" applyNumberFormat="1" applyBorder="1"/>
    <xf numFmtId="0" fontId="12" fillId="9" borderId="5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40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2" xfId="0" applyBorder="1"/>
    <xf numFmtId="9" fontId="0" fillId="0" borderId="2" xfId="0" applyNumberFormat="1" applyBorder="1"/>
    <xf numFmtId="0" fontId="43" fillId="3" borderId="2" xfId="0" applyFont="1" applyFill="1" applyBorder="1" applyAlignment="1">
      <alignment horizontal="center" vertical="center"/>
    </xf>
    <xf numFmtId="166" fontId="0" fillId="0" borderId="2" xfId="0" applyNumberFormat="1" applyBorder="1"/>
    <xf numFmtId="167" fontId="0" fillId="0" borderId="2" xfId="0" applyNumberFormat="1" applyBorder="1"/>
    <xf numFmtId="0" fontId="4" fillId="0" borderId="5" xfId="0" applyFont="1" applyBorder="1"/>
    <xf numFmtId="164" fontId="4" fillId="0" borderId="5" xfId="0" applyNumberFormat="1" applyFont="1" applyBorder="1"/>
    <xf numFmtId="10" fontId="4" fillId="0" borderId="5" xfId="0" applyNumberFormat="1" applyFont="1" applyBorder="1"/>
    <xf numFmtId="0" fontId="12" fillId="9" borderId="5" xfId="0" applyFont="1" applyFill="1" applyBorder="1" applyAlignment="1">
      <alignment wrapText="1"/>
    </xf>
    <xf numFmtId="0" fontId="12" fillId="9" borderId="12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2" fillId="9" borderId="5" xfId="0" applyFont="1" applyFill="1" applyBorder="1" applyAlignment="1">
      <alignment vertical="center" wrapText="1"/>
    </xf>
    <xf numFmtId="0" fontId="4" fillId="0" borderId="12" xfId="0" applyFont="1" applyBorder="1"/>
    <xf numFmtId="3" fontId="20" fillId="23" borderId="5" xfId="0" applyNumberFormat="1" applyFont="1" applyFill="1" applyBorder="1" applyAlignment="1">
      <alignment horizontal="right" vertical="center" wrapText="1"/>
    </xf>
    <xf numFmtId="3" fontId="20" fillId="5" borderId="0" xfId="0" applyNumberFormat="1" applyFont="1" applyFill="1" applyBorder="1" applyAlignment="1">
      <alignment horizontal="right" vertical="center" wrapText="1"/>
    </xf>
    <xf numFmtId="0" fontId="3" fillId="0" borderId="9" xfId="0" applyFont="1" applyBorder="1"/>
    <xf numFmtId="0" fontId="4" fillId="5" borderId="0" xfId="0" applyFont="1" applyFill="1" applyBorder="1"/>
    <xf numFmtId="0" fontId="3" fillId="0" borderId="19" xfId="0" applyFont="1" applyBorder="1"/>
    <xf numFmtId="10" fontId="10" fillId="17" borderId="12" xfId="0" applyNumberFormat="1" applyFont="1" applyFill="1" applyBorder="1" applyAlignment="1">
      <alignment horizontal="right" vertical="center"/>
    </xf>
    <xf numFmtId="0" fontId="3" fillId="0" borderId="12" xfId="0" applyFont="1" applyBorder="1"/>
    <xf numFmtId="0" fontId="15" fillId="0" borderId="0" xfId="0" applyFont="1"/>
    <xf numFmtId="3" fontId="15" fillId="0" borderId="5" xfId="0" applyNumberFormat="1" applyFont="1" applyBorder="1" applyAlignment="1">
      <alignment horizontal="right" vertical="center" wrapText="1"/>
    </xf>
    <xf numFmtId="3" fontId="15" fillId="0" borderId="12" xfId="0" applyNumberFormat="1" applyFont="1" applyBorder="1" applyAlignment="1">
      <alignment horizontal="right" vertical="center" wrapText="1"/>
    </xf>
    <xf numFmtId="3" fontId="10" fillId="0" borderId="5" xfId="0" applyNumberFormat="1" applyFont="1" applyBorder="1" applyAlignment="1">
      <alignment horizontal="right" vertical="center" wrapText="1"/>
    </xf>
    <xf numFmtId="3" fontId="10" fillId="0" borderId="12" xfId="0" applyNumberFormat="1" applyFont="1" applyBorder="1" applyAlignment="1">
      <alignment horizontal="right" vertical="center" wrapText="1"/>
    </xf>
    <xf numFmtId="3" fontId="20" fillId="23" borderId="12" xfId="0" applyNumberFormat="1" applyFont="1" applyFill="1" applyBorder="1" applyAlignment="1">
      <alignment horizontal="right" vertical="center" wrapText="1"/>
    </xf>
    <xf numFmtId="0" fontId="15" fillId="0" borderId="5" xfId="0" applyFont="1" applyBorder="1"/>
    <xf numFmtId="0" fontId="10" fillId="0" borderId="5" xfId="0" applyFont="1" applyBorder="1"/>
    <xf numFmtId="0" fontId="3" fillId="5" borderId="12" xfId="0" applyFont="1" applyFill="1" applyBorder="1"/>
    <xf numFmtId="10" fontId="15" fillId="0" borderId="5" xfId="0" applyNumberFormat="1" applyFont="1" applyBorder="1"/>
    <xf numFmtId="3" fontId="15" fillId="0" borderId="20" xfId="0" applyNumberFormat="1" applyFont="1" applyBorder="1" applyAlignment="1">
      <alignment horizontal="right" vertical="center" wrapText="1"/>
    </xf>
    <xf numFmtId="3" fontId="15" fillId="0" borderId="14" xfId="0" applyNumberFormat="1" applyFont="1" applyBorder="1" applyAlignment="1">
      <alignment horizontal="right" vertical="center" wrapText="1"/>
    </xf>
    <xf numFmtId="0" fontId="3" fillId="0" borderId="25" xfId="0" applyFont="1" applyBorder="1"/>
    <xf numFmtId="10" fontId="3" fillId="5" borderId="12" xfId="0" applyNumberFormat="1" applyFont="1" applyFill="1" applyBorder="1"/>
    <xf numFmtId="0" fontId="3" fillId="23" borderId="5" xfId="0" applyFont="1" applyFill="1" applyBorder="1"/>
    <xf numFmtId="3" fontId="4" fillId="0" borderId="5" xfId="0" applyNumberFormat="1" applyFont="1" applyBorder="1"/>
    <xf numFmtId="3" fontId="15" fillId="0" borderId="13" xfId="0" applyNumberFormat="1" applyFont="1" applyBorder="1" applyAlignment="1">
      <alignment horizontal="right" vertical="center" wrapText="1"/>
    </xf>
    <xf numFmtId="3" fontId="15" fillId="24" borderId="5" xfId="0" applyNumberFormat="1" applyFont="1" applyFill="1" applyBorder="1" applyAlignment="1">
      <alignment horizontal="right" vertical="center" wrapText="1"/>
    </xf>
    <xf numFmtId="0" fontId="20" fillId="0" borderId="20" xfId="0" applyFont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  <xf numFmtId="0" fontId="38" fillId="0" borderId="2" xfId="0" applyNumberFormat="1" applyFont="1" applyBorder="1"/>
    <xf numFmtId="0" fontId="18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4" fontId="15" fillId="17" borderId="5" xfId="0" applyNumberFormat="1" applyFont="1" applyFill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4" fontId="15" fillId="0" borderId="5" xfId="0" applyNumberFormat="1" applyFont="1" applyBorder="1" applyAlignment="1">
      <alignment horizontal="right" vertical="center" wrapText="1"/>
    </xf>
    <xf numFmtId="4" fontId="15" fillId="27" borderId="5" xfId="0" applyNumberFormat="1" applyFont="1" applyFill="1" applyBorder="1" applyAlignment="1">
      <alignment horizontal="right" vertical="center" wrapText="1"/>
    </xf>
    <xf numFmtId="0" fontId="18" fillId="0" borderId="2" xfId="0" applyFont="1" applyBorder="1" applyAlignment="1">
      <alignment horizontal="center" vertical="center" wrapText="1"/>
    </xf>
    <xf numFmtId="0" fontId="38" fillId="0" borderId="2" xfId="0" applyFont="1" applyBorder="1" applyAlignment="1">
      <alignment vertical="center" wrapText="1"/>
    </xf>
    <xf numFmtId="2" fontId="38" fillId="0" borderId="2" xfId="0" applyNumberFormat="1" applyFont="1" applyBorder="1" applyAlignment="1">
      <alignment vertical="center" wrapText="1"/>
    </xf>
    <xf numFmtId="2" fontId="18" fillId="0" borderId="2" xfId="0" applyNumberFormat="1" applyFont="1" applyBorder="1" applyAlignment="1">
      <alignment vertical="center" wrapText="1"/>
    </xf>
    <xf numFmtId="10" fontId="3" fillId="0" borderId="0" xfId="0" applyNumberFormat="1" applyFont="1"/>
    <xf numFmtId="10" fontId="3" fillId="0" borderId="0" xfId="0" applyNumberFormat="1" applyFont="1" applyAlignment="1">
      <alignment horizontal="center"/>
    </xf>
    <xf numFmtId="2" fontId="4" fillId="0" borderId="0" xfId="0" applyNumberFormat="1" applyFont="1"/>
    <xf numFmtId="2" fontId="4" fillId="21" borderId="0" xfId="0" applyNumberFormat="1" applyFont="1" applyFill="1"/>
    <xf numFmtId="2" fontId="4" fillId="28" borderId="0" xfId="0" applyNumberFormat="1" applyFont="1" applyFill="1"/>
    <xf numFmtId="10" fontId="4" fillId="0" borderId="5" xfId="0" applyNumberFormat="1" applyFont="1" applyBorder="1" applyAlignment="1">
      <alignment wrapText="1"/>
    </xf>
    <xf numFmtId="0" fontId="4" fillId="6" borderId="5" xfId="0" applyFont="1" applyFill="1" applyBorder="1"/>
    <xf numFmtId="164" fontId="4" fillId="6" borderId="5" xfId="0" applyNumberFormat="1" applyFont="1" applyFill="1" applyBorder="1"/>
    <xf numFmtId="10" fontId="4" fillId="6" borderId="5" xfId="0" applyNumberFormat="1" applyFont="1" applyFill="1" applyBorder="1"/>
    <xf numFmtId="164" fontId="0" fillId="0" borderId="0" xfId="0" applyNumberFormat="1"/>
    <xf numFmtId="164" fontId="0" fillId="6" borderId="0" xfId="0" applyNumberFormat="1" applyFill="1"/>
    <xf numFmtId="10" fontId="45" fillId="0" borderId="27" xfId="0" applyNumberFormat="1" applyFont="1" applyBorder="1" applyAlignment="1">
      <alignment wrapText="1" readingOrder="1"/>
    </xf>
    <xf numFmtId="10" fontId="45" fillId="0" borderId="28" xfId="0" applyNumberFormat="1" applyFont="1" applyBorder="1" applyAlignment="1">
      <alignment wrapText="1" readingOrder="1"/>
    </xf>
    <xf numFmtId="164" fontId="45" fillId="0" borderId="26" xfId="0" applyNumberFormat="1" applyFont="1" applyBorder="1" applyAlignment="1">
      <alignment wrapText="1" readingOrder="1"/>
    </xf>
    <xf numFmtId="170" fontId="26" fillId="0" borderId="0" xfId="0" applyNumberFormat="1" applyFont="1"/>
    <xf numFmtId="171" fontId="45" fillId="6" borderId="29" xfId="0" applyNumberFormat="1" applyFont="1" applyFill="1" applyBorder="1" applyAlignment="1">
      <alignment wrapText="1" readingOrder="1"/>
    </xf>
    <xf numFmtId="171" fontId="46" fillId="29" borderId="29" xfId="0" applyNumberFormat="1" applyFont="1" applyFill="1" applyBorder="1" applyAlignment="1">
      <alignment wrapText="1" readingOrder="1"/>
    </xf>
    <xf numFmtId="171" fontId="46" fillId="30" borderId="29" xfId="0" applyNumberFormat="1" applyFont="1" applyFill="1" applyBorder="1" applyAlignment="1">
      <alignment wrapText="1" readingOrder="1"/>
    </xf>
    <xf numFmtId="10" fontId="26" fillId="0" borderId="0" xfId="0" applyNumberFormat="1" applyFont="1"/>
    <xf numFmtId="0" fontId="1" fillId="3" borderId="2" xfId="0" applyNumberFormat="1" applyFont="1" applyFill="1" applyBorder="1" applyAlignment="1">
      <alignment horizontal="center" vertical="center" wrapText="1"/>
    </xf>
    <xf numFmtId="10" fontId="13" fillId="8" borderId="5" xfId="0" applyNumberFormat="1" applyFont="1" applyFill="1" applyBorder="1"/>
    <xf numFmtId="10" fontId="13" fillId="0" borderId="5" xfId="0" applyNumberFormat="1" applyFont="1" applyBorder="1" applyAlignment="1">
      <alignment vertical="center"/>
    </xf>
    <xf numFmtId="2" fontId="13" fillId="8" borderId="5" xfId="0" applyNumberFormat="1" applyFont="1" applyFill="1" applyBorder="1"/>
    <xf numFmtId="2" fontId="13" fillId="0" borderId="5" xfId="0" applyNumberFormat="1" applyFont="1" applyBorder="1"/>
    <xf numFmtId="2" fontId="13" fillId="8" borderId="5" xfId="0" applyNumberFormat="1" applyFont="1" applyFill="1" applyBorder="1" applyAlignment="1">
      <alignment horizontal="center" vertical="center"/>
    </xf>
    <xf numFmtId="0" fontId="1" fillId="3" borderId="10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/>
    </xf>
    <xf numFmtId="0" fontId="13" fillId="8" borderId="5" xfId="0" applyFont="1" applyFill="1" applyBorder="1" applyAlignment="1">
      <alignment vertical="center"/>
    </xf>
    <xf numFmtId="0" fontId="13" fillId="0" borderId="5" xfId="0" applyFont="1" applyBorder="1"/>
    <xf numFmtId="0" fontId="13" fillId="8" borderId="5" xfId="0" applyFont="1" applyFill="1" applyBorder="1"/>
    <xf numFmtId="0" fontId="13" fillId="8" borderId="5" xfId="0" applyFont="1" applyFill="1" applyBorder="1" applyAlignment="1">
      <alignment horizontal="right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2" fontId="1" fillId="18" borderId="5" xfId="0" applyNumberFormat="1" applyFont="1" applyFill="1" applyBorder="1" applyAlignment="1">
      <alignment horizontal="center"/>
    </xf>
    <xf numFmtId="0" fontId="26" fillId="0" borderId="0" xfId="0" applyFont="1" applyBorder="1" applyAlignment="1"/>
    <xf numFmtId="164" fontId="26" fillId="0" borderId="0" xfId="0" applyNumberFormat="1" applyFont="1"/>
    <xf numFmtId="10" fontId="45" fillId="0" borderId="0" xfId="0" applyNumberFormat="1" applyFont="1" applyBorder="1" applyAlignment="1">
      <alignment wrapText="1" readingOrder="1"/>
    </xf>
    <xf numFmtId="171" fontId="46" fillId="5" borderId="0" xfId="0" applyNumberFormat="1" applyFont="1" applyFill="1" applyBorder="1" applyAlignment="1">
      <alignment wrapText="1" readingOrder="1"/>
    </xf>
    <xf numFmtId="171" fontId="46" fillId="21" borderId="0" xfId="0" applyNumberFormat="1" applyFont="1" applyFill="1" applyBorder="1" applyAlignment="1">
      <alignment wrapText="1" readingOrder="1"/>
    </xf>
    <xf numFmtId="171" fontId="45" fillId="28" borderId="0" xfId="0" applyNumberFormat="1" applyFont="1" applyFill="1" applyBorder="1" applyAlignment="1">
      <alignment wrapText="1" readingOrder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40" fillId="3" borderId="2" xfId="0" applyFont="1" applyFill="1" applyBorder="1" applyAlignment="1">
      <alignment horizontal="center" vertical="center" wrapText="1"/>
    </xf>
    <xf numFmtId="0" fontId="38" fillId="0" borderId="0" xfId="0" applyFont="1"/>
    <xf numFmtId="0" fontId="47" fillId="0" borderId="0" xfId="0" applyFont="1"/>
    <xf numFmtId="0" fontId="1" fillId="32" borderId="2" xfId="0" applyFont="1" applyFill="1" applyBorder="1" applyAlignment="1">
      <alignment horizontal="center" vertical="center"/>
    </xf>
    <xf numFmtId="171" fontId="4" fillId="0" borderId="2" xfId="0" applyNumberFormat="1" applyFont="1" applyBorder="1" applyAlignment="1">
      <alignment horizontal="center" vertical="center" wrapText="1"/>
    </xf>
    <xf numFmtId="171" fontId="3" fillId="0" borderId="2" xfId="0" applyNumberFormat="1" applyFont="1" applyBorder="1" applyAlignment="1">
      <alignment horizontal="center" vertical="center" wrapText="1"/>
    </xf>
    <xf numFmtId="0" fontId="1" fillId="31" borderId="2" xfId="0" applyFont="1" applyFill="1" applyBorder="1" applyAlignment="1">
      <alignment horizontal="center" vertical="center"/>
    </xf>
    <xf numFmtId="0" fontId="38" fillId="0" borderId="2" xfId="0" applyFont="1" applyBorder="1"/>
    <xf numFmtId="171" fontId="4" fillId="0" borderId="2" xfId="0" applyNumberFormat="1" applyFont="1" applyBorder="1" applyAlignment="1">
      <alignment horizontal="right" vertical="center" wrapText="1"/>
    </xf>
    <xf numFmtId="0" fontId="18" fillId="0" borderId="0" xfId="0" applyFont="1"/>
    <xf numFmtId="10" fontId="4" fillId="0" borderId="2" xfId="0" applyNumberFormat="1" applyFont="1" applyBorder="1" applyAlignment="1">
      <alignment horizontal="right" vertical="center" wrapText="1"/>
    </xf>
    <xf numFmtId="0" fontId="48" fillId="0" borderId="0" xfId="0" applyFont="1"/>
    <xf numFmtId="10" fontId="48" fillId="0" borderId="0" xfId="0" applyNumberFormat="1" applyFont="1"/>
    <xf numFmtId="10" fontId="49" fillId="0" borderId="0" xfId="0" applyNumberFormat="1" applyFont="1"/>
    <xf numFmtId="0" fontId="50" fillId="31" borderId="2" xfId="0" applyFont="1" applyFill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71" fontId="15" fillId="0" borderId="5" xfId="0" applyNumberFormat="1" applyFont="1" applyBorder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0" fillId="33" borderId="0" xfId="0" applyFill="1"/>
    <xf numFmtId="0" fontId="4" fillId="33" borderId="2" xfId="0" applyFont="1" applyFill="1" applyBorder="1" applyAlignment="1">
      <alignment horizontal="center" vertical="center"/>
    </xf>
    <xf numFmtId="0" fontId="4" fillId="33" borderId="5" xfId="0" applyFont="1" applyFill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71" fontId="4" fillId="0" borderId="5" xfId="0" applyNumberFormat="1" applyFont="1" applyBorder="1" applyAlignment="1">
      <alignment horizontal="center" vertical="center"/>
    </xf>
    <xf numFmtId="0" fontId="4" fillId="33" borderId="0" xfId="0" applyFont="1" applyFill="1" applyBorder="1" applyAlignment="1">
      <alignment horizontal="center" vertical="center"/>
    </xf>
    <xf numFmtId="0" fontId="51" fillId="34" borderId="31" xfId="0" applyFont="1" applyFill="1" applyBorder="1" applyAlignment="1">
      <alignment horizontal="left" vertical="center"/>
    </xf>
    <xf numFmtId="10" fontId="3" fillId="14" borderId="31" xfId="0" applyNumberFormat="1" applyFont="1" applyFill="1" applyBorder="1" applyAlignment="1">
      <alignment horizontal="right" vertical="center"/>
    </xf>
    <xf numFmtId="0" fontId="51" fillId="34" borderId="30" xfId="0" applyFont="1" applyFill="1" applyBorder="1" applyAlignment="1">
      <alignment horizontal="left" vertical="center"/>
    </xf>
    <xf numFmtId="10" fontId="3" fillId="14" borderId="30" xfId="0" applyNumberFormat="1" applyFont="1" applyFill="1" applyBorder="1" applyAlignment="1">
      <alignment horizontal="right" vertical="center"/>
    </xf>
    <xf numFmtId="0" fontId="51" fillId="34" borderId="0" xfId="0" applyFont="1" applyFill="1" applyAlignment="1">
      <alignment horizontal="left" vertical="center"/>
    </xf>
    <xf numFmtId="10" fontId="3" fillId="14" borderId="0" xfId="0" applyNumberFormat="1" applyFont="1" applyFill="1" applyAlignment="1">
      <alignment horizontal="right" vertical="center"/>
    </xf>
    <xf numFmtId="0" fontId="52" fillId="34" borderId="0" xfId="0" applyFont="1" applyFill="1" applyAlignment="1">
      <alignment horizontal="left" vertical="center"/>
    </xf>
    <xf numFmtId="10" fontId="4" fillId="14" borderId="0" xfId="0" applyNumberFormat="1" applyFont="1" applyFill="1" applyAlignment="1">
      <alignment horizontal="right" vertical="center"/>
    </xf>
    <xf numFmtId="0" fontId="3" fillId="14" borderId="0" xfId="0" applyFont="1" applyFill="1" applyAlignment="1">
      <alignment horizontal="right" vertical="center"/>
    </xf>
    <xf numFmtId="167" fontId="4" fillId="14" borderId="0" xfId="0" applyNumberFormat="1" applyFont="1" applyFill="1" applyAlignment="1">
      <alignment horizontal="right" vertical="center"/>
    </xf>
    <xf numFmtId="167" fontId="3" fillId="14" borderId="30" xfId="0" applyNumberFormat="1" applyFont="1" applyFill="1" applyBorder="1" applyAlignment="1">
      <alignment horizontal="right" vertical="center"/>
    </xf>
    <xf numFmtId="10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71" fontId="4" fillId="0" borderId="0" xfId="0" applyNumberFormat="1" applyFont="1"/>
    <xf numFmtId="10" fontId="4" fillId="0" borderId="0" xfId="0" applyNumberFormat="1" applyFont="1" applyBorder="1" applyAlignment="1">
      <alignment horizontal="center" vertical="center"/>
    </xf>
    <xf numFmtId="0" fontId="17" fillId="35" borderId="0" xfId="0" applyFont="1" applyFill="1" applyBorder="1" applyAlignment="1">
      <alignment horizontal="center" vertical="center" wrapText="1"/>
    </xf>
    <xf numFmtId="164" fontId="4" fillId="0" borderId="32" xfId="0" applyNumberFormat="1" applyFont="1" applyBorder="1" applyAlignment="1">
      <alignment horizontal="center" vertical="center"/>
    </xf>
    <xf numFmtId="0" fontId="4" fillId="36" borderId="0" xfId="0" applyFont="1" applyFill="1" applyBorder="1" applyAlignment="1">
      <alignment horizontal="center" vertical="center"/>
    </xf>
    <xf numFmtId="0" fontId="26" fillId="0" borderId="0" xfId="0" applyFont="1" applyBorder="1"/>
    <xf numFmtId="0" fontId="53" fillId="0" borderId="0" xfId="0" applyFont="1" applyAlignment="1">
      <alignment wrapText="1"/>
    </xf>
    <xf numFmtId="10" fontId="53" fillId="0" borderId="0" xfId="0" applyNumberFormat="1" applyFont="1" applyAlignment="1">
      <alignment wrapText="1"/>
    </xf>
    <xf numFmtId="165" fontId="0" fillId="0" borderId="0" xfId="0" applyNumberFormat="1"/>
    <xf numFmtId="0" fontId="4" fillId="0" borderId="9" xfId="0" applyFont="1" applyBorder="1" applyAlignment="1">
      <alignment horizontal="right" vertical="center" wrapText="1"/>
    </xf>
    <xf numFmtId="0" fontId="4" fillId="37" borderId="5" xfId="0" applyFont="1" applyFill="1" applyBorder="1" applyAlignment="1">
      <alignment horizontal="right" vertical="center" wrapText="1"/>
    </xf>
    <xf numFmtId="0" fontId="4" fillId="37" borderId="9" xfId="0" applyFont="1" applyFill="1" applyBorder="1" applyAlignment="1">
      <alignment horizontal="right" vertical="center" wrapText="1"/>
    </xf>
    <xf numFmtId="0" fontId="0" fillId="38" borderId="0" xfId="0" applyFill="1"/>
    <xf numFmtId="10" fontId="27" fillId="0" borderId="12" xfId="0" applyNumberFormat="1" applyFont="1" applyBorder="1" applyAlignment="1">
      <alignment vertical="center"/>
    </xf>
    <xf numFmtId="0" fontId="12" fillId="9" borderId="0" xfId="0" applyFont="1" applyFill="1" applyBorder="1" applyAlignment="1">
      <alignment horizontal="center" wrapText="1"/>
    </xf>
    <xf numFmtId="0" fontId="12" fillId="9" borderId="0" xfId="0" applyFont="1" applyFill="1" applyBorder="1" applyAlignment="1">
      <alignment wrapText="1"/>
    </xf>
    <xf numFmtId="3" fontId="27" fillId="0" borderId="0" xfId="0" applyNumberFormat="1" applyFont="1" applyBorder="1" applyAlignment="1">
      <alignment horizontal="right" vertical="center" wrapText="1"/>
    </xf>
    <xf numFmtId="0" fontId="29" fillId="9" borderId="0" xfId="0" applyFont="1" applyFill="1" applyBorder="1" applyAlignment="1">
      <alignment wrapText="1"/>
    </xf>
    <xf numFmtId="0" fontId="29" fillId="9" borderId="0" xfId="0" applyFont="1" applyFill="1" applyBorder="1" applyAlignment="1">
      <alignment horizontal="center" wrapText="1"/>
    </xf>
    <xf numFmtId="3" fontId="25" fillId="0" borderId="0" xfId="0" applyNumberFormat="1" applyFont="1" applyBorder="1" applyAlignment="1">
      <alignment horizontal="right" vertical="center" wrapText="1"/>
    </xf>
    <xf numFmtId="10" fontId="28" fillId="0" borderId="0" xfId="0" applyNumberFormat="1" applyFont="1" applyBorder="1" applyAlignment="1">
      <alignment horizontal="center" vertical="center" wrapText="1"/>
    </xf>
    <xf numFmtId="2" fontId="28" fillId="0" borderId="0" xfId="0" applyNumberFormat="1" applyFont="1" applyBorder="1" applyAlignment="1">
      <alignment horizontal="center" vertical="center" wrapText="1"/>
    </xf>
    <xf numFmtId="0" fontId="12" fillId="9" borderId="19" xfId="0" applyFont="1" applyFill="1" applyBorder="1" applyAlignment="1">
      <alignment vertical="center" wrapText="1"/>
    </xf>
    <xf numFmtId="0" fontId="12" fillId="9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3" borderId="5" xfId="0" applyFont="1" applyFill="1" applyBorder="1" applyAlignment="1"/>
    <xf numFmtId="0" fontId="5" fillId="3" borderId="12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9" fillId="9" borderId="19" xfId="0" applyFont="1" applyFill="1" applyBorder="1" applyAlignment="1">
      <alignment horizontal="center" wrapText="1"/>
    </xf>
    <xf numFmtId="0" fontId="12" fillId="9" borderId="14" xfId="0" applyFont="1" applyFill="1" applyBorder="1" applyAlignment="1">
      <alignment horizontal="center" wrapText="1"/>
    </xf>
    <xf numFmtId="0" fontId="12" fillId="9" borderId="15" xfId="0" applyFont="1" applyFill="1" applyBorder="1" applyAlignment="1">
      <alignment horizontal="center" wrapText="1"/>
    </xf>
    <xf numFmtId="0" fontId="30" fillId="4" borderId="14" xfId="0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9" xfId="0" applyFont="1" applyFill="1" applyBorder="1" applyAlignment="1">
      <alignment horizontal="center" vertical="center" wrapText="1"/>
    </xf>
    <xf numFmtId="0" fontId="30" fillId="4" borderId="19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36" fillId="25" borderId="0" xfId="0" applyFont="1" applyFill="1" applyBorder="1" applyAlignment="1">
      <alignment horizontal="center"/>
    </xf>
    <xf numFmtId="0" fontId="12" fillId="9" borderId="0" xfId="0" applyFont="1" applyFill="1" applyBorder="1" applyAlignment="1">
      <alignment horizontal="center" wrapText="1"/>
    </xf>
    <xf numFmtId="0" fontId="12" fillId="9" borderId="12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3" fontId="25" fillId="0" borderId="12" xfId="0" applyNumberFormat="1" applyFont="1" applyBorder="1" applyAlignment="1">
      <alignment horizontal="center" vertical="center" wrapText="1"/>
    </xf>
    <xf numFmtId="3" fontId="25" fillId="0" borderId="19" xfId="0" applyNumberFormat="1" applyFont="1" applyBorder="1" applyAlignment="1">
      <alignment horizontal="center" vertical="center" wrapText="1"/>
    </xf>
    <xf numFmtId="3" fontId="25" fillId="0" borderId="15" xfId="0" applyNumberFormat="1" applyFont="1" applyBorder="1" applyAlignment="1">
      <alignment horizontal="center" vertical="center" wrapText="1"/>
    </xf>
    <xf numFmtId="0" fontId="36" fillId="25" borderId="15" xfId="0" applyFont="1" applyFill="1" applyBorder="1" applyAlignment="1">
      <alignment horizontal="center"/>
    </xf>
    <xf numFmtId="0" fontId="5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2" fontId="1" fillId="18" borderId="12" xfId="0" applyNumberFormat="1" applyFont="1" applyFill="1" applyBorder="1" applyAlignment="1">
      <alignment horizontal="center"/>
    </xf>
    <xf numFmtId="2" fontId="1" fillId="18" borderId="19" xfId="0" applyNumberFormat="1" applyFont="1" applyFill="1" applyBorder="1" applyAlignment="1">
      <alignment horizontal="center"/>
    </xf>
    <xf numFmtId="2" fontId="1" fillId="18" borderId="9" xfId="0" applyNumberFormat="1" applyFont="1" applyFill="1" applyBorder="1" applyAlignment="1">
      <alignment horizontal="center"/>
    </xf>
    <xf numFmtId="0" fontId="14" fillId="9" borderId="12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17" fillId="9" borderId="12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31" borderId="2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2" fontId="44" fillId="3" borderId="0" xfId="0" applyNumberFormat="1" applyFont="1" applyFill="1" applyAlignment="1">
      <alignment horizontal="center" vertical="center" wrapText="1"/>
    </xf>
    <xf numFmtId="0" fontId="44" fillId="3" borderId="0" xfId="0" applyFont="1" applyFill="1" applyAlignment="1">
      <alignment horizontal="center"/>
    </xf>
    <xf numFmtId="2" fontId="44" fillId="3" borderId="0" xfId="0" applyNumberFormat="1" applyFont="1" applyFill="1" applyBorder="1" applyAlignment="1">
      <alignment horizontal="center" vertical="center" wrapText="1"/>
    </xf>
    <xf numFmtId="0" fontId="44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3" fillId="0" borderId="25" xfId="0" applyFont="1" applyBorder="1" applyAlignment="1">
      <alignment horizontal="center"/>
    </xf>
    <xf numFmtId="0" fontId="53" fillId="0" borderId="0" xfId="0" applyFon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charset val="134"/>
        <scheme val="none"/>
      </font>
      <numFmt numFmtId="0" formatCode="General"/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2D4D75"/>
      <color rgb="FF719ACA"/>
      <color rgb="FF9BBB59"/>
      <color rgb="FFBCA600"/>
      <color rgb="FF9E8C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www.wps.cn/officeDocument/2021/sharedlinks" Target="NUL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Analysis'!$A$42</c:f>
              <c:strCache>
                <c:ptCount val="1"/>
                <c:pt idx="0">
                  <c:v>Revenue Growth Rate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'Financial Analysis'!$B$40:$K$40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Analysis'!$B$42:$K$42</c:f>
              <c:numCache>
                <c:formatCode>0.00%</c:formatCode>
                <c:ptCount val="10"/>
                <c:pt idx="0">
                  <c:v>-0.11816907986921998</c:v>
                </c:pt>
                <c:pt idx="1">
                  <c:v>0.46193240013656539</c:v>
                </c:pt>
                <c:pt idx="2">
                  <c:v>0.47185929648241204</c:v>
                </c:pt>
                <c:pt idx="3">
                  <c:v>2.7361899845121322E-2</c:v>
                </c:pt>
                <c:pt idx="4">
                  <c:v>-1.3245033112582781E-2</c:v>
                </c:pt>
                <c:pt idx="5">
                  <c:v>0.38532110091743121</c:v>
                </c:pt>
                <c:pt idx="6">
                  <c:v>0.23647469458987783</c:v>
                </c:pt>
                <c:pt idx="7">
                  <c:v>-5.6013179571663921E-2</c:v>
                </c:pt>
                <c:pt idx="8">
                  <c:v>-2.1756647864625302E-2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B5-46FC-8FCD-A021A1DA49C0}"/>
            </c:ext>
          </c:extLst>
        </c:ser>
        <c:ser>
          <c:idx val="1"/>
          <c:order val="1"/>
          <c:tx>
            <c:strRef>
              <c:f>'Financial Analysis'!$A$44</c:f>
              <c:strCache>
                <c:ptCount val="1"/>
                <c:pt idx="0">
                  <c:v>Earnings Per Share Growth, EPS Growth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'Financial Analysis'!$B$40:$K$40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Analysis'!$B$44:$K$44</c:f>
              <c:numCache>
                <c:formatCode>0.00%</c:formatCode>
                <c:ptCount val="10"/>
                <c:pt idx="0">
                  <c:v>-0.14735099337748339</c:v>
                </c:pt>
                <c:pt idx="1">
                  <c:v>6.1904761904761907</c:v>
                </c:pt>
                <c:pt idx="2">
                  <c:v>1.1538461538461537</c:v>
                </c:pt>
                <c:pt idx="3">
                  <c:v>-0.4935064935064935</c:v>
                </c:pt>
                <c:pt idx="4">
                  <c:v>2.2083333333333335</c:v>
                </c:pt>
                <c:pt idx="5">
                  <c:v>-0.88888888888888895</c:v>
                </c:pt>
                <c:pt idx="6">
                  <c:v>0.565217391304348</c:v>
                </c:pt>
                <c:pt idx="7">
                  <c:v>0.51648351648351631</c:v>
                </c:pt>
                <c:pt idx="8">
                  <c:v>0.3000000000000001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B5-46FC-8FCD-A021A1DA4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097927"/>
        <c:axId val="774104071"/>
      </c:lineChart>
      <c:catAx>
        <c:axId val="77409792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74104071"/>
        <c:crosses val="autoZero"/>
        <c:auto val="1"/>
        <c:lblAlgn val="ctr"/>
        <c:lblOffset val="100"/>
        <c:noMultiLvlLbl val="0"/>
      </c:catAx>
      <c:valAx>
        <c:axId val="77410407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74097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Analysis'!$A$24</c:f>
              <c:strCache>
                <c:ptCount val="1"/>
                <c:pt idx="0">
                  <c:v>Accounts Receivable Turnover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Analysis'!$B$22:$K$23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Analysis'!$B$24:$K$24</c:f>
              <c:numCache>
                <c:formatCode>General</c:formatCode>
                <c:ptCount val="10"/>
                <c:pt idx="0">
                  <c:v>5.92</c:v>
                </c:pt>
                <c:pt idx="1">
                  <c:v>5.3</c:v>
                </c:pt>
                <c:pt idx="2">
                  <c:v>4.37</c:v>
                </c:pt>
                <c:pt idx="3">
                  <c:v>4.45</c:v>
                </c:pt>
                <c:pt idx="4">
                  <c:v>5.12</c:v>
                </c:pt>
                <c:pt idx="5">
                  <c:v>5.37</c:v>
                </c:pt>
                <c:pt idx="6">
                  <c:v>4.0999999999999996</c:v>
                </c:pt>
                <c:pt idx="7">
                  <c:v>4.91</c:v>
                </c:pt>
                <c:pt idx="8">
                  <c:v>6.01</c:v>
                </c:pt>
                <c:pt idx="9">
                  <c:v>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8-464B-9E27-FD8FFF2F1627}"/>
            </c:ext>
          </c:extLst>
        </c:ser>
        <c:ser>
          <c:idx val="1"/>
          <c:order val="1"/>
          <c:tx>
            <c:strRef>
              <c:f>'Financial Analysis'!$A$25</c:f>
              <c:strCache>
                <c:ptCount val="1"/>
                <c:pt idx="0">
                  <c:v>Average Receivables Collection 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'Financial Analysis'!$B$22:$K$23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Analysis'!$B$25:$K$25</c:f>
              <c:numCache>
                <c:formatCode>General</c:formatCode>
                <c:ptCount val="10"/>
                <c:pt idx="0">
                  <c:v>61.79</c:v>
                </c:pt>
                <c:pt idx="1">
                  <c:v>69.11</c:v>
                </c:pt>
                <c:pt idx="2">
                  <c:v>83.85</c:v>
                </c:pt>
                <c:pt idx="3">
                  <c:v>82.3</c:v>
                </c:pt>
                <c:pt idx="4">
                  <c:v>71.42</c:v>
                </c:pt>
                <c:pt idx="5">
                  <c:v>68.150000000000006</c:v>
                </c:pt>
                <c:pt idx="6">
                  <c:v>89.24</c:v>
                </c:pt>
                <c:pt idx="7">
                  <c:v>74.569999999999993</c:v>
                </c:pt>
                <c:pt idx="8">
                  <c:v>60.9</c:v>
                </c:pt>
                <c:pt idx="9">
                  <c:v>53.97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8-464B-9E27-FD8FFF2F1627}"/>
            </c:ext>
          </c:extLst>
        </c:ser>
        <c:ser>
          <c:idx val="2"/>
          <c:order val="2"/>
          <c:tx>
            <c:strRef>
              <c:f>'Financial Analysis'!$A$26</c:f>
              <c:strCache>
                <c:ptCount val="1"/>
                <c:pt idx="0">
                  <c:v>Payables Turnover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'Financial Analysis'!$B$22:$K$23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Analysis'!$B$26:$K$26</c:f>
              <c:numCache>
                <c:formatCode>General</c:formatCode>
                <c:ptCount val="10"/>
                <c:pt idx="0">
                  <c:v>13.24</c:v>
                </c:pt>
                <c:pt idx="1">
                  <c:v>18.260000000000002</c:v>
                </c:pt>
                <c:pt idx="2">
                  <c:v>22.91</c:v>
                </c:pt>
                <c:pt idx="3">
                  <c:v>16.34</c:v>
                </c:pt>
                <c:pt idx="4">
                  <c:v>14.99</c:v>
                </c:pt>
                <c:pt idx="5">
                  <c:v>5.78</c:v>
                </c:pt>
                <c:pt idx="6">
                  <c:v>5.44</c:v>
                </c:pt>
                <c:pt idx="7">
                  <c:v>10.89</c:v>
                </c:pt>
                <c:pt idx="8">
                  <c:v>4.96</c:v>
                </c:pt>
                <c:pt idx="9">
                  <c:v>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D8-464B-9E27-FD8FFF2F1627}"/>
            </c:ext>
          </c:extLst>
        </c:ser>
        <c:ser>
          <c:idx val="3"/>
          <c:order val="3"/>
          <c:tx>
            <c:strRef>
              <c:f>'Financial Analysis'!$A$27</c:f>
              <c:strCache>
                <c:ptCount val="1"/>
                <c:pt idx="0">
                  <c:v>Average Payables Payment Days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'Financial Analysis'!$B$22:$K$23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Analysis'!$B$27:$K$27</c:f>
              <c:numCache>
                <c:formatCode>General</c:formatCode>
                <c:ptCount val="10"/>
                <c:pt idx="0">
                  <c:v>27.65</c:v>
                </c:pt>
                <c:pt idx="1">
                  <c:v>20.04</c:v>
                </c:pt>
                <c:pt idx="2">
                  <c:v>15.97</c:v>
                </c:pt>
                <c:pt idx="3">
                  <c:v>22.4</c:v>
                </c:pt>
                <c:pt idx="4">
                  <c:v>24.41</c:v>
                </c:pt>
                <c:pt idx="5">
                  <c:v>63.34</c:v>
                </c:pt>
                <c:pt idx="6">
                  <c:v>67.28</c:v>
                </c:pt>
                <c:pt idx="7">
                  <c:v>33.61</c:v>
                </c:pt>
                <c:pt idx="8">
                  <c:v>73.73</c:v>
                </c:pt>
                <c:pt idx="9">
                  <c:v>58.64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8-464B-9E27-FD8FFF2F1627}"/>
            </c:ext>
          </c:extLst>
        </c:ser>
        <c:ser>
          <c:idx val="4"/>
          <c:order val="4"/>
          <c:tx>
            <c:strRef>
              <c:f>'Financial Analysis'!$A$28</c:f>
              <c:strCache>
                <c:ptCount val="1"/>
                <c:pt idx="0">
                  <c:v>Inventory Turnover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'Financial Analysis'!$B$22:$K$23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Analysis'!$B$28:$K$28</c:f>
              <c:numCache>
                <c:formatCode>General</c:formatCode>
                <c:ptCount val="10"/>
                <c:pt idx="0">
                  <c:v>8.42</c:v>
                </c:pt>
                <c:pt idx="1">
                  <c:v>9.94</c:v>
                </c:pt>
                <c:pt idx="2">
                  <c:v>9.2899999999999991</c:v>
                </c:pt>
                <c:pt idx="3">
                  <c:v>5.5</c:v>
                </c:pt>
                <c:pt idx="4">
                  <c:v>5</c:v>
                </c:pt>
                <c:pt idx="5">
                  <c:v>4.4000000000000004</c:v>
                </c:pt>
                <c:pt idx="6">
                  <c:v>4.79</c:v>
                </c:pt>
                <c:pt idx="7">
                  <c:v>4.9400000000000004</c:v>
                </c:pt>
                <c:pt idx="8">
                  <c:v>5.74</c:v>
                </c:pt>
                <c:pt idx="9">
                  <c:v>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D8-464B-9E27-FD8FFF2F1627}"/>
            </c:ext>
          </c:extLst>
        </c:ser>
        <c:ser>
          <c:idx val="5"/>
          <c:order val="5"/>
          <c:tx>
            <c:strRef>
              <c:f>'Financial Analysis'!$A$29</c:f>
              <c:strCache>
                <c:ptCount val="1"/>
                <c:pt idx="0">
                  <c:v>Average Inventory Days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'Financial Analysis'!$B$22:$K$23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Analysis'!$B$29:$K$29</c:f>
              <c:numCache>
                <c:formatCode>General</c:formatCode>
                <c:ptCount val="10"/>
                <c:pt idx="0">
                  <c:v>43.47</c:v>
                </c:pt>
                <c:pt idx="1">
                  <c:v>36.81</c:v>
                </c:pt>
                <c:pt idx="2">
                  <c:v>39.42</c:v>
                </c:pt>
                <c:pt idx="3">
                  <c:v>66.59</c:v>
                </c:pt>
                <c:pt idx="4">
                  <c:v>73.23</c:v>
                </c:pt>
                <c:pt idx="5">
                  <c:v>83.14</c:v>
                </c:pt>
                <c:pt idx="6">
                  <c:v>76.349999999999994</c:v>
                </c:pt>
                <c:pt idx="7">
                  <c:v>74.069999999999993</c:v>
                </c:pt>
                <c:pt idx="8">
                  <c:v>63.74</c:v>
                </c:pt>
                <c:pt idx="9">
                  <c:v>55.36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D8-464B-9E27-FD8FFF2F1627}"/>
            </c:ext>
          </c:extLst>
        </c:ser>
        <c:ser>
          <c:idx val="6"/>
          <c:order val="6"/>
          <c:tx>
            <c:strRef>
              <c:f>'Financial Analysis'!$A$30</c:f>
              <c:strCache>
                <c:ptCount val="1"/>
                <c:pt idx="0">
                  <c:v>Average Net Trade Cycle Days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'Financial Analysis'!$B$22:$K$23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Analysis'!$B$30:$K$30</c:f>
              <c:numCache>
                <c:formatCode>General</c:formatCode>
                <c:ptCount val="10"/>
                <c:pt idx="0">
                  <c:v>77.61</c:v>
                </c:pt>
                <c:pt idx="1">
                  <c:v>85.88</c:v>
                </c:pt>
                <c:pt idx="2">
                  <c:v>107.29</c:v>
                </c:pt>
                <c:pt idx="3">
                  <c:v>126.49</c:v>
                </c:pt>
                <c:pt idx="4">
                  <c:v>120.25</c:v>
                </c:pt>
                <c:pt idx="5">
                  <c:v>87.95</c:v>
                </c:pt>
                <c:pt idx="6">
                  <c:v>98.31</c:v>
                </c:pt>
                <c:pt idx="7">
                  <c:v>115.03</c:v>
                </c:pt>
                <c:pt idx="8">
                  <c:v>50.91</c:v>
                </c:pt>
                <c:pt idx="9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D8-464B-9E27-FD8FFF2F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844495"/>
        <c:axId val="1462839215"/>
      </c:barChart>
      <c:catAx>
        <c:axId val="146284449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62839215"/>
        <c:crosses val="autoZero"/>
        <c:auto val="1"/>
        <c:lblAlgn val="ctr"/>
        <c:lblOffset val="100"/>
        <c:noMultiLvlLbl val="0"/>
      </c:catAx>
      <c:valAx>
        <c:axId val="146283921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6284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16052416052419E-2"/>
          <c:y val="0.12104539202200826"/>
          <c:w val="0.81125577975971674"/>
          <c:h val="0.68597861993523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Analysis'!$A$12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rgbClr val="719ACA"/>
            </a:solidFill>
            <a:ln>
              <a:noFill/>
            </a:ln>
            <a:effectLst/>
          </c:spPr>
          <c:invertIfNegative val="0"/>
          <c:cat>
            <c:numRef>
              <c:f>'Financial Analysis'!$B$11:$K$11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Analysis'!$B$12:$K$12</c:f>
              <c:numCache>
                <c:formatCode>0.00%</c:formatCode>
                <c:ptCount val="10"/>
                <c:pt idx="0">
                  <c:v>0.54090000000000005</c:v>
                </c:pt>
                <c:pt idx="1">
                  <c:v>0.5202</c:v>
                </c:pt>
                <c:pt idx="2">
                  <c:v>0.49819999999999998</c:v>
                </c:pt>
                <c:pt idx="3">
                  <c:v>0.753</c:v>
                </c:pt>
                <c:pt idx="4">
                  <c:v>0.75539999999999996</c:v>
                </c:pt>
                <c:pt idx="5">
                  <c:v>0.90190000000000003</c:v>
                </c:pt>
                <c:pt idx="6">
                  <c:v>0.77280000000000004</c:v>
                </c:pt>
                <c:pt idx="7">
                  <c:v>0.79159999999999997</c:v>
                </c:pt>
                <c:pt idx="8">
                  <c:v>0.65400000000000003</c:v>
                </c:pt>
                <c:pt idx="9">
                  <c:v>0.61399999999999999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B-4291-B483-A6FEA7880C32}"/>
            </c:ext>
          </c:extLst>
        </c:ser>
        <c:ser>
          <c:idx val="1"/>
          <c:order val="1"/>
          <c:tx>
            <c:strRef>
              <c:f>'Financial Analysis'!$A$13</c:f>
              <c:strCache>
                <c:ptCount val="1"/>
                <c:pt idx="0">
                  <c:v>Operating Profit  Margin</c:v>
                </c:pt>
              </c:strCache>
            </c:strRef>
          </c:tx>
          <c:spPr>
            <a:solidFill>
              <a:srgbClr val="2D4D75"/>
            </a:solidFill>
            <a:ln>
              <a:noFill/>
            </a:ln>
            <a:effectLst/>
          </c:spPr>
          <c:invertIfNegative val="0"/>
          <c:cat>
            <c:numRef>
              <c:f>'Financial Analysis'!$B$11:$K$11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Analysis'!$B$13:$K$13</c:f>
              <c:numCache>
                <c:formatCode>0.00%</c:formatCode>
                <c:ptCount val="10"/>
                <c:pt idx="0">
                  <c:v>0.20830000000000001</c:v>
                </c:pt>
                <c:pt idx="1">
                  <c:v>0.25690000000000002</c:v>
                </c:pt>
                <c:pt idx="2">
                  <c:v>0.1114</c:v>
                </c:pt>
                <c:pt idx="3">
                  <c:v>0.15709999999999999</c:v>
                </c:pt>
                <c:pt idx="4">
                  <c:v>0.23</c:v>
                </c:pt>
                <c:pt idx="5">
                  <c:v>0.1419</c:v>
                </c:pt>
                <c:pt idx="6">
                  <c:v>0.2303</c:v>
                </c:pt>
                <c:pt idx="7">
                  <c:v>0.16250000000000001</c:v>
                </c:pt>
                <c:pt idx="8">
                  <c:v>0.159</c:v>
                </c:pt>
                <c:pt idx="9">
                  <c:v>0.18609999999999999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6B-4291-B483-A6FEA7880C32}"/>
            </c:ext>
          </c:extLst>
        </c:ser>
        <c:ser>
          <c:idx val="2"/>
          <c:order val="2"/>
          <c:tx>
            <c:strRef>
              <c:f>'Financial Analysis'!$A$14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cat>
            <c:numRef>
              <c:f>'Financial Analysis'!$B$11:$K$11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Analysis'!$B$14:$K$14</c:f>
              <c:numCache>
                <c:formatCode>0.00%</c:formatCode>
                <c:ptCount val="10"/>
                <c:pt idx="0">
                  <c:v>0.19059999999999999</c:v>
                </c:pt>
                <c:pt idx="1">
                  <c:v>0.1812</c:v>
                </c:pt>
                <c:pt idx="2">
                  <c:v>4.7199999999999999E-2</c:v>
                </c:pt>
                <c:pt idx="3">
                  <c:v>4.9500000000000002E-2</c:v>
                </c:pt>
                <c:pt idx="4">
                  <c:v>7.2599999999999998E-2</c:v>
                </c:pt>
                <c:pt idx="5">
                  <c:v>6.9500000000000006E-2</c:v>
                </c:pt>
                <c:pt idx="6">
                  <c:v>0.20280000000000001</c:v>
                </c:pt>
                <c:pt idx="7">
                  <c:v>0.12809999999999999</c:v>
                </c:pt>
                <c:pt idx="8">
                  <c:v>8.4000000000000005E-2</c:v>
                </c:pt>
                <c:pt idx="9">
                  <c:v>6.93E-2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6B-4291-B483-A6FEA7880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090760"/>
        <c:axId val="2118092808"/>
      </c:barChart>
      <c:catAx>
        <c:axId val="21180907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18092808"/>
        <c:crosses val="autoZero"/>
        <c:auto val="1"/>
        <c:lblAlgn val="ctr"/>
        <c:lblOffset val="100"/>
        <c:noMultiLvlLbl val="0"/>
      </c:catAx>
      <c:valAx>
        <c:axId val="211809280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1809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Analysis'!$A$17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cat>
            <c:numRef>
              <c:f>'Financial Analysis'!$B$11:$U$11</c:f>
              <c:numCache>
                <c:formatCode>General</c:formatCode>
                <c:ptCount val="2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Analysis'!$B$17:$K$17</c:f>
              <c:numCache>
                <c:formatCode>General</c:formatCode>
                <c:ptCount val="10"/>
                <c:pt idx="0">
                  <c:v>5.4199999999999998E-2</c:v>
                </c:pt>
                <c:pt idx="1">
                  <c:v>6.1199999999999997E-2</c:v>
                </c:pt>
                <c:pt idx="2">
                  <c:v>1.2E-2</c:v>
                </c:pt>
                <c:pt idx="3">
                  <c:v>9.1000000000000004E-3</c:v>
                </c:pt>
                <c:pt idx="4">
                  <c:v>1.4500000000000001E-2</c:v>
                </c:pt>
                <c:pt idx="5">
                  <c:v>1.3599999999999999E-2</c:v>
                </c:pt>
                <c:pt idx="6">
                  <c:v>3.1899999999999998E-2</c:v>
                </c:pt>
                <c:pt idx="7">
                  <c:v>1.8499999999999999E-2</c:v>
                </c:pt>
                <c:pt idx="8">
                  <c:v>1.5699999999999999E-2</c:v>
                </c:pt>
                <c:pt idx="9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3-4DF9-B473-B2F66C48C0F3}"/>
            </c:ext>
          </c:extLst>
        </c:ser>
        <c:ser>
          <c:idx val="1"/>
          <c:order val="1"/>
          <c:tx>
            <c:strRef>
              <c:f>'Financial Analysis'!$A$18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2D4D75"/>
            </a:solidFill>
            <a:ln>
              <a:noFill/>
            </a:ln>
            <a:effectLst/>
          </c:spPr>
          <c:invertIfNegative val="0"/>
          <c:cat>
            <c:numRef>
              <c:f>'Financial Analysis'!$B$11:$U$11</c:f>
              <c:numCache>
                <c:formatCode>General</c:formatCode>
                <c:ptCount val="2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Analysis'!$B$18:$K$18</c:f>
              <c:numCache>
                <c:formatCode>General</c:formatCode>
                <c:ptCount val="10"/>
                <c:pt idx="0">
                  <c:v>0.15340000000000001</c:v>
                </c:pt>
                <c:pt idx="1">
                  <c:v>0.19</c:v>
                </c:pt>
                <c:pt idx="2">
                  <c:v>4.53E-2</c:v>
                </c:pt>
                <c:pt idx="3">
                  <c:v>3.27E-2</c:v>
                </c:pt>
                <c:pt idx="4">
                  <c:v>4.4900000000000002E-2</c:v>
                </c:pt>
                <c:pt idx="5">
                  <c:v>3.95E-2</c:v>
                </c:pt>
                <c:pt idx="6">
                  <c:v>8.3799999999999999E-2</c:v>
                </c:pt>
                <c:pt idx="7">
                  <c:v>4.3799999999999999E-2</c:v>
                </c:pt>
                <c:pt idx="8">
                  <c:v>3.4200000000000001E-2</c:v>
                </c:pt>
                <c:pt idx="9">
                  <c:v>3.0099999999999998E-2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3-4DF9-B473-B2F66C48C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32711"/>
        <c:axId val="189838855"/>
      </c:barChart>
      <c:catAx>
        <c:axId val="1898327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9838855"/>
        <c:crosses val="autoZero"/>
        <c:auto val="1"/>
        <c:lblAlgn val="ctr"/>
        <c:lblOffset val="100"/>
        <c:noMultiLvlLbl val="0"/>
      </c:catAx>
      <c:valAx>
        <c:axId val="18983885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9832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Analysis'!$A$3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Analysis'!$B$3:$K$3</c:f>
              <c:numCache>
                <c:formatCode>0.00</c:formatCode>
                <c:ptCount val="10"/>
                <c:pt idx="0">
                  <c:v>1.1179173047473201</c:v>
                </c:pt>
                <c:pt idx="1">
                  <c:v>1.5263653483992468</c:v>
                </c:pt>
                <c:pt idx="2">
                  <c:v>1.576829268292683</c:v>
                </c:pt>
                <c:pt idx="3">
                  <c:v>1.2252535851696398</c:v>
                </c:pt>
                <c:pt idx="4">
                  <c:v>1.2635711847046773</c:v>
                </c:pt>
                <c:pt idx="5">
                  <c:v>1.1364076104482426</c:v>
                </c:pt>
                <c:pt idx="6">
                  <c:v>0.87258434326891587</c:v>
                </c:pt>
                <c:pt idx="7">
                  <c:v>0.70672762900065311</c:v>
                </c:pt>
                <c:pt idx="8">
                  <c:v>0.52671492588762492</c:v>
                </c:pt>
                <c:pt idx="9">
                  <c:v>0.58096590909090906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E-4AAB-8768-FC23E2B5C65C}"/>
            </c:ext>
          </c:extLst>
        </c:ser>
        <c:ser>
          <c:idx val="1"/>
          <c:order val="1"/>
          <c:tx>
            <c:strRef>
              <c:f>'Financial Analysis'!$A$4</c:f>
              <c:strCache>
                <c:ptCount val="1"/>
                <c:pt idx="0">
                  <c:v>Debt to Asset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Analysis'!$B$4:$K$4</c:f>
              <c:numCache>
                <c:formatCode>0.00%</c:formatCode>
                <c:ptCount val="10"/>
                <c:pt idx="0">
                  <c:v>9.2034029389017794E-2</c:v>
                </c:pt>
                <c:pt idx="1">
                  <c:v>0.11536392972391538</c:v>
                </c:pt>
                <c:pt idx="2">
                  <c:v>7.7158362111494821E-2</c:v>
                </c:pt>
                <c:pt idx="3">
                  <c:v>9.7101289540394584E-2</c:v>
                </c:pt>
                <c:pt idx="4">
                  <c:v>9.8978790259230162E-2</c:v>
                </c:pt>
                <c:pt idx="5">
                  <c:v>0.10475413656490329</c:v>
                </c:pt>
                <c:pt idx="6">
                  <c:v>0.13172149557405205</c:v>
                </c:pt>
                <c:pt idx="7">
                  <c:v>0.13844592635546535</c:v>
                </c:pt>
                <c:pt idx="8">
                  <c:v>0.16677664137248432</c:v>
                </c:pt>
                <c:pt idx="9">
                  <c:v>8.7706285926200625E-2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E-4AAB-8768-FC23E2B5C6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20063552"/>
        <c:axId val="1520056832"/>
      </c:lineChart>
      <c:catAx>
        <c:axId val="1520063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20056832"/>
        <c:crosses val="autoZero"/>
        <c:auto val="1"/>
        <c:lblAlgn val="ctr"/>
        <c:lblOffset val="100"/>
        <c:noMultiLvlLbl val="0"/>
      </c:catAx>
      <c:valAx>
        <c:axId val="1520056832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2006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Analysis'!$A$5</c:f>
              <c:strCache>
                <c:ptCount val="1"/>
                <c:pt idx="0">
                  <c:v>Interest Coverage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Analysis'!$B$5:$K$5</c:f>
              <c:numCache>
                <c:formatCode>0.00</c:formatCode>
                <c:ptCount val="10"/>
                <c:pt idx="0">
                  <c:v>4.6993865030674851</c:v>
                </c:pt>
                <c:pt idx="1">
                  <c:v>9.4144144144144146</c:v>
                </c:pt>
                <c:pt idx="2">
                  <c:v>3.393258426966292</c:v>
                </c:pt>
                <c:pt idx="3">
                  <c:v>2.4864864864864864</c:v>
                </c:pt>
                <c:pt idx="4">
                  <c:v>3.1212121212121211</c:v>
                </c:pt>
                <c:pt idx="5">
                  <c:v>2.209090909090909</c:v>
                </c:pt>
                <c:pt idx="6">
                  <c:v>3.0520833333333335</c:v>
                </c:pt>
                <c:pt idx="7">
                  <c:v>2.0987654320987654</c:v>
                </c:pt>
                <c:pt idx="8">
                  <c:v>2.6438356164383561</c:v>
                </c:pt>
                <c:pt idx="9">
                  <c:v>2.8875000000000002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D-4FCD-9D9F-068548F0189E}"/>
            </c:ext>
          </c:extLst>
        </c:ser>
        <c:ser>
          <c:idx val="1"/>
          <c:order val="1"/>
          <c:tx>
            <c:strRef>
              <c:f>'Financial Analysis'!$A$6</c:f>
              <c:strCache>
                <c:ptCount val="1"/>
                <c:pt idx="0">
                  <c:v>Cash Coverage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Analysis'!$B$6:$K$6</c:f>
              <c:numCache>
                <c:formatCode>0.00</c:formatCode>
                <c:ptCount val="10"/>
                <c:pt idx="0">
                  <c:v>5.7852760736196318</c:v>
                </c:pt>
                <c:pt idx="1">
                  <c:v>4.4774774774774775</c:v>
                </c:pt>
                <c:pt idx="2">
                  <c:v>9.0898876404494384</c:v>
                </c:pt>
                <c:pt idx="3">
                  <c:v>6.7477477477477477</c:v>
                </c:pt>
                <c:pt idx="4">
                  <c:v>3.3181818181818183</c:v>
                </c:pt>
                <c:pt idx="5">
                  <c:v>5.5454545454545459</c:v>
                </c:pt>
                <c:pt idx="6">
                  <c:v>3.6875</c:v>
                </c:pt>
                <c:pt idx="7">
                  <c:v>3.5925925925925926</c:v>
                </c:pt>
                <c:pt idx="8">
                  <c:v>4.1369863013698627</c:v>
                </c:pt>
                <c:pt idx="9">
                  <c:v>4.2249999999999996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D-4FCD-9D9F-068548F0189E}"/>
            </c:ext>
          </c:extLst>
        </c:ser>
        <c:ser>
          <c:idx val="2"/>
          <c:order val="2"/>
          <c:tx>
            <c:strRef>
              <c:f>'Financial Analysis'!$A$7</c:f>
              <c:strCache>
                <c:ptCount val="1"/>
                <c:pt idx="0">
                  <c:v>Times Interest Earned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Analysis'!$B$7:$K$7</c:f>
              <c:numCache>
                <c:formatCode>0.00</c:formatCode>
                <c:ptCount val="10"/>
                <c:pt idx="0">
                  <c:v>7.2453987730061353</c:v>
                </c:pt>
                <c:pt idx="1">
                  <c:v>12.081081081081081</c:v>
                </c:pt>
                <c:pt idx="2">
                  <c:v>1.8426966292134832</c:v>
                </c:pt>
                <c:pt idx="3">
                  <c:v>1.6036036036036037</c:v>
                </c:pt>
                <c:pt idx="4">
                  <c:v>1.8333333333333333</c:v>
                </c:pt>
                <c:pt idx="5">
                  <c:v>1.5727272727272728</c:v>
                </c:pt>
                <c:pt idx="6">
                  <c:v>4.6875</c:v>
                </c:pt>
                <c:pt idx="7">
                  <c:v>1.2345679012345678</c:v>
                </c:pt>
                <c:pt idx="8">
                  <c:v>1</c:v>
                </c:pt>
                <c:pt idx="9">
                  <c:v>1.0125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FD-4FCD-9D9F-068548F01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513264"/>
        <c:axId val="1826505584"/>
      </c:lineChart>
      <c:catAx>
        <c:axId val="18265132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6505584"/>
        <c:crosses val="autoZero"/>
        <c:auto val="1"/>
        <c:lblAlgn val="ctr"/>
        <c:lblOffset val="100"/>
        <c:noMultiLvlLbl val="0"/>
      </c:catAx>
      <c:valAx>
        <c:axId val="1826505584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651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'Financial Analysis'!$A$43</c:f>
              <c:strCache>
                <c:ptCount val="1"/>
                <c:pt idx="0">
                  <c:v>EPS - Diluted - excluding Extraordinary Items Applicable to Common - Total</c:v>
                </c:pt>
              </c:strCache>
            </c:strRef>
          </c:tx>
          <c:spPr>
            <a:solidFill>
              <a:srgbClr val="9E8C0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4.6296296296296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1A-4D29-8FB8-B2B7924828DD}"/>
                </c:ext>
              </c:extLst>
            </c:dLbl>
            <c:dLbl>
              <c:idx val="1"/>
              <c:layout>
                <c:manualLayout>
                  <c:x val="-2.5427963983306865E-17"/>
                  <c:y val="6.4814814814814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1A-4D29-8FB8-B2B7924828DD}"/>
                </c:ext>
              </c:extLst>
            </c:dLbl>
            <c:dLbl>
              <c:idx val="2"/>
              <c:layout>
                <c:manualLayout>
                  <c:x val="0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1A-4D29-8FB8-B2B7924828DD}"/>
                </c:ext>
              </c:extLst>
            </c:dLbl>
            <c:dLbl>
              <c:idx val="3"/>
              <c:layout>
                <c:manualLayout>
                  <c:x val="2.7739917522890891E-3"/>
                  <c:y val="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1A-4D29-8FB8-B2B7924828DD}"/>
                </c:ext>
              </c:extLst>
            </c:dLbl>
            <c:dLbl>
              <c:idx val="8"/>
              <c:layout>
                <c:manualLayout>
                  <c:x val="0"/>
                  <c:y val="9.2592592592592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1A-4D29-8FB8-B2B7924828DD}"/>
                </c:ext>
              </c:extLst>
            </c:dLbl>
            <c:dLbl>
              <c:idx val="9"/>
              <c:layout>
                <c:manualLayout>
                  <c:x val="0"/>
                  <c:y val="6.481481481481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1A-4D29-8FB8-B2B7924828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'Financial Analysis'!$B$43:$K$43</c:f>
              <c:numCache>
                <c:formatCode>General</c:formatCode>
                <c:ptCount val="10"/>
                <c:pt idx="0">
                  <c:v>5.15</c:v>
                </c:pt>
                <c:pt idx="1">
                  <c:v>6.04</c:v>
                </c:pt>
                <c:pt idx="2">
                  <c:v>0.84</c:v>
                </c:pt>
                <c:pt idx="3">
                  <c:v>0.39</c:v>
                </c:pt>
                <c:pt idx="4">
                  <c:v>0.77</c:v>
                </c:pt>
                <c:pt idx="5">
                  <c:v>0.24</c:v>
                </c:pt>
                <c:pt idx="6">
                  <c:v>2.16</c:v>
                </c:pt>
                <c:pt idx="7">
                  <c:v>1.38</c:v>
                </c:pt>
                <c:pt idx="8">
                  <c:v>0.91</c:v>
                </c:pt>
                <c:pt idx="9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A-4D29-8FB8-B2B79248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885552"/>
        <c:axId val="1757884112"/>
      </c:barChart>
      <c:lineChart>
        <c:grouping val="standard"/>
        <c:varyColors val="0"/>
        <c:ser>
          <c:idx val="0"/>
          <c:order val="0"/>
          <c:tx>
            <c:strRef>
              <c:f>'Financial Analysis'!$A$41</c:f>
              <c:strCache>
                <c:ptCount val="1"/>
                <c:pt idx="0">
                  <c:v>Revenue from Business Activities -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Analysis'!$B$40:$K$40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Analysis'!$B$41:$K$41</c:f>
              <c:numCache>
                <c:formatCode>General</c:formatCode>
                <c:ptCount val="10"/>
                <c:pt idx="0">
                  <c:v>3776</c:v>
                </c:pt>
                <c:pt idx="1">
                  <c:v>4282</c:v>
                </c:pt>
                <c:pt idx="2">
                  <c:v>2929</c:v>
                </c:pt>
                <c:pt idx="3">
                  <c:v>1990</c:v>
                </c:pt>
                <c:pt idx="4">
                  <c:v>1937</c:v>
                </c:pt>
                <c:pt idx="5">
                  <c:v>1963</c:v>
                </c:pt>
                <c:pt idx="6">
                  <c:v>1417</c:v>
                </c:pt>
                <c:pt idx="7">
                  <c:v>1146</c:v>
                </c:pt>
                <c:pt idx="8">
                  <c:v>1214</c:v>
                </c:pt>
                <c:pt idx="9">
                  <c:v>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A-4D29-8FB8-B2B79248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600480"/>
        <c:axId val="1638601920"/>
      </c:lineChart>
      <c:dateAx>
        <c:axId val="16386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38601920"/>
        <c:crosses val="autoZero"/>
        <c:auto val="0"/>
        <c:lblOffset val="100"/>
        <c:baseTimeUnit val="days"/>
      </c:dateAx>
      <c:valAx>
        <c:axId val="1638601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38600480"/>
        <c:crosses val="autoZero"/>
        <c:crossBetween val="between"/>
      </c:valAx>
      <c:valAx>
        <c:axId val="1757884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57885552"/>
        <c:crosses val="autoZero"/>
        <c:crossBetween val="between"/>
      </c:valAx>
      <c:catAx>
        <c:axId val="1757885552"/>
        <c:scaling>
          <c:orientation val="minMax"/>
        </c:scaling>
        <c:delete val="1"/>
        <c:axPos val="b"/>
        <c:majorTickMark val="out"/>
        <c:minorTickMark val="none"/>
        <c:tickLblPos val="nextTo"/>
        <c:crossAx val="175788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0263403670491"/>
          <c:y val="0.39335767120019088"/>
          <c:w val="0.89019685039370078"/>
          <c:h val="0.54380322251385238"/>
        </c:manualLayout>
      </c:layout>
      <c:lineChart>
        <c:grouping val="standard"/>
        <c:varyColors val="0"/>
        <c:ser>
          <c:idx val="0"/>
          <c:order val="0"/>
          <c:tx>
            <c:strRef>
              <c:f>'Financial Analysis'!$A$33</c:f>
              <c:strCache>
                <c:ptCount val="1"/>
                <c:pt idx="0">
                  <c:v>Average Receivables Collection Days</c:v>
                </c:pt>
              </c:strCache>
            </c:strRef>
          </c:tx>
          <c:spPr>
            <a:ln w="28575" cap="rnd">
              <a:solidFill>
                <a:srgbClr val="9E8C05"/>
              </a:solidFill>
              <a:round/>
            </a:ln>
            <a:effectLst/>
          </c:spPr>
          <c:marker>
            <c:symbol val="none"/>
          </c:marker>
          <c:cat>
            <c:numRef>
              <c:f>'Financial Analysis'!$B$32:$K$32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Analysis'!$B$33:$K$33</c:f>
              <c:numCache>
                <c:formatCode>General</c:formatCode>
                <c:ptCount val="10"/>
                <c:pt idx="0">
                  <c:v>61.79</c:v>
                </c:pt>
                <c:pt idx="1">
                  <c:v>69.11</c:v>
                </c:pt>
                <c:pt idx="2">
                  <c:v>83.85</c:v>
                </c:pt>
                <c:pt idx="3">
                  <c:v>82.3</c:v>
                </c:pt>
                <c:pt idx="4">
                  <c:v>71.42</c:v>
                </c:pt>
                <c:pt idx="5">
                  <c:v>68.150000000000006</c:v>
                </c:pt>
                <c:pt idx="6">
                  <c:v>89.24</c:v>
                </c:pt>
                <c:pt idx="7">
                  <c:v>74.569999999999993</c:v>
                </c:pt>
                <c:pt idx="8">
                  <c:v>60.9</c:v>
                </c:pt>
                <c:pt idx="9">
                  <c:v>53.97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6-0740-AF1F-A2638FE1A43E}"/>
            </c:ext>
          </c:extLst>
        </c:ser>
        <c:ser>
          <c:idx val="1"/>
          <c:order val="1"/>
          <c:tx>
            <c:strRef>
              <c:f>'Financial Analysis'!$A$34</c:f>
              <c:strCache>
                <c:ptCount val="1"/>
                <c:pt idx="0">
                  <c:v>Average Payables Payment Days</c:v>
                </c:pt>
              </c:strCache>
            </c:strRef>
          </c:tx>
          <c:spPr>
            <a:ln w="28575" cap="rnd">
              <a:solidFill>
                <a:srgbClr val="9BBB59"/>
              </a:solidFill>
              <a:round/>
            </a:ln>
            <a:effectLst/>
          </c:spPr>
          <c:marker>
            <c:symbol val="none"/>
          </c:marker>
          <c:cat>
            <c:numRef>
              <c:f>'Financial Analysis'!$B$32:$K$32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Analysis'!$B$34:$K$34</c:f>
              <c:numCache>
                <c:formatCode>General</c:formatCode>
                <c:ptCount val="10"/>
                <c:pt idx="0">
                  <c:v>27.65</c:v>
                </c:pt>
                <c:pt idx="1">
                  <c:v>20.04</c:v>
                </c:pt>
                <c:pt idx="2">
                  <c:v>15.97</c:v>
                </c:pt>
                <c:pt idx="3">
                  <c:v>22.4</c:v>
                </c:pt>
                <c:pt idx="4">
                  <c:v>24.41</c:v>
                </c:pt>
                <c:pt idx="5">
                  <c:v>63.34</c:v>
                </c:pt>
                <c:pt idx="6">
                  <c:v>67.28</c:v>
                </c:pt>
                <c:pt idx="7">
                  <c:v>33.61</c:v>
                </c:pt>
                <c:pt idx="8">
                  <c:v>73.73</c:v>
                </c:pt>
                <c:pt idx="9">
                  <c:v>58.64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6-0740-AF1F-A2638FE1A43E}"/>
            </c:ext>
          </c:extLst>
        </c:ser>
        <c:ser>
          <c:idx val="2"/>
          <c:order val="2"/>
          <c:tx>
            <c:strRef>
              <c:f>'Financial Analysis'!$A$35</c:f>
              <c:strCache>
                <c:ptCount val="1"/>
                <c:pt idx="0">
                  <c:v>Average Net Trade Cycle Days</c:v>
                </c:pt>
              </c:strCache>
            </c:strRef>
          </c:tx>
          <c:spPr>
            <a:ln w="28575" cap="rnd">
              <a:solidFill>
                <a:srgbClr val="2D4D75"/>
              </a:solidFill>
              <a:round/>
            </a:ln>
            <a:effectLst/>
          </c:spPr>
          <c:marker>
            <c:symbol val="none"/>
          </c:marker>
          <c:cat>
            <c:numRef>
              <c:f>'Financial Analysis'!$B$32:$K$32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'Financial Analysis'!$B$35:$K$35</c:f>
              <c:numCache>
                <c:formatCode>General</c:formatCode>
                <c:ptCount val="10"/>
                <c:pt idx="0">
                  <c:v>77.61</c:v>
                </c:pt>
                <c:pt idx="1">
                  <c:v>85.88</c:v>
                </c:pt>
                <c:pt idx="2">
                  <c:v>107.29</c:v>
                </c:pt>
                <c:pt idx="3">
                  <c:v>126.49</c:v>
                </c:pt>
                <c:pt idx="4">
                  <c:v>120.25</c:v>
                </c:pt>
                <c:pt idx="5">
                  <c:v>87.95</c:v>
                </c:pt>
                <c:pt idx="6">
                  <c:v>98.31</c:v>
                </c:pt>
                <c:pt idx="7">
                  <c:v>115.03</c:v>
                </c:pt>
                <c:pt idx="8">
                  <c:v>50.91</c:v>
                </c:pt>
                <c:pt idx="9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6-0740-AF1F-A2638FE1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94495"/>
        <c:axId val="442154943"/>
      </c:lineChart>
      <c:catAx>
        <c:axId val="13439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N"/>
          </a:p>
        </c:txPr>
        <c:crossAx val="442154943"/>
        <c:crosses val="autoZero"/>
        <c:auto val="1"/>
        <c:lblAlgn val="ctr"/>
        <c:lblOffset val="100"/>
        <c:noMultiLvlLbl val="0"/>
      </c:catAx>
      <c:valAx>
        <c:axId val="44215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N"/>
          </a:p>
        </c:txPr>
        <c:crossAx val="13439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111797114663905E-2"/>
          <c:y val="0.85270696547546931"/>
          <c:w val="0.81577730470915544"/>
          <c:h val="0.107859273825076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Analysis'!$A$3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575" cap="rnd">
              <a:solidFill>
                <a:srgbClr val="2D4D75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Analysis'!$B$3:$K$3</c:f>
              <c:numCache>
                <c:formatCode>0.00</c:formatCode>
                <c:ptCount val="10"/>
                <c:pt idx="0">
                  <c:v>1.1179173047473201</c:v>
                </c:pt>
                <c:pt idx="1">
                  <c:v>1.5263653483992468</c:v>
                </c:pt>
                <c:pt idx="2">
                  <c:v>1.576829268292683</c:v>
                </c:pt>
                <c:pt idx="3">
                  <c:v>1.2252535851696398</c:v>
                </c:pt>
                <c:pt idx="4">
                  <c:v>1.2635711847046773</c:v>
                </c:pt>
                <c:pt idx="5">
                  <c:v>1.1364076104482426</c:v>
                </c:pt>
                <c:pt idx="6">
                  <c:v>0.87258434326891587</c:v>
                </c:pt>
                <c:pt idx="7">
                  <c:v>0.70672762900065311</c:v>
                </c:pt>
                <c:pt idx="8">
                  <c:v>0.52671492588762492</c:v>
                </c:pt>
                <c:pt idx="9">
                  <c:v>0.58096590909090906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D-5942-B44E-05CFA2EA65CE}"/>
            </c:ext>
          </c:extLst>
        </c:ser>
        <c:ser>
          <c:idx val="1"/>
          <c:order val="1"/>
          <c:tx>
            <c:strRef>
              <c:f>'Financial Analysis'!$A$4</c:f>
              <c:strCache>
                <c:ptCount val="1"/>
                <c:pt idx="0">
                  <c:v>Debt to Asset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Analysis'!$B$4:$K$4</c:f>
              <c:numCache>
                <c:formatCode>0.00%</c:formatCode>
                <c:ptCount val="10"/>
                <c:pt idx="0">
                  <c:v>9.2034029389017794E-2</c:v>
                </c:pt>
                <c:pt idx="1">
                  <c:v>0.11536392972391538</c:v>
                </c:pt>
                <c:pt idx="2">
                  <c:v>7.7158362111494821E-2</c:v>
                </c:pt>
                <c:pt idx="3">
                  <c:v>9.7101289540394584E-2</c:v>
                </c:pt>
                <c:pt idx="4">
                  <c:v>9.8978790259230162E-2</c:v>
                </c:pt>
                <c:pt idx="5">
                  <c:v>0.10475413656490329</c:v>
                </c:pt>
                <c:pt idx="6">
                  <c:v>0.13172149557405205</c:v>
                </c:pt>
                <c:pt idx="7">
                  <c:v>0.13844592635546535</c:v>
                </c:pt>
                <c:pt idx="8">
                  <c:v>0.16677664137248432</c:v>
                </c:pt>
                <c:pt idx="9">
                  <c:v>8.7706285926200625E-2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DD-5942-B44E-05CFA2EA65CE}"/>
            </c:ext>
          </c:extLst>
        </c:ser>
        <c:ser>
          <c:idx val="2"/>
          <c:order val="2"/>
          <c:tx>
            <c:strRef>
              <c:f>'Financial Analysis'!$A$5</c:f>
              <c:strCache>
                <c:ptCount val="1"/>
                <c:pt idx="0">
                  <c:v>Interest Coverage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Analysis'!$B$5:$K$5</c:f>
              <c:numCache>
                <c:formatCode>0.00</c:formatCode>
                <c:ptCount val="10"/>
                <c:pt idx="0">
                  <c:v>4.6993865030674851</c:v>
                </c:pt>
                <c:pt idx="1">
                  <c:v>9.4144144144144146</c:v>
                </c:pt>
                <c:pt idx="2">
                  <c:v>3.393258426966292</c:v>
                </c:pt>
                <c:pt idx="3">
                  <c:v>2.4864864864864864</c:v>
                </c:pt>
                <c:pt idx="4">
                  <c:v>3.1212121212121211</c:v>
                </c:pt>
                <c:pt idx="5">
                  <c:v>2.209090909090909</c:v>
                </c:pt>
                <c:pt idx="6">
                  <c:v>3.0520833333333335</c:v>
                </c:pt>
                <c:pt idx="7">
                  <c:v>2.0987654320987654</c:v>
                </c:pt>
                <c:pt idx="8">
                  <c:v>2.6438356164383561</c:v>
                </c:pt>
                <c:pt idx="9">
                  <c:v>2.8875000000000002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DD-5942-B44E-05CFA2EA65CE}"/>
            </c:ext>
          </c:extLst>
        </c:ser>
        <c:ser>
          <c:idx val="3"/>
          <c:order val="3"/>
          <c:tx>
            <c:strRef>
              <c:f>'Financial Analysis'!$A$6</c:f>
              <c:strCache>
                <c:ptCount val="1"/>
                <c:pt idx="0">
                  <c:v>Cash Coverage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Analysis'!$B$6:$K$6</c:f>
              <c:numCache>
                <c:formatCode>0.00</c:formatCode>
                <c:ptCount val="10"/>
                <c:pt idx="0">
                  <c:v>5.7852760736196318</c:v>
                </c:pt>
                <c:pt idx="1">
                  <c:v>4.4774774774774775</c:v>
                </c:pt>
                <c:pt idx="2">
                  <c:v>9.0898876404494384</c:v>
                </c:pt>
                <c:pt idx="3">
                  <c:v>6.7477477477477477</c:v>
                </c:pt>
                <c:pt idx="4">
                  <c:v>3.3181818181818183</c:v>
                </c:pt>
                <c:pt idx="5">
                  <c:v>5.5454545454545459</c:v>
                </c:pt>
                <c:pt idx="6">
                  <c:v>3.6875</c:v>
                </c:pt>
                <c:pt idx="7">
                  <c:v>3.5925925925925926</c:v>
                </c:pt>
                <c:pt idx="8">
                  <c:v>4.1369863013698627</c:v>
                </c:pt>
                <c:pt idx="9">
                  <c:v>4.2249999999999996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DD-5942-B44E-05CFA2EA65CE}"/>
            </c:ext>
          </c:extLst>
        </c:ser>
        <c:ser>
          <c:idx val="4"/>
          <c:order val="4"/>
          <c:tx>
            <c:strRef>
              <c:f>'Financial Analysis'!$A$7</c:f>
              <c:strCache>
                <c:ptCount val="1"/>
                <c:pt idx="0">
                  <c:v>Times Interest Earned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Analysis'!$B$2:$K$2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'Financial Analysis'!$B$7:$K$7</c:f>
              <c:numCache>
                <c:formatCode>0.00</c:formatCode>
                <c:ptCount val="10"/>
                <c:pt idx="0">
                  <c:v>7.2453987730061353</c:v>
                </c:pt>
                <c:pt idx="1">
                  <c:v>12.081081081081081</c:v>
                </c:pt>
                <c:pt idx="2">
                  <c:v>1.8426966292134832</c:v>
                </c:pt>
                <c:pt idx="3">
                  <c:v>1.6036036036036037</c:v>
                </c:pt>
                <c:pt idx="4">
                  <c:v>1.8333333333333333</c:v>
                </c:pt>
                <c:pt idx="5">
                  <c:v>1.5727272727272728</c:v>
                </c:pt>
                <c:pt idx="6">
                  <c:v>4.6875</c:v>
                </c:pt>
                <c:pt idx="7">
                  <c:v>1.2345679012345678</c:v>
                </c:pt>
                <c:pt idx="8">
                  <c:v>1</c:v>
                </c:pt>
                <c:pt idx="9">
                  <c:v>1.0125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DD-5942-B44E-05CFA2EA6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099791"/>
        <c:axId val="2095718111"/>
      </c:lineChart>
      <c:dateAx>
        <c:axId val="209509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N"/>
          </a:p>
        </c:txPr>
        <c:crossAx val="2095718111"/>
        <c:crosses val="autoZero"/>
        <c:auto val="0"/>
        <c:lblOffset val="100"/>
        <c:baseTimeUnit val="days"/>
      </c:dateAx>
      <c:valAx>
        <c:axId val="209571811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N"/>
          </a:p>
        </c:txPr>
        <c:crossAx val="209509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EV/EBITDA</a:t>
            </a:r>
          </a:p>
        </c:rich>
      </c:tx>
      <c:layout>
        <c:manualLayout>
          <c:xMode val="edge"/>
          <c:yMode val="edge"/>
          <c:x val="0.44445860810098886"/>
          <c:y val="1.8975553486112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CCA!$A$2:$A$11</c:f>
              <c:strCache>
                <c:ptCount val="10"/>
                <c:pt idx="0">
                  <c:v>ACOx.TO</c:v>
                </c:pt>
                <c:pt idx="1">
                  <c:v>NPI.TO</c:v>
                </c:pt>
                <c:pt idx="2">
                  <c:v>CU.TO</c:v>
                </c:pt>
                <c:pt idx="3">
                  <c:v>EMA.TO</c:v>
                </c:pt>
                <c:pt idx="4">
                  <c:v>CPX.TO</c:v>
                </c:pt>
                <c:pt idx="5">
                  <c:v>FTS.TO</c:v>
                </c:pt>
                <c:pt idx="6">
                  <c:v>TRP.TO</c:v>
                </c:pt>
                <c:pt idx="7">
                  <c:v>H.TO</c:v>
                </c:pt>
                <c:pt idx="8">
                  <c:v>BLX.TO</c:v>
                </c:pt>
                <c:pt idx="9">
                  <c:v>TA.TO</c:v>
                </c:pt>
              </c:strCache>
            </c:strRef>
          </c:cat>
          <c:val>
            <c:numRef>
              <c:f>CCA!$I$2:$I$11</c:f>
              <c:numCache>
                <c:formatCode>General</c:formatCode>
                <c:ptCount val="10"/>
                <c:pt idx="0">
                  <c:v>8.66</c:v>
                </c:pt>
                <c:pt idx="1">
                  <c:v>10.54</c:v>
                </c:pt>
                <c:pt idx="2">
                  <c:v>9.73</c:v>
                </c:pt>
                <c:pt idx="3">
                  <c:v>11.79</c:v>
                </c:pt>
                <c:pt idx="4">
                  <c:v>11.04</c:v>
                </c:pt>
                <c:pt idx="5">
                  <c:v>12.49</c:v>
                </c:pt>
                <c:pt idx="6">
                  <c:v>13.71</c:v>
                </c:pt>
                <c:pt idx="7">
                  <c:v>14.59</c:v>
                </c:pt>
                <c:pt idx="8">
                  <c:v>10.73</c:v>
                </c:pt>
                <c:pt idx="9">
                  <c:v>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B2-4E9D-8F4E-A003DC3F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27"/>
        <c:axId val="1487560711"/>
        <c:axId val="1487562759"/>
      </c:barChart>
      <c:catAx>
        <c:axId val="148756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87562759"/>
        <c:crosses val="autoZero"/>
        <c:auto val="1"/>
        <c:lblAlgn val="ctr"/>
        <c:lblOffset val="100"/>
        <c:noMultiLvlLbl val="0"/>
      </c:catAx>
      <c:valAx>
        <c:axId val="148756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8756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P/E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CCA!$A$2:$A$11</c:f>
              <c:strCache>
                <c:ptCount val="10"/>
                <c:pt idx="0">
                  <c:v>ACOx.TO</c:v>
                </c:pt>
                <c:pt idx="1">
                  <c:v>NPI.TO</c:v>
                </c:pt>
                <c:pt idx="2">
                  <c:v>CU.TO</c:v>
                </c:pt>
                <c:pt idx="3">
                  <c:v>EMA.TO</c:v>
                </c:pt>
                <c:pt idx="4">
                  <c:v>CPX.TO</c:v>
                </c:pt>
                <c:pt idx="5">
                  <c:v>FTS.TO</c:v>
                </c:pt>
                <c:pt idx="6">
                  <c:v>TRP.TO</c:v>
                </c:pt>
                <c:pt idx="7">
                  <c:v>H.TO</c:v>
                </c:pt>
                <c:pt idx="8">
                  <c:v>BLX.TO</c:v>
                </c:pt>
                <c:pt idx="9">
                  <c:v>TA.TO</c:v>
                </c:pt>
              </c:strCache>
            </c:strRef>
          </c:cat>
          <c:val>
            <c:numRef>
              <c:f>CCA!$J$2:$J$11</c:f>
              <c:numCache>
                <c:formatCode>General</c:formatCode>
                <c:ptCount val="10"/>
                <c:pt idx="0">
                  <c:v>11.24</c:v>
                </c:pt>
                <c:pt idx="1">
                  <c:v>15.55</c:v>
                </c:pt>
                <c:pt idx="2">
                  <c:v>15.72</c:v>
                </c:pt>
                <c:pt idx="3">
                  <c:v>19.170000000000002</c:v>
                </c:pt>
                <c:pt idx="4">
                  <c:v>19.28</c:v>
                </c:pt>
                <c:pt idx="5">
                  <c:v>19.77</c:v>
                </c:pt>
                <c:pt idx="6">
                  <c:v>20.100000000000001</c:v>
                </c:pt>
                <c:pt idx="7">
                  <c:v>22.34</c:v>
                </c:pt>
                <c:pt idx="8">
                  <c:v>23.99</c:v>
                </c:pt>
                <c:pt idx="9">
                  <c:v>70.17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B-41EC-8E0D-ACE5986D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158984"/>
        <c:axId val="1604161032"/>
      </c:barChart>
      <c:catAx>
        <c:axId val="160415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04161032"/>
        <c:crosses val="autoZero"/>
        <c:auto val="1"/>
        <c:lblAlgn val="ctr"/>
        <c:lblOffset val="100"/>
        <c:noMultiLvlLbl val="0"/>
      </c:catAx>
      <c:valAx>
        <c:axId val="16041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0415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9E8C0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D9-4481-A7B1-55FD1882E0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CCA!$P$2:$P$7</c:f>
              <c:strCache>
                <c:ptCount val="6"/>
                <c:pt idx="0">
                  <c:v>EMA.TO</c:v>
                </c:pt>
                <c:pt idx="1">
                  <c:v>CU.TO</c:v>
                </c:pt>
                <c:pt idx="2">
                  <c:v>FTS.TO</c:v>
                </c:pt>
                <c:pt idx="3">
                  <c:v>ACOx.TO</c:v>
                </c:pt>
                <c:pt idx="4">
                  <c:v>CPX.TO</c:v>
                </c:pt>
                <c:pt idx="5">
                  <c:v>TRP.TO</c:v>
                </c:pt>
              </c:strCache>
            </c:strRef>
          </c:cat>
          <c:val>
            <c:numRef>
              <c:f>CCA!$R$2:$R$7</c:f>
              <c:numCache>
                <c:formatCode>0.00%</c:formatCode>
                <c:ptCount val="6"/>
                <c:pt idx="0">
                  <c:v>7.3999999999999996E-2</c:v>
                </c:pt>
                <c:pt idx="1">
                  <c:v>7.3999999999999996E-2</c:v>
                </c:pt>
                <c:pt idx="2">
                  <c:v>7.6999999999999999E-2</c:v>
                </c:pt>
                <c:pt idx="3">
                  <c:v>8.5000000000000006E-2</c:v>
                </c:pt>
                <c:pt idx="4">
                  <c:v>0.1</c:v>
                </c:pt>
                <c:pt idx="5">
                  <c:v>0.128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D-4333-95EE-71BC74B3B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7327"/>
        <c:axId val="955678767"/>
      </c:barChart>
      <c:catAx>
        <c:axId val="95567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55678767"/>
        <c:crosses val="autoZero"/>
        <c:auto val="1"/>
        <c:lblAlgn val="ctr"/>
        <c:lblOffset val="100"/>
        <c:noMultiLvlLbl val="0"/>
      </c:catAx>
      <c:valAx>
        <c:axId val="95567876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5567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8.3333333333333329E-2"/>
          <c:w val="0.89175240594925642"/>
          <c:h val="0.800008019830854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9E8C0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A5-4307-93F6-B2390827BF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CCA!$A$51:$A$56</c:f>
              <c:strCache>
                <c:ptCount val="6"/>
                <c:pt idx="0">
                  <c:v>ACOx.TO</c:v>
                </c:pt>
                <c:pt idx="1">
                  <c:v>CU.TO</c:v>
                </c:pt>
                <c:pt idx="2">
                  <c:v>CPX.TO</c:v>
                </c:pt>
                <c:pt idx="3">
                  <c:v>EMA.TO</c:v>
                </c:pt>
                <c:pt idx="4">
                  <c:v>FTS.TO</c:v>
                </c:pt>
                <c:pt idx="5">
                  <c:v>H.TO</c:v>
                </c:pt>
              </c:strCache>
            </c:strRef>
          </c:cat>
          <c:val>
            <c:numRef>
              <c:f>CCA!$B$51:$B$56</c:f>
              <c:numCache>
                <c:formatCode>General</c:formatCode>
                <c:ptCount val="6"/>
                <c:pt idx="0">
                  <c:v>8.66</c:v>
                </c:pt>
                <c:pt idx="1">
                  <c:v>9.73</c:v>
                </c:pt>
                <c:pt idx="2" formatCode="0.00">
                  <c:v>11.04</c:v>
                </c:pt>
                <c:pt idx="3">
                  <c:v>11.79</c:v>
                </c:pt>
                <c:pt idx="4">
                  <c:v>12.49</c:v>
                </c:pt>
                <c:pt idx="5">
                  <c:v>14.59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5-4307-93F6-B2390827BF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31"/>
        <c:overlap val="-27"/>
        <c:axId val="116623536"/>
        <c:axId val="116627856"/>
      </c:barChart>
      <c:catAx>
        <c:axId val="11662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627856"/>
        <c:crosses val="autoZero"/>
        <c:auto val="1"/>
        <c:lblAlgn val="ctr"/>
        <c:lblOffset val="100"/>
        <c:noMultiLvlLbl val="0"/>
      </c:catAx>
      <c:valAx>
        <c:axId val="11662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62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150625703037117E-2"/>
          <c:y val="1.6640252527530819E-2"/>
          <c:w val="0.93291022215973007"/>
          <c:h val="0.90546726821148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CCA!$C$1</c:f>
              <c:strCache>
                <c:ptCount val="1"/>
                <c:pt idx="0">
                  <c:v>EBITDA Margin - %
(FY0)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CCA!$B$2:$B$11</c:f>
              <c:strCache>
                <c:ptCount val="10"/>
                <c:pt idx="0">
                  <c:v>Atco Ltd</c:v>
                </c:pt>
                <c:pt idx="1">
                  <c:v>Northland Power Inc (Ontario)</c:v>
                </c:pt>
                <c:pt idx="2">
                  <c:v>Canadian Utilities Ltd</c:v>
                </c:pt>
                <c:pt idx="3">
                  <c:v>Emera Inc</c:v>
                </c:pt>
                <c:pt idx="4">
                  <c:v>Capital Power Corp</c:v>
                </c:pt>
                <c:pt idx="5">
                  <c:v>Fortis Inc</c:v>
                </c:pt>
                <c:pt idx="6">
                  <c:v>TC Energy Corp</c:v>
                </c:pt>
                <c:pt idx="7">
                  <c:v>Hydro One Ltd</c:v>
                </c:pt>
                <c:pt idx="8">
                  <c:v>Boralex Inc</c:v>
                </c:pt>
                <c:pt idx="9">
                  <c:v>TransAlta Corp</c:v>
                </c:pt>
              </c:strCache>
            </c:strRef>
          </c:cat>
          <c:val>
            <c:numRef>
              <c:f>CCA!$C$2:$C$11</c:f>
            </c:numRef>
          </c:val>
          <c:extLst>
            <c:ext xmlns:c16="http://schemas.microsoft.com/office/drawing/2014/chart" uri="{C3380CC4-5D6E-409C-BE32-E72D297353CC}">
              <c16:uniqueId val="{00000000-21CD-6D43-9949-4F6F5BFBB961}"/>
            </c:ext>
          </c:extLst>
        </c:ser>
        <c:ser>
          <c:idx val="1"/>
          <c:order val="1"/>
          <c:tx>
            <c:strRef>
              <c:f>CCA!$D$1</c:f>
              <c:strCache>
                <c:ptCount val="1"/>
                <c:pt idx="0">
                  <c:v>Net Debt to EBITDA, TTM
(FI0)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CCA!$B$2:$B$11</c:f>
              <c:strCache>
                <c:ptCount val="10"/>
                <c:pt idx="0">
                  <c:v>Atco Ltd</c:v>
                </c:pt>
                <c:pt idx="1">
                  <c:v>Northland Power Inc (Ontario)</c:v>
                </c:pt>
                <c:pt idx="2">
                  <c:v>Canadian Utilities Ltd</c:v>
                </c:pt>
                <c:pt idx="3">
                  <c:v>Emera Inc</c:v>
                </c:pt>
                <c:pt idx="4">
                  <c:v>Capital Power Corp</c:v>
                </c:pt>
                <c:pt idx="5">
                  <c:v>Fortis Inc</c:v>
                </c:pt>
                <c:pt idx="6">
                  <c:v>TC Energy Corp</c:v>
                </c:pt>
                <c:pt idx="7">
                  <c:v>Hydro One Ltd</c:v>
                </c:pt>
                <c:pt idx="8">
                  <c:v>Boralex Inc</c:v>
                </c:pt>
                <c:pt idx="9">
                  <c:v>TransAlta Corp</c:v>
                </c:pt>
              </c:strCache>
            </c:strRef>
          </c:cat>
          <c:val>
            <c:numRef>
              <c:f>CCA!$D$2:$D$11</c:f>
            </c:numRef>
          </c:val>
          <c:extLst>
            <c:ext xmlns:c16="http://schemas.microsoft.com/office/drawing/2014/chart" uri="{C3380CC4-5D6E-409C-BE32-E72D297353CC}">
              <c16:uniqueId val="{00000001-21CD-6D43-9949-4F6F5BFBB961}"/>
            </c:ext>
          </c:extLst>
        </c:ser>
        <c:ser>
          <c:idx val="2"/>
          <c:order val="2"/>
          <c:tx>
            <c:strRef>
              <c:f>CCA!$E$1</c:f>
              <c:strCache>
                <c:ptCount val="1"/>
                <c:pt idx="0">
                  <c:v>Revenue 10 YR Hist Growth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CCA!$B$2:$B$11</c:f>
              <c:strCache>
                <c:ptCount val="10"/>
                <c:pt idx="0">
                  <c:v>Atco Ltd</c:v>
                </c:pt>
                <c:pt idx="1">
                  <c:v>Northland Power Inc (Ontario)</c:v>
                </c:pt>
                <c:pt idx="2">
                  <c:v>Canadian Utilities Ltd</c:v>
                </c:pt>
                <c:pt idx="3">
                  <c:v>Emera Inc</c:v>
                </c:pt>
                <c:pt idx="4">
                  <c:v>Capital Power Corp</c:v>
                </c:pt>
                <c:pt idx="5">
                  <c:v>Fortis Inc</c:v>
                </c:pt>
                <c:pt idx="6">
                  <c:v>TC Energy Corp</c:v>
                </c:pt>
                <c:pt idx="7">
                  <c:v>Hydro One Ltd</c:v>
                </c:pt>
                <c:pt idx="8">
                  <c:v>Boralex Inc</c:v>
                </c:pt>
                <c:pt idx="9">
                  <c:v>TransAlta Corp</c:v>
                </c:pt>
              </c:strCache>
            </c:strRef>
          </c:cat>
          <c:val>
            <c:numRef>
              <c:f>CCA!$E$2:$E$11</c:f>
            </c:numRef>
          </c:val>
          <c:extLst>
            <c:ext xmlns:c16="http://schemas.microsoft.com/office/drawing/2014/chart" uri="{C3380CC4-5D6E-409C-BE32-E72D297353CC}">
              <c16:uniqueId val="{00000002-21CD-6D43-9949-4F6F5BFBB961}"/>
            </c:ext>
          </c:extLst>
        </c:ser>
        <c:ser>
          <c:idx val="3"/>
          <c:order val="3"/>
          <c:tx>
            <c:strRef>
              <c:f>CCA!$F$1</c:f>
              <c:strCache>
                <c:ptCount val="1"/>
                <c:pt idx="0">
                  <c:v>Return on Average Total Equity - %, TTM
(FI0)</c:v>
                </c:pt>
              </c:strCache>
            </c:strRef>
          </c:tx>
          <c:spPr>
            <a:solidFill>
              <a:srgbClr val="719ACA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2D4D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CD-6D43-9949-4F6F5BFBB9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CCA!$B$2:$B$11</c:f>
              <c:strCache>
                <c:ptCount val="10"/>
                <c:pt idx="0">
                  <c:v>Atco Ltd</c:v>
                </c:pt>
                <c:pt idx="1">
                  <c:v>Northland Power Inc (Ontario)</c:v>
                </c:pt>
                <c:pt idx="2">
                  <c:v>Canadian Utilities Ltd</c:v>
                </c:pt>
                <c:pt idx="3">
                  <c:v>Emera Inc</c:v>
                </c:pt>
                <c:pt idx="4">
                  <c:v>Capital Power Corp</c:v>
                </c:pt>
                <c:pt idx="5">
                  <c:v>Fortis Inc</c:v>
                </c:pt>
                <c:pt idx="6">
                  <c:v>TC Energy Corp</c:v>
                </c:pt>
                <c:pt idx="7">
                  <c:v>Hydro One Ltd</c:v>
                </c:pt>
                <c:pt idx="8">
                  <c:v>Boralex Inc</c:v>
                </c:pt>
                <c:pt idx="9">
                  <c:v>TransAlta Corp</c:v>
                </c:pt>
              </c:strCache>
            </c:strRef>
          </c:cat>
          <c:val>
            <c:numRef>
              <c:f>CCA!$F$2:$F$11</c:f>
              <c:numCache>
                <c:formatCode>0.00%</c:formatCode>
                <c:ptCount val="10"/>
                <c:pt idx="0">
                  <c:v>8.5000000000000006E-2</c:v>
                </c:pt>
                <c:pt idx="1">
                  <c:v>4.0000000000000001E-3</c:v>
                </c:pt>
                <c:pt idx="2">
                  <c:v>7.3999999999999996E-2</c:v>
                </c:pt>
                <c:pt idx="3">
                  <c:v>7.3999999999999996E-2</c:v>
                </c:pt>
                <c:pt idx="4">
                  <c:v>0.1</c:v>
                </c:pt>
                <c:pt idx="5">
                  <c:v>7.6999999999999999E-2</c:v>
                </c:pt>
                <c:pt idx="6">
                  <c:v>0.128</c:v>
                </c:pt>
                <c:pt idx="7">
                  <c:v>0.104</c:v>
                </c:pt>
                <c:pt idx="8">
                  <c:v>0.01</c:v>
                </c:pt>
                <c:pt idx="9">
                  <c:v>-7.1999999999999995E-2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CD-6D43-9949-4F6F5BFBB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17600"/>
        <c:axId val="103415024"/>
      </c:barChart>
      <c:catAx>
        <c:axId val="10371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3415024"/>
        <c:crosses val="autoZero"/>
        <c:auto val="1"/>
        <c:lblAlgn val="ctr"/>
        <c:lblOffset val="100"/>
        <c:noMultiLvlLbl val="0"/>
      </c:catAx>
      <c:valAx>
        <c:axId val="10341502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371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DCF!$B$35</c:f>
              <c:strCache>
                <c:ptCount val="1"/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DCF!$C$26:$L$26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DCF!$C$35:$L$35</c:f>
              <c:numCache>
                <c:formatCode>0.00%</c:formatCode>
                <c:ptCount val="10"/>
                <c:pt idx="0">
                  <c:v>1.0586319218241042E-2</c:v>
                </c:pt>
                <c:pt idx="1">
                  <c:v>-2.1756647864625302E-2</c:v>
                </c:pt>
                <c:pt idx="2">
                  <c:v>-5.6013179571663921E-2</c:v>
                </c:pt>
                <c:pt idx="3">
                  <c:v>0.23647469458987783</c:v>
                </c:pt>
                <c:pt idx="4">
                  <c:v>0.38532110091743121</c:v>
                </c:pt>
                <c:pt idx="5">
                  <c:v>-1.3245033112582781E-2</c:v>
                </c:pt>
                <c:pt idx="6">
                  <c:v>2.7361899845121322E-2</c:v>
                </c:pt>
                <c:pt idx="7">
                  <c:v>0.47185929648241204</c:v>
                </c:pt>
                <c:pt idx="8">
                  <c:v>0.46193240013656539</c:v>
                </c:pt>
                <c:pt idx="9">
                  <c:v>-0.11816907986921998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EA-4DA3-96E9-DFCD1103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36872"/>
        <c:axId val="278532615"/>
      </c:lineChart>
      <c:catAx>
        <c:axId val="12163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78532615"/>
        <c:crosses val="autoZero"/>
        <c:auto val="1"/>
        <c:lblAlgn val="ctr"/>
        <c:lblOffset val="100"/>
        <c:noMultiLvlLbl val="0"/>
      </c:catAx>
      <c:valAx>
        <c:axId val="27853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1636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DCF!$B$3:$L$3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DCF!$B$13:$L$13</c:f>
              <c:numCache>
                <c:formatCode>#,##0</c:formatCode>
                <c:ptCount val="11"/>
                <c:pt idx="0">
                  <c:v>1228</c:v>
                </c:pt>
                <c:pt idx="1">
                  <c:v>1241</c:v>
                </c:pt>
                <c:pt idx="2">
                  <c:v>1214</c:v>
                </c:pt>
                <c:pt idx="3">
                  <c:v>1146</c:v>
                </c:pt>
                <c:pt idx="4">
                  <c:v>1417</c:v>
                </c:pt>
                <c:pt idx="5">
                  <c:v>1963</c:v>
                </c:pt>
                <c:pt idx="6">
                  <c:v>1937</c:v>
                </c:pt>
                <c:pt idx="7">
                  <c:v>1990</c:v>
                </c:pt>
                <c:pt idx="8">
                  <c:v>2929</c:v>
                </c:pt>
                <c:pt idx="9">
                  <c:v>4282</c:v>
                </c:pt>
                <c:pt idx="10">
                  <c:v>3776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F-4970-94DA-D8D661060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256903"/>
        <c:axId val="1298258951"/>
      </c:barChart>
      <c:catAx>
        <c:axId val="129825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98258951"/>
        <c:crosses val="autoZero"/>
        <c:auto val="1"/>
        <c:lblAlgn val="ctr"/>
        <c:lblOffset val="100"/>
        <c:noMultiLvlLbl val="0"/>
      </c:catAx>
      <c:valAx>
        <c:axId val="129825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98256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003017527994"/>
          <c:y val="7.4350290978888886E-2"/>
          <c:w val="0.86101217006813802"/>
          <c:h val="0.7716654348258791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tx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05-4A06-991A-C9FA3269C5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9E8C0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(DCF!$BI$4:$BR$4,DCF!$BT$4:$BX$4)</c:f>
              <c:strCach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2025E</c:v>
                </c:pt>
                <c:pt idx="11">
                  <c:v>2026E</c:v>
                </c:pt>
                <c:pt idx="12">
                  <c:v>2027E</c:v>
                </c:pt>
                <c:pt idx="13">
                  <c:v>2028E</c:v>
                </c:pt>
                <c:pt idx="14">
                  <c:v>2029E</c:v>
                </c:pt>
              </c:strCache>
            </c:strRef>
          </c:cat>
          <c:val>
            <c:numRef>
              <c:f>(DCF!$BI$5:$BR$5,DCF!$BT$6:$BX$6)</c:f>
              <c:numCache>
                <c:formatCode>#,##0</c:formatCode>
                <c:ptCount val="15"/>
                <c:pt idx="0">
                  <c:v>140</c:v>
                </c:pt>
                <c:pt idx="1">
                  <c:v>313</c:v>
                </c:pt>
                <c:pt idx="2">
                  <c:v>218</c:v>
                </c:pt>
                <c:pt idx="3">
                  <c:v>355</c:v>
                </c:pt>
                <c:pt idx="4">
                  <c:v>635</c:v>
                </c:pt>
                <c:pt idx="5">
                  <c:v>306</c:v>
                </c:pt>
                <c:pt idx="6">
                  <c:v>622</c:v>
                </c:pt>
                <c:pt idx="7">
                  <c:v>682</c:v>
                </c:pt>
                <c:pt idx="8">
                  <c:v>723</c:v>
                </c:pt>
                <c:pt idx="9">
                  <c:v>1070</c:v>
                </c:pt>
                <c:pt idx="10">
                  <c:v>642</c:v>
                </c:pt>
                <c:pt idx="11">
                  <c:v>693.36</c:v>
                </c:pt>
                <c:pt idx="12">
                  <c:v>748.82880000000011</c:v>
                </c:pt>
                <c:pt idx="13">
                  <c:v>808.73510400000021</c:v>
                </c:pt>
                <c:pt idx="14">
                  <c:v>930.04536960000019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C78-4028-8589-2FF5EC160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219015"/>
        <c:axId val="890221063"/>
      </c:lineChart>
      <c:catAx>
        <c:axId val="89021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890221063"/>
        <c:crosses val="autoZero"/>
        <c:auto val="1"/>
        <c:lblAlgn val="ctr"/>
        <c:lblOffset val="100"/>
        <c:noMultiLvlLbl val="0"/>
      </c:catAx>
      <c:valAx>
        <c:axId val="890221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890219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F79646"/>
            </a:solidFill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36609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DC47-4076-A84D-F92309F79D66}"/>
              </c:ext>
            </c:extLst>
          </c:dPt>
          <c:dPt>
            <c:idx val="1"/>
            <c:bubble3D val="0"/>
            <c:spPr>
              <a:solidFill>
                <a:srgbClr val="C4D79B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47-4076-A84D-F92309F79D6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859E-425C-865E-571BAFF9B9DD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DCF!$BD$23:$BD$25</c:f>
              <c:strCache>
                <c:ptCount val="3"/>
                <c:pt idx="0">
                  <c:v>Equity</c:v>
                </c:pt>
                <c:pt idx="1">
                  <c:v>Preference Shares</c:v>
                </c:pt>
                <c:pt idx="2">
                  <c:v>Debt</c:v>
                </c:pt>
              </c:strCache>
            </c:strRef>
          </c:cat>
          <c:val>
            <c:numRef>
              <c:f>DCF!$BE$23:$BE$25</c:f>
              <c:numCache>
                <c:formatCode>0.00%</c:formatCode>
                <c:ptCount val="3"/>
                <c:pt idx="0">
                  <c:v>0.60940159361399115</c:v>
                </c:pt>
                <c:pt idx="1">
                  <c:v>6.3623529152875948E-3</c:v>
                </c:pt>
                <c:pt idx="2">
                  <c:v>0.3905984063860089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7-4076-A84D-F92309F79D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39370078740158E-2"/>
          <c:y val="2.913087169585931E-2"/>
          <c:w val="0.59719531933508307"/>
          <c:h val="0.86647819239316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DCF!$U$5:$U$9</c:f>
              <c:strCache>
                <c:ptCount val="1"/>
                <c:pt idx="0">
                  <c:v>Energy purchases and fuel Staff costs and employee benefits expense Other administrative expense other operaring expense Total Expenses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DCF!$AH$3:$AL$3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  <c:extLst xmlns:c15="http://schemas.microsoft.com/office/drawing/2012/chart"/>
            </c:strRef>
          </c:cat>
          <c:val>
            <c:numRef>
              <c:f>DCF!$AH$4:$AL$4</c:f>
              <c:numCache>
                <c:formatCode>General</c:formatCode>
                <c:ptCount val="5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A63-45D1-A5A6-3519BC3B23D5}"/>
            </c:ext>
          </c:extLst>
        </c:ser>
        <c:ser>
          <c:idx val="1"/>
          <c:order val="1"/>
          <c:tx>
            <c:strRef>
              <c:f>DCF!$U$5</c:f>
              <c:strCache>
                <c:ptCount val="1"/>
                <c:pt idx="0">
                  <c:v>Energy purchases and fuel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DCF!$AH$3:$AL$3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DCF!$AH$5:$AL$5</c:f>
              <c:numCache>
                <c:formatCode>#,##0</c:formatCode>
                <c:ptCount val="5"/>
                <c:pt idx="0">
                  <c:v>2038.4659260947078</c:v>
                </c:pt>
                <c:pt idx="1">
                  <c:v>2325.3180368489952</c:v>
                </c:pt>
                <c:pt idx="2">
                  <c:v>2652.5358620314018</c:v>
                </c:pt>
                <c:pt idx="3">
                  <c:v>3025.7996488501767</c:v>
                </c:pt>
                <c:pt idx="4">
                  <c:v>3451.5889666314588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3-45D1-A5A6-3519BC3B23D5}"/>
            </c:ext>
          </c:extLst>
        </c:ser>
        <c:ser>
          <c:idx val="2"/>
          <c:order val="2"/>
          <c:tx>
            <c:strRef>
              <c:f>DCF!$U$6</c:f>
              <c:strCache>
                <c:ptCount val="1"/>
                <c:pt idx="0">
                  <c:v>Staff costs and employee benefits expense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DCF!$AH$3:$AL$3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DCF!$AH$6:$AL$6</c:f>
              <c:numCache>
                <c:formatCode>#,##0</c:formatCode>
                <c:ptCount val="5"/>
                <c:pt idx="0">
                  <c:v>273.77826294665061</c:v>
                </c:pt>
                <c:pt idx="1">
                  <c:v>295.09660339403689</c:v>
                </c:pt>
                <c:pt idx="2">
                  <c:v>318.0749428294335</c:v>
                </c:pt>
                <c:pt idx="3">
                  <c:v>342.84254068778546</c:v>
                </c:pt>
                <c:pt idx="4">
                  <c:v>369.53872147133188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3-45D1-A5A6-3519BC3B23D5}"/>
            </c:ext>
          </c:extLst>
        </c:ser>
        <c:ser>
          <c:idx val="3"/>
          <c:order val="3"/>
          <c:tx>
            <c:strRef>
              <c:f>DCF!$U$7</c:f>
              <c:strCache>
                <c:ptCount val="1"/>
                <c:pt idx="0">
                  <c:v>Other administrative expense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DCF!$AH$3:$AL$3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DCF!$AH$7:$AL$7</c:f>
              <c:numCache>
                <c:formatCode>#,##0</c:formatCode>
                <c:ptCount val="5"/>
                <c:pt idx="0">
                  <c:v>219.06539076498467</c:v>
                </c:pt>
                <c:pt idx="1">
                  <c:v>238.75445488067379</c:v>
                </c:pt>
                <c:pt idx="2">
                  <c:v>260.21312415579956</c:v>
                </c:pt>
                <c:pt idx="3">
                  <c:v>283.60044639486421</c:v>
                </c:pt>
                <c:pt idx="4">
                  <c:v>309.08976423191552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63-45D1-A5A6-3519BC3B23D5}"/>
            </c:ext>
          </c:extLst>
        </c:ser>
        <c:ser>
          <c:idx val="4"/>
          <c:order val="4"/>
          <c:tx>
            <c:strRef>
              <c:f>DCF!$U$8</c:f>
              <c:strCache>
                <c:ptCount val="1"/>
                <c:pt idx="0">
                  <c:v>other operaring expense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DCF!$AH$3:$AL$3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DCF!$AH$8:$AL$8</c:f>
              <c:numCache>
                <c:formatCode>#,##0</c:formatCode>
                <c:ptCount val="5"/>
                <c:pt idx="0">
                  <c:v>239.23873703010102</c:v>
                </c:pt>
                <c:pt idx="1">
                  <c:v>258.98268459618924</c:v>
                </c:pt>
                <c:pt idx="2">
                  <c:v>280.35606504731817</c:v>
                </c:pt>
                <c:pt idx="3">
                  <c:v>303.49335258212329</c:v>
                </c:pt>
                <c:pt idx="4">
                  <c:v>328.54011931573899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63-45D1-A5A6-3519BC3B2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69680"/>
        <c:axId val="44278800"/>
        <c:extLst/>
      </c:barChart>
      <c:lineChart>
        <c:grouping val="standard"/>
        <c:varyColors val="0"/>
        <c:ser>
          <c:idx val="5"/>
          <c:order val="5"/>
          <c:tx>
            <c:strRef>
              <c:f>DCF!$U$9</c:f>
              <c:strCache>
                <c:ptCount val="1"/>
                <c:pt idx="0">
                  <c:v>Total Expenses </c:v>
                </c:pt>
              </c:strCache>
            </c:strRef>
          </c:tx>
          <c:spPr>
            <a:ln w="28575" cap="rnd">
              <a:solidFill>
                <a:schemeClr val="accent1">
                  <a:tint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0000"/>
                </a:schemeClr>
              </a:solidFill>
              <a:ln w="9525">
                <a:solidFill>
                  <a:schemeClr val="accent1">
                    <a:tint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DCF!$AH$3:$AL$3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DCF!$AH$9:$AL$9</c:f>
              <c:numCache>
                <c:formatCode>#,##0</c:formatCode>
                <c:ptCount val="5"/>
                <c:pt idx="0">
                  <c:v>2770.5483168364444</c:v>
                </c:pt>
                <c:pt idx="1">
                  <c:v>3118.1517797198949</c:v>
                </c:pt>
                <c:pt idx="2">
                  <c:v>3511.179994063953</c:v>
                </c:pt>
                <c:pt idx="3">
                  <c:v>3955.7359885149499</c:v>
                </c:pt>
                <c:pt idx="4">
                  <c:v>4458.7575716504443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63-45D1-A5A6-3519BC3B2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69680"/>
        <c:axId val="44278800"/>
      </c:lineChart>
      <c:catAx>
        <c:axId val="4426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278800"/>
        <c:crosses val="autoZero"/>
        <c:auto val="1"/>
        <c:lblAlgn val="ctr"/>
        <c:lblOffset val="100"/>
        <c:noMultiLvlLbl val="0"/>
      </c:catAx>
      <c:valAx>
        <c:axId val="4427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426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73970147905426E-2"/>
          <c:y val="4.2570119720060494E-2"/>
          <c:w val="0.9035233696448558"/>
          <c:h val="0.781448997103516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DCF!$A$5</c:f>
              <c:strCache>
                <c:ptCount val="1"/>
                <c:pt idx="0">
                  <c:v>Alberta commercial facilities and portfolio optimization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DCF!$B$3:$N$3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2">
                  <c:v>Revenue growth by Segement  (CAGR)</c:v>
                </c:pt>
              </c:strCache>
            </c:strRef>
          </c:cat>
          <c:val>
            <c:numRef>
              <c:f>DCF!$B$5:$N$5</c:f>
              <c:numCache>
                <c:formatCode>#,##0</c:formatCode>
                <c:ptCount val="13"/>
                <c:pt idx="0">
                  <c:v>626</c:v>
                </c:pt>
                <c:pt idx="1">
                  <c:v>782</c:v>
                </c:pt>
                <c:pt idx="2">
                  <c:v>689</c:v>
                </c:pt>
                <c:pt idx="3">
                  <c:v>657</c:v>
                </c:pt>
                <c:pt idx="4">
                  <c:v>587</c:v>
                </c:pt>
                <c:pt idx="5">
                  <c:v>725</c:v>
                </c:pt>
                <c:pt idx="6">
                  <c:v>772</c:v>
                </c:pt>
                <c:pt idx="7">
                  <c:v>1350</c:v>
                </c:pt>
                <c:pt idx="8">
                  <c:v>2108</c:v>
                </c:pt>
                <c:pt idx="9">
                  <c:v>2571</c:v>
                </c:pt>
                <c:pt idx="10">
                  <c:v>1886</c:v>
                </c:pt>
                <c:pt idx="12" formatCode="0.00%">
                  <c:v>9.202729481788352E-2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D-4040-AD80-1B8724BF6EE2}"/>
            </c:ext>
          </c:extLst>
        </c:ser>
        <c:ser>
          <c:idx val="1"/>
          <c:order val="1"/>
          <c:tx>
            <c:strRef>
              <c:f>DCF!$A$6</c:f>
              <c:strCache>
                <c:ptCount val="1"/>
                <c:pt idx="0">
                  <c:v>Alberta contracted plants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cat>
            <c:strRef>
              <c:f>DCF!$B$3:$N$3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2">
                  <c:v>Revenue growth by Segement  (CAGR)</c:v>
                </c:pt>
              </c:strCache>
            </c:strRef>
          </c:cat>
          <c:val>
            <c:numRef>
              <c:f>DCF!$B$6:$N$6</c:f>
              <c:numCache>
                <c:formatCode>#,##0</c:formatCode>
                <c:ptCount val="13"/>
                <c:pt idx="0">
                  <c:v>266</c:v>
                </c:pt>
                <c:pt idx="1">
                  <c:v>265</c:v>
                </c:pt>
                <c:pt idx="2">
                  <c:v>252</c:v>
                </c:pt>
                <c:pt idx="3">
                  <c:v>241</c:v>
                </c:pt>
                <c:pt idx="4">
                  <c:v>268</c:v>
                </c:pt>
                <c:pt idx="5">
                  <c:v>261</c:v>
                </c:pt>
                <c:pt idx="6">
                  <c:v>301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D-4040-AD80-1B8724BF6EE2}"/>
            </c:ext>
          </c:extLst>
        </c:ser>
        <c:ser>
          <c:idx val="2"/>
          <c:order val="2"/>
          <c:tx>
            <c:strRef>
              <c:f>DCF!$A$7</c:f>
              <c:strCache>
                <c:ptCount val="1"/>
                <c:pt idx="0">
                  <c:v>Western Canada contracted facilities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DCF!$B$3:$N$3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2">
                  <c:v>Revenue growth by Segement  (CAGR)</c:v>
                </c:pt>
              </c:strCache>
            </c:strRef>
          </c:cat>
          <c:val>
            <c:numRef>
              <c:f>DCF!$B$7:$N$7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%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133</c:v>
                </c:pt>
                <c:pt idx="8">
                  <c:v>150</c:v>
                </c:pt>
                <c:pt idx="9">
                  <c:v>152</c:v>
                </c:pt>
                <c:pt idx="10">
                  <c:v>143</c:v>
                </c:pt>
                <c:pt idx="12" formatCode="0.00%">
                  <c:v>7.2758918093502878E-3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3D-4040-AD80-1B8724BF6EE2}"/>
            </c:ext>
          </c:extLst>
        </c:ser>
        <c:ser>
          <c:idx val="3"/>
          <c:order val="3"/>
          <c:tx>
            <c:strRef>
              <c:f>DCF!$A$8</c:f>
              <c:strCache>
                <c:ptCount val="1"/>
                <c:pt idx="0">
                  <c:v>Ontario contracted facilities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DCF!$B$3:$N$3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2">
                  <c:v>Revenue growth by Segement  (CAGR)</c:v>
                </c:pt>
              </c:strCache>
            </c:strRef>
          </c:cat>
          <c:val>
            <c:numRef>
              <c:f>DCF!$B$8:$N$8</c:f>
              <c:numCache>
                <c:formatCode>#,##0</c:formatCode>
                <c:ptCount val="13"/>
                <c:pt idx="0">
                  <c:v>119</c:v>
                </c:pt>
                <c:pt idx="1">
                  <c:v>124</c:v>
                </c:pt>
                <c:pt idx="2">
                  <c:v>115</c:v>
                </c:pt>
                <c:pt idx="3">
                  <c:v>146</c:v>
                </c:pt>
                <c:pt idx="4">
                  <c:v>180</c:v>
                </c:pt>
                <c:pt idx="5">
                  <c:v>293</c:v>
                </c:pt>
                <c:pt idx="6">
                  <c:v>391</c:v>
                </c:pt>
                <c:pt idx="7">
                  <c:v>316</c:v>
                </c:pt>
                <c:pt idx="8">
                  <c:v>437</c:v>
                </c:pt>
                <c:pt idx="9">
                  <c:v>374</c:v>
                </c:pt>
                <c:pt idx="10">
                  <c:v>378</c:v>
                </c:pt>
                <c:pt idx="12" formatCode="0.00%">
                  <c:v>0.11791043867174067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3D-4040-AD80-1B8724BF6EE2}"/>
            </c:ext>
          </c:extLst>
        </c:ser>
        <c:ser>
          <c:idx val="4"/>
          <c:order val="4"/>
          <c:tx>
            <c:strRef>
              <c:f>DCF!$A$9</c:f>
              <c:strCache>
                <c:ptCount val="1"/>
                <c:pt idx="0">
                  <c:v>U.S. contracted facilities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DCF!$B$3:$N$3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2">
                  <c:v>Revenue growth by Segement  (CAGR)</c:v>
                </c:pt>
              </c:strCache>
            </c:strRef>
          </c:cat>
          <c:val>
            <c:numRef>
              <c:f>DCF!$B$9:$N$9</c:f>
              <c:numCache>
                <c:formatCode>#,##0</c:formatCode>
                <c:ptCount val="13"/>
                <c:pt idx="0">
                  <c:v>83</c:v>
                </c:pt>
                <c:pt idx="1">
                  <c:v>114</c:v>
                </c:pt>
                <c:pt idx="2">
                  <c:v>129</c:v>
                </c:pt>
                <c:pt idx="3">
                  <c:v>201</c:v>
                </c:pt>
                <c:pt idx="4">
                  <c:v>304</c:v>
                </c:pt>
                <c:pt idx="5">
                  <c:v>449</c:v>
                </c:pt>
                <c:pt idx="6">
                  <c:v>463</c:v>
                </c:pt>
                <c:pt idx="7">
                  <c:v>402</c:v>
                </c:pt>
                <c:pt idx="8">
                  <c:v>534</c:v>
                </c:pt>
                <c:pt idx="9">
                  <c:v>491</c:v>
                </c:pt>
                <c:pt idx="10">
                  <c:v>903</c:v>
                </c:pt>
                <c:pt idx="12" formatCode="0.00%">
                  <c:v>0.2299240389207049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3D-4040-AD80-1B8724BF6EE2}"/>
            </c:ext>
          </c:extLst>
        </c:ser>
        <c:ser>
          <c:idx val="5"/>
          <c:order val="5"/>
          <c:tx>
            <c:strRef>
              <c:f>DCF!$A$10</c:f>
              <c:strCache>
                <c:ptCount val="1"/>
                <c:pt idx="0">
                  <c:v>U.S. commercial facilities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DCF!$B$3:$N$3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2">
                  <c:v>Revenue growth by Segement  (CAGR)</c:v>
                </c:pt>
              </c:strCache>
            </c:strRef>
          </c:cat>
          <c:val>
            <c:numRef>
              <c:f>DCF!$B$10:$N$10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3D-4040-AD80-1B8724BF6EE2}"/>
            </c:ext>
          </c:extLst>
        </c:ser>
        <c:ser>
          <c:idx val="6"/>
          <c:order val="6"/>
          <c:tx>
            <c:strRef>
              <c:f>DCF!$A$11</c:f>
              <c:strCache>
                <c:ptCount val="1"/>
                <c:pt idx="0">
                  <c:v>Unrealized changes in fair value 
of commodity derivatives and 
emission credits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DCF!$B$3:$N$3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2">
                  <c:v>Revenue growth by Segement  (CAGR)</c:v>
                </c:pt>
              </c:strCache>
            </c:strRef>
          </c:cat>
          <c:val>
            <c:numRef>
              <c:f>DCF!$B$11:$N$11</c:f>
              <c:numCache>
                <c:formatCode>#,##0</c:formatCode>
                <c:ptCount val="13"/>
                <c:pt idx="0">
                  <c:v>121</c:v>
                </c:pt>
                <c:pt idx="1">
                  <c:v>-52</c:v>
                </c:pt>
                <c:pt idx="2">
                  <c:v>13</c:v>
                </c:pt>
                <c:pt idx="3">
                  <c:v>-162</c:v>
                </c:pt>
                <c:pt idx="4">
                  <c:v>20</c:v>
                </c:pt>
                <c:pt idx="5">
                  <c:v>47</c:v>
                </c:pt>
                <c:pt idx="6">
                  <c:v>-45</c:v>
                </c:pt>
                <c:pt idx="7">
                  <c:v>-337</c:v>
                </c:pt>
                <c:pt idx="8">
                  <c:v>-431</c:v>
                </c:pt>
                <c:pt idx="9">
                  <c:v>564</c:v>
                </c:pt>
                <c:pt idx="10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3D-4040-AD80-1B8724BF6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978911"/>
        <c:axId val="1595961744"/>
      </c:barChart>
      <c:catAx>
        <c:axId val="43597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N"/>
          </a:p>
        </c:txPr>
        <c:crossAx val="1595961744"/>
        <c:crosses val="autoZero"/>
        <c:auto val="1"/>
        <c:lblAlgn val="ctr"/>
        <c:lblOffset val="100"/>
        <c:noMultiLvlLbl val="0"/>
      </c:catAx>
      <c:valAx>
        <c:axId val="15959617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N"/>
          </a:p>
        </c:txPr>
        <c:crossAx val="43597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'DDM_2-Stage'!$B$1</c:f>
              <c:strCache>
                <c:ptCount val="1"/>
                <c:pt idx="0">
                  <c:v>Total Dividends</c:v>
                </c:pt>
              </c:strCache>
            </c:strRef>
          </c:tx>
          <c:spPr>
            <a:solidFill>
              <a:srgbClr val="2D4D75"/>
            </a:solidFill>
            <a:ln>
              <a:noFill/>
            </a:ln>
            <a:effectLst/>
          </c:spPr>
          <c:invertIfNegative val="0"/>
          <c:cat>
            <c:strRef>
              <c:f>'DDM_2-Stage'!$A$2:$A$13</c:f>
              <c:strCache>
                <c:ptCount val="12"/>
                <c:pt idx="0">
                  <c:v>2025(Est)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  <c:pt idx="10">
                  <c:v>2015</c:v>
                </c:pt>
                <c:pt idx="11">
                  <c:v>2014</c:v>
                </c:pt>
              </c:strCache>
            </c:strRef>
          </c:cat>
          <c:val>
            <c:numRef>
              <c:f>'DDM_2-Stage'!$B$2:$B$13</c:f>
              <c:numCache>
                <c:formatCode>"$"#,##0.00_);[Red]\("$"#,##0.00\)</c:formatCode>
                <c:ptCount val="12"/>
                <c:pt idx="0">
                  <c:v>2.706630498</c:v>
                </c:pt>
                <c:pt idx="1">
                  <c:v>2.5337999999999998</c:v>
                </c:pt>
                <c:pt idx="2">
                  <c:v>2.39</c:v>
                </c:pt>
                <c:pt idx="3">
                  <c:v>2.2599999999999998</c:v>
                </c:pt>
                <c:pt idx="4">
                  <c:v>2.12</c:v>
                </c:pt>
                <c:pt idx="5">
                  <c:v>1.99</c:v>
                </c:pt>
                <c:pt idx="6">
                  <c:v>1.86</c:v>
                </c:pt>
                <c:pt idx="7">
                  <c:v>1.73</c:v>
                </c:pt>
                <c:pt idx="8">
                  <c:v>1.62</c:v>
                </c:pt>
                <c:pt idx="9">
                  <c:v>1.51</c:v>
                </c:pt>
                <c:pt idx="10">
                  <c:v>1.41</c:v>
                </c:pt>
                <c:pt idx="11">
                  <c:v>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F-49BA-BFB6-95045372B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182416"/>
        <c:axId val="1265198736"/>
      </c:barChart>
      <c:lineChart>
        <c:grouping val="standard"/>
        <c:varyColors val="0"/>
        <c:ser>
          <c:idx val="1"/>
          <c:order val="1"/>
          <c:tx>
            <c:strRef>
              <c:f>'DDM_2-Stage'!$C$1</c:f>
              <c:strCache>
                <c:ptCount val="1"/>
                <c:pt idx="0">
                  <c:v>Growth Rate</c:v>
                </c:pt>
              </c:strCache>
            </c:strRef>
          </c:tx>
          <c:spPr>
            <a:ln w="28575" cap="rnd">
              <a:solidFill>
                <a:srgbClr val="9E8C05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007359625784455E-2"/>
                  <c:y val="1.8472477449885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C0-4487-A812-8EED670D14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'DDM_2-Stage'!$A$2:$A$13</c:f>
              <c:strCache>
                <c:ptCount val="12"/>
                <c:pt idx="0">
                  <c:v>2025(Est)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  <c:pt idx="10">
                  <c:v>2015</c:v>
                </c:pt>
                <c:pt idx="11">
                  <c:v>2014</c:v>
                </c:pt>
              </c:strCache>
            </c:strRef>
          </c:cat>
          <c:val>
            <c:numRef>
              <c:f>'DDM_2-Stage'!$C$2:$C$13</c:f>
              <c:numCache>
                <c:formatCode>0.00%</c:formatCode>
                <c:ptCount val="12"/>
                <c:pt idx="0">
                  <c:v>6.8209999999999993E-2</c:v>
                </c:pt>
                <c:pt idx="1">
                  <c:v>6.0199999999999997E-2</c:v>
                </c:pt>
                <c:pt idx="2">
                  <c:v>5.9900000000000002E-2</c:v>
                </c:pt>
                <c:pt idx="3">
                  <c:v>6.3700000000000007E-2</c:v>
                </c:pt>
                <c:pt idx="4">
                  <c:v>6.8000000000000005E-2</c:v>
                </c:pt>
                <c:pt idx="5">
                  <c:v>7.0099999999999996E-2</c:v>
                </c:pt>
                <c:pt idx="6">
                  <c:v>7.2300000000000003E-2</c:v>
                </c:pt>
                <c:pt idx="7">
                  <c:v>7.1199999999999999E-2</c:v>
                </c:pt>
                <c:pt idx="8">
                  <c:v>6.9500000000000006E-2</c:v>
                </c:pt>
                <c:pt idx="9">
                  <c:v>7.0900000000000005E-2</c:v>
                </c:pt>
                <c:pt idx="10">
                  <c:v>7.6300000000000007E-2</c:v>
                </c:pt>
                <c:pt idx="11">
                  <c:v>3.9699999999999999E-2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F-49BA-BFB6-95045372B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09408"/>
        <c:axId val="65705568"/>
      </c:lineChart>
      <c:catAx>
        <c:axId val="12651824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65198736"/>
        <c:crosses val="autoZero"/>
        <c:auto val="1"/>
        <c:lblAlgn val="ctr"/>
        <c:lblOffset val="100"/>
        <c:noMultiLvlLbl val="0"/>
      </c:catAx>
      <c:valAx>
        <c:axId val="1265198736"/>
        <c:scaling>
          <c:orientation val="minMax"/>
        </c:scaling>
        <c:delete val="0"/>
        <c:axPos val="r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65182416"/>
        <c:crosses val="autoZero"/>
        <c:crossBetween val="between"/>
      </c:valAx>
      <c:valAx>
        <c:axId val="65705568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5709408"/>
        <c:crosses val="autoZero"/>
        <c:crossBetween val="between"/>
      </c:valAx>
      <c:catAx>
        <c:axId val="65709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705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630354743143749E-2"/>
          <c:y val="7.407407407407407E-2"/>
          <c:w val="0.89474553105293342"/>
          <c:h val="0.828765675123942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D4D7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9E8C0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'DDM_2-Stage'!$K$11:$O$11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'DDM_2-Stage'!$K$12:$O$12</c:f>
              <c:numCache>
                <c:formatCode>"$"#,##0.00_);[Red]\("$"#,##0.00\)</c:formatCode>
                <c:ptCount val="5"/>
                <c:pt idx="0">
                  <c:v>2.706630498</c:v>
                </c:pt>
                <c:pt idx="1">
                  <c:v>2.8912497642685802</c:v>
                </c:pt>
                <c:pt idx="2">
                  <c:v>3.0884619106893405</c:v>
                </c:pt>
                <c:pt idx="3">
                  <c:v>3.2991258976174609</c:v>
                </c:pt>
                <c:pt idx="4">
                  <c:v>3.5241592750939481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5-43D8-B283-65C8E1BD0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27"/>
        <c:axId val="65711328"/>
        <c:axId val="65714688"/>
      </c:barChart>
      <c:catAx>
        <c:axId val="657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5714688"/>
        <c:crosses val="autoZero"/>
        <c:auto val="1"/>
        <c:lblAlgn val="ctr"/>
        <c:lblOffset val="100"/>
        <c:noMultiLvlLbl val="0"/>
      </c:catAx>
      <c:valAx>
        <c:axId val="65714688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571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8C6-4A98-8694-A7228A50FEB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C6-4A98-8694-A7228A50FEBB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6-4A98-8694-A7228A50FEBB}"/>
              </c:ext>
            </c:extLst>
          </c:dPt>
          <c:dLbls>
            <c:dLbl>
              <c:idx val="0"/>
              <c:layout>
                <c:manualLayout>
                  <c:x val="-4.7051474066287069E-2"/>
                  <c:y val="0.1378705440297142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altLang="zh-CN"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C6-4A98-8694-A7228A50FEBB}"/>
                </c:ext>
              </c:extLst>
            </c:dLbl>
            <c:dLbl>
              <c:idx val="1"/>
              <c:layout>
                <c:manualLayout>
                  <c:x val="2.2426419610554235E-2"/>
                  <c:y val="-0.2324681064957715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1113369-5D83-4D92-9CB7-AE0F06282592}" type="VALUE">
                      <a:rPr lang="en-US" altLang="zh-CN" b="1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A" alt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8C6-4A98-8694-A7228A50FEBB}"/>
                </c:ext>
              </c:extLst>
            </c:dLbl>
            <c:dLbl>
              <c:idx val="2"/>
              <c:layout>
                <c:manualLayout>
                  <c:x val="3.3154022144772165E-2"/>
                  <c:y val="0.144331488443170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altLang="zh-CN" sz="900" b="1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C6-4A98-8694-A7228A50FE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'Figure table '!$A$2:$A$4</c:f>
              <c:strCache>
                <c:ptCount val="3"/>
                <c:pt idx="0">
                  <c:v>Renewables</c:v>
                </c:pt>
                <c:pt idx="1">
                  <c:v>Flexible generation</c:v>
                </c:pt>
                <c:pt idx="2">
                  <c:v>Natural gas/coal dual-fuel</c:v>
                </c:pt>
              </c:strCache>
            </c:strRef>
          </c:cat>
          <c:val>
            <c:numRef>
              <c:f>'Figure table '!$B$2:$B$4</c:f>
              <c:numCache>
                <c:formatCode>0%</c:formatCode>
                <c:ptCount val="3"/>
                <c:pt idx="0">
                  <c:v>0.11</c:v>
                </c:pt>
                <c:pt idx="1">
                  <c:v>0.81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6-4A98-8694-A7228A50FE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389747738399386"/>
          <c:y val="0.33333180179575839"/>
          <c:w val="0.32276989482649293"/>
          <c:h val="0.38658060650725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33-443D-928C-679822A0EA7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33-443D-928C-679822A0EA75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33-443D-928C-679822A0EA7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lang="en-US" alt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F6ADE68-F975-463D-85E6-051E0BBBE751}" type="VALUE">
                      <a:rPr lang="en-US" altLang="zh-CN" sz="1050" b="1">
                        <a:solidFill>
                          <a:schemeClr val="bg1"/>
                        </a:solidFill>
                        <a:latin typeface="+mn-lt"/>
                      </a:rPr>
                      <a:pPr algn="ctr">
                        <a:defRPr lang="en-US" altLang="zh-CN"/>
                      </a:pPr>
                      <a:t>[VALUE]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alt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A" alt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13584089493333"/>
                      <c:h val="0.1484664735593595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E33-443D-928C-679822A0EA7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altLang="zh-CN"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E33-443D-928C-679822A0EA7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altLang="zh-CN"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E33-443D-928C-679822A0EA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'Figure table '!$A$20:$A$22</c:f>
              <c:strCache>
                <c:ptCount val="3"/>
                <c:pt idx="0">
                  <c:v>Alberta</c:v>
                </c:pt>
                <c:pt idx="1">
                  <c:v>U.S.</c:v>
                </c:pt>
                <c:pt idx="2">
                  <c:v>Rest of Canada</c:v>
                </c:pt>
              </c:strCache>
            </c:strRef>
          </c:cat>
          <c:val>
            <c:numRef>
              <c:f>'Figure table '!$B$20:$B$22</c:f>
              <c:numCache>
                <c:formatCode>0%</c:formatCode>
                <c:ptCount val="3"/>
                <c:pt idx="0">
                  <c:v>0.59</c:v>
                </c:pt>
                <c:pt idx="1">
                  <c:v>0.27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3-443D-928C-679822A0E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385786442701008"/>
          <c:y val="0.27601380117745744"/>
          <c:w val="0.37216906470717814"/>
          <c:h val="0.397330908037433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414444213980554E-2"/>
          <c:y val="0.20925925925925926"/>
          <c:w val="0.89027635923487636"/>
          <c:h val="0.609845435987168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table '!$F$68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table '!$E$69:$E$71</c:f>
              <c:strCache>
                <c:ptCount val="3"/>
                <c:pt idx="0">
                  <c:v>Alberta</c:v>
                </c:pt>
                <c:pt idx="1">
                  <c:v>U.S.</c:v>
                </c:pt>
                <c:pt idx="2">
                  <c:v>Rest of Canada</c:v>
                </c:pt>
              </c:strCache>
            </c:strRef>
          </c:cat>
          <c:val>
            <c:numRef>
              <c:f>'Figure table '!$F$69:$F$71</c:f>
              <c:numCache>
                <c:formatCode>\$#,##0_);[Red]\(\$#,##0\)</c:formatCode>
                <c:ptCount val="3"/>
                <c:pt idx="0">
                  <c:v>780</c:v>
                </c:pt>
                <c:pt idx="1">
                  <c:v>369</c:v>
                </c:pt>
                <c:pt idx="2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8-4041-B725-541A52619109}"/>
            </c:ext>
          </c:extLst>
        </c:ser>
        <c:ser>
          <c:idx val="1"/>
          <c:order val="1"/>
          <c:tx>
            <c:strRef>
              <c:f>'Figure table '!$G$68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E8C0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table '!$E$69:$E$71</c:f>
              <c:strCache>
                <c:ptCount val="3"/>
                <c:pt idx="0">
                  <c:v>Alberta</c:v>
                </c:pt>
                <c:pt idx="1">
                  <c:v>U.S.</c:v>
                </c:pt>
                <c:pt idx="2">
                  <c:v>Rest of Canada</c:v>
                </c:pt>
              </c:strCache>
            </c:strRef>
          </c:cat>
          <c:val>
            <c:numRef>
              <c:f>'Figure table '!$G$69:$G$71</c:f>
              <c:numCache>
                <c:formatCode>\$#,##0_);[Red]\(\$#,##0\)</c:formatCode>
                <c:ptCount val="3"/>
                <c:pt idx="0">
                  <c:v>550</c:v>
                </c:pt>
                <c:pt idx="1">
                  <c:v>656</c:v>
                </c:pt>
                <c:pt idx="2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8-4041-B725-541A526191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7368176"/>
        <c:axId val="1867363856"/>
      </c:barChart>
      <c:catAx>
        <c:axId val="18673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67363856"/>
        <c:crosses val="autoZero"/>
        <c:auto val="1"/>
        <c:lblAlgn val="ctr"/>
        <c:lblOffset val="100"/>
        <c:noMultiLvlLbl val="0"/>
      </c:catAx>
      <c:valAx>
        <c:axId val="1867363856"/>
        <c:scaling>
          <c:orientation val="minMax"/>
        </c:scaling>
        <c:delete val="0"/>
        <c:axPos val="l"/>
        <c:numFmt formatCode="\$#,##0_);[Red]\(\$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6736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700" b="1"/>
              <a:t>Coal/Dual Fuel Exposure (%Capacity)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table '!$D$117</c:f>
              <c:strCache>
                <c:ptCount val="1"/>
                <c:pt idx="0">
                  <c:v>Coal/Dual Fuel Exposure (%Capacity)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65-421A-BBE9-95F83C5AC495}"/>
              </c:ext>
            </c:extLst>
          </c:dPt>
          <c:dPt>
            <c:idx val="1"/>
            <c:invertIfNegative val="0"/>
            <c:bubble3D val="0"/>
            <c:spPr>
              <a:solidFill>
                <a:srgbClr val="9E8C0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165-421A-BBE9-95F83C5AC4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table '!$E$116:$F$116</c:f>
              <c:numCache>
                <c:formatCode>General</c:formatCode>
                <c:ptCount val="2"/>
                <c:pt idx="0">
                  <c:v>2013</c:v>
                </c:pt>
                <c:pt idx="1">
                  <c:v>2023</c:v>
                </c:pt>
              </c:numCache>
            </c:numRef>
          </c:cat>
          <c:val>
            <c:numRef>
              <c:f>'Figure table '!$E$117:$F$117</c:f>
              <c:numCache>
                <c:formatCode>0%</c:formatCode>
                <c:ptCount val="2"/>
                <c:pt idx="0">
                  <c:v>0.53</c:v>
                </c:pt>
                <c:pt idx="1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5-421A-BBE9-95F83C5AC4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5355136"/>
        <c:axId val="1805364256"/>
      </c:barChart>
      <c:catAx>
        <c:axId val="18053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05364256"/>
        <c:crosses val="autoZero"/>
        <c:auto val="1"/>
        <c:lblAlgn val="ctr"/>
        <c:lblOffset val="100"/>
        <c:noMultiLvlLbl val="0"/>
      </c:catAx>
      <c:valAx>
        <c:axId val="180536425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0535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7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table '!$D$120</c:f>
              <c:strCache>
                <c:ptCount val="1"/>
                <c:pt idx="0">
                  <c:v>Adjusted EBITDA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35-4913-9582-6F3EB4786DE3}"/>
              </c:ext>
            </c:extLst>
          </c:dPt>
          <c:dPt>
            <c:idx val="1"/>
            <c:invertIfNegative val="0"/>
            <c:bubble3D val="0"/>
            <c:spPr>
              <a:solidFill>
                <a:srgbClr val="9E8C0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35-4913-9582-6F3EB4786D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table '!$E$119:$F$119</c:f>
              <c:numCache>
                <c:formatCode>General</c:formatCode>
                <c:ptCount val="2"/>
                <c:pt idx="0">
                  <c:v>2013</c:v>
                </c:pt>
                <c:pt idx="1">
                  <c:v>2023</c:v>
                </c:pt>
              </c:numCache>
            </c:numRef>
          </c:cat>
          <c:val>
            <c:numRef>
              <c:f>'Figure table '!$E$120:$F$120</c:f>
              <c:numCache>
                <c:formatCode>\$#,##0_);[Red]\(\$#,##0\)</c:formatCode>
                <c:ptCount val="2"/>
                <c:pt idx="0">
                  <c:v>509</c:v>
                </c:pt>
                <c:pt idx="1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5-4913-9582-6F3EB4786D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655263"/>
        <c:axId val="1412656703"/>
      </c:barChart>
      <c:catAx>
        <c:axId val="141265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12656703"/>
        <c:crosses val="autoZero"/>
        <c:auto val="1"/>
        <c:lblAlgn val="ctr"/>
        <c:lblOffset val="100"/>
        <c:noMultiLvlLbl val="0"/>
      </c:catAx>
      <c:valAx>
        <c:axId val="1412656703"/>
        <c:scaling>
          <c:orientation val="minMax"/>
        </c:scaling>
        <c:delete val="0"/>
        <c:axPos val="l"/>
        <c:numFmt formatCode="\$#,##0_);[Red]\(\$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1265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7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table '!$D$123</c:f>
              <c:strCache>
                <c:ptCount val="1"/>
                <c:pt idx="0">
                  <c:v>U.S.  Exposure(%Capacity)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77-4B09-BCFE-8D48C6D40289}"/>
              </c:ext>
            </c:extLst>
          </c:dPt>
          <c:dPt>
            <c:idx val="1"/>
            <c:invertIfNegative val="0"/>
            <c:bubble3D val="0"/>
            <c:spPr>
              <a:solidFill>
                <a:srgbClr val="9E8C0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577-4B09-BCFE-8D48C6D402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table '!$E$122:$F$122</c:f>
              <c:numCache>
                <c:formatCode>General</c:formatCode>
                <c:ptCount val="2"/>
                <c:pt idx="0">
                  <c:v>2013</c:v>
                </c:pt>
                <c:pt idx="1">
                  <c:v>2023</c:v>
                </c:pt>
              </c:numCache>
            </c:numRef>
          </c:cat>
          <c:val>
            <c:numRef>
              <c:f>'Figure table '!$E$123:$F$123</c:f>
              <c:numCache>
                <c:formatCode>0%</c:formatCode>
                <c:ptCount val="2"/>
                <c:pt idx="0">
                  <c:v>0.05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7-4B09-BCFE-8D48C6D40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444991"/>
        <c:axId val="1543442591"/>
      </c:barChart>
      <c:catAx>
        <c:axId val="154344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43442591"/>
        <c:crosses val="autoZero"/>
        <c:auto val="1"/>
        <c:lblAlgn val="ctr"/>
        <c:lblOffset val="100"/>
        <c:noMultiLvlLbl val="0"/>
      </c:catAx>
      <c:valAx>
        <c:axId val="154344259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4344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7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table '!$D$126</c:f>
              <c:strCache>
                <c:ptCount val="1"/>
                <c:pt idx="0">
                  <c:v>Dividend Pre Share Growth(%Capacity)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67-4AD9-982E-9E389D8EBA94}"/>
              </c:ext>
            </c:extLst>
          </c:dPt>
          <c:dPt>
            <c:idx val="1"/>
            <c:invertIfNegative val="0"/>
            <c:bubble3D val="0"/>
            <c:spPr>
              <a:solidFill>
                <a:srgbClr val="9E8C0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67-4AD9-982E-9E389D8EBA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table '!$E$125:$F$125</c:f>
              <c:numCache>
                <c:formatCode>General</c:formatCode>
                <c:ptCount val="2"/>
                <c:pt idx="0">
                  <c:v>2013</c:v>
                </c:pt>
                <c:pt idx="1">
                  <c:v>2023</c:v>
                </c:pt>
              </c:numCache>
            </c:numRef>
          </c:cat>
          <c:val>
            <c:numRef>
              <c:f>'Figure table '!$E$126:$F$126</c:f>
              <c:numCache>
                <c:formatCode>\$#,##0.00_);[Red]\(\$#,##0.00\)</c:formatCode>
                <c:ptCount val="2"/>
                <c:pt idx="0">
                  <c:v>1.26</c:v>
                </c:pt>
                <c:pt idx="1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7-4AD9-982E-9E389D8EBA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7162879"/>
        <c:axId val="1557159999"/>
      </c:barChart>
      <c:catAx>
        <c:axId val="155716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57159999"/>
        <c:crosses val="autoZero"/>
        <c:auto val="1"/>
        <c:lblAlgn val="ctr"/>
        <c:lblOffset val="100"/>
        <c:noMultiLvlLbl val="0"/>
      </c:catAx>
      <c:valAx>
        <c:axId val="1557159999"/>
        <c:scaling>
          <c:orientation val="minMax"/>
        </c:scaling>
        <c:delete val="0"/>
        <c:axPos val="l"/>
        <c:numFmt formatCode="\$#,##0.00_);[Red]\(\$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5716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altLang="zh-CN" sz="5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'Figure table '!$L$20:$P$20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'Figure table '!$L$21:$P$21</c:f>
              <c:numCache>
                <c:formatCode>0%</c:formatCode>
                <c:ptCount val="5"/>
                <c:pt idx="0">
                  <c:v>0.4</c:v>
                </c:pt>
                <c:pt idx="1">
                  <c:v>0.39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F-4E56-965B-80D0FCB6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7"/>
        <c:axId val="1452142511"/>
        <c:axId val="1452140111"/>
      </c:barChart>
      <c:catAx>
        <c:axId val="145214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52140111"/>
        <c:crosses val="autoZero"/>
        <c:auto val="1"/>
        <c:lblAlgn val="ctr"/>
        <c:lblOffset val="100"/>
        <c:noMultiLvlLbl val="0"/>
      </c:catAx>
      <c:valAx>
        <c:axId val="1452140111"/>
        <c:scaling>
          <c:orientation val="minMax"/>
          <c:max val="0.60000000000000009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5214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table '!$R$20:$V$20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15FD6F-7121-41E2-9E6B-62805EDC277E}" type="VALUE">
                      <a:rPr lang="en-US" altLang="zh-CN"/>
                      <a:pPr/>
                      <a:t>[VALUE]</a:t>
                    </a:fld>
                    <a:r>
                      <a:rPr lang="en-US" altLang="zh-CN"/>
                      <a:t>X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363-43A2-8E1E-10440062C6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0447C3-6AB2-47F3-A379-863AEEDEACC2}" type="VALUE">
                      <a:rPr lang="en-US" altLang="zh-CN"/>
                      <a:pPr/>
                      <a:t>[VALUE]</a:t>
                    </a:fld>
                    <a:r>
                      <a:rPr lang="en-US" altLang="zh-CN"/>
                      <a:t>X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363-43A2-8E1E-10440062C6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2D9E3F-7415-4BB0-981F-83CB614B5681}" type="VALUE">
                      <a:rPr lang="en-US" altLang="zh-CN"/>
                      <a:pPr/>
                      <a:t>[VALUE]</a:t>
                    </a:fld>
                    <a:r>
                      <a:rPr lang="en-US" altLang="zh-CN"/>
                      <a:t>X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363-43A2-8E1E-10440062C6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D14C8C4-8BFB-48EC-B61E-A544923A80B0}" type="VALUE">
                      <a:rPr lang="en-US" altLang="zh-CN"/>
                      <a:pPr/>
                      <a:t>[VALUE]</a:t>
                    </a:fld>
                    <a:r>
                      <a:rPr lang="en-US" altLang="zh-CN"/>
                      <a:t>X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363-43A2-8E1E-10440062C6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3115224-4CFD-4A59-B980-E31372BC4EE3}" type="VALUE">
                      <a:rPr lang="en-US" altLang="zh-CN"/>
                      <a:pPr/>
                      <a:t>[VALUE]</a:t>
                    </a:fld>
                    <a:r>
                      <a:rPr lang="en-US" altLang="zh-CN"/>
                      <a:t>X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363-43A2-8E1E-10440062C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altLang="zh-CN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table '!$R$20:$V$20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'Figure table '!$R$21:$V$21</c:f>
              <c:numCache>
                <c:formatCode>General</c:formatCode>
                <c:ptCount val="5"/>
                <c:pt idx="0">
                  <c:v>3.5</c:v>
                </c:pt>
                <c:pt idx="1">
                  <c:v>2.8</c:v>
                </c:pt>
                <c:pt idx="2">
                  <c:v>2.6</c:v>
                </c:pt>
                <c:pt idx="3">
                  <c:v>2.6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3-43A2-8E1E-10440062C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overlap val="-27"/>
        <c:axId val="1824998351"/>
        <c:axId val="1825012271"/>
      </c:barChart>
      <c:catAx>
        <c:axId val="18249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5012271"/>
        <c:crosses val="autoZero"/>
        <c:auto val="1"/>
        <c:lblAlgn val="ctr"/>
        <c:lblOffset val="100"/>
        <c:noMultiLvlLbl val="0"/>
      </c:catAx>
      <c:valAx>
        <c:axId val="182501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4998351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altLang="zh-CN" sz="900" b="1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'Figure table '!$P$105:$P$108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'Figure table '!$Q$105:$Q$108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03-4164-82F0-6ABC24DC7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082160"/>
        <c:axId val="1362082640"/>
      </c:scatterChart>
      <c:valAx>
        <c:axId val="13620821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altLang="zh-CN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Impact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altLang="zh-CN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crossAx val="1362082640"/>
        <c:crosses val="autoZero"/>
        <c:crossBetween val="midCat"/>
      </c:valAx>
      <c:valAx>
        <c:axId val="1362082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>
                    <a:solidFill>
                      <a:schemeClr val="tx1"/>
                    </a:solidFill>
                  </a:rPr>
                  <a:t>Likelihood</a:t>
                </a:r>
                <a:endParaRPr lang="zh-CN" altLang="en-US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crossAx val="136208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Total Revenue Forecast</a:t>
            </a:r>
          </a:p>
        </c:rich>
      </c:tx>
      <c:layout>
        <c:manualLayout>
          <c:xMode val="edge"/>
          <c:yMode val="edge"/>
          <c:x val="0.34113261724105826"/>
          <c:y val="2.9721228754793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F497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DCF!$O$3:$S$3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DCF!$O$13:$S$13</c:f>
              <c:numCache>
                <c:formatCode>#,##0</c:formatCode>
                <c:ptCount val="5"/>
                <c:pt idx="0">
                  <c:v>3990.6704835185797</c:v>
                </c:pt>
                <c:pt idx="1">
                  <c:v>4389.8760525614798</c:v>
                </c:pt>
                <c:pt idx="2">
                  <c:v>4919.4009972156109</c:v>
                </c:pt>
                <c:pt idx="3">
                  <c:v>5570.9021962584056</c:v>
                </c:pt>
                <c:pt idx="4">
                  <c:v>6351.4401109966766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D-4E98-966C-3CAB574D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19399"/>
        <c:axId val="205829639"/>
      </c:lineChart>
      <c:catAx>
        <c:axId val="20581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829639"/>
        <c:crosses val="autoZero"/>
        <c:auto val="1"/>
        <c:lblAlgn val="ctr"/>
        <c:lblOffset val="100"/>
        <c:noMultiLvlLbl val="0"/>
      </c:catAx>
      <c:valAx>
        <c:axId val="205829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819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8727034120735"/>
          <c:y val="0.17685185185185184"/>
          <c:w val="0.8331272965879265"/>
          <c:h val="0.559122922134733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table '!$D$148</c:f>
              <c:strCache>
                <c:ptCount val="1"/>
                <c:pt idx="0">
                  <c:v>Alberta commercial facilities and portfolio optimization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table '!$E$161:$I$161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'Figure table '!$E$148:$I$148</c:f>
              <c:numCache>
                <c:formatCode>0.00_ </c:formatCode>
                <c:ptCount val="5"/>
                <c:pt idx="0">
                  <c:v>2059.5634780265282</c:v>
                </c:pt>
                <c:pt idx="1">
                  <c:v>2249.0995334150211</c:v>
                </c:pt>
                <c:pt idx="2">
                  <c:v>2456.0780792513697</c:v>
                </c:pt>
                <c:pt idx="3">
                  <c:v>2682.1043007463763</c:v>
                </c:pt>
                <c:pt idx="4">
                  <c:v>2928.9311039634763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9-43BF-AF1D-F1058760BD8D}"/>
            </c:ext>
          </c:extLst>
        </c:ser>
        <c:ser>
          <c:idx val="1"/>
          <c:order val="1"/>
          <c:tx>
            <c:strRef>
              <c:f>'Figure table '!$D$149</c:f>
              <c:strCache>
                <c:ptCount val="1"/>
                <c:pt idx="0">
                  <c:v>Western Canada contracted facilities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table '!$E$161:$I$161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'Figure table '!$E$149:$I$149</c:f>
              <c:numCache>
                <c:formatCode>0.00_ </c:formatCode>
                <c:ptCount val="5"/>
                <c:pt idx="0">
                  <c:v>144.04045252873709</c:v>
                </c:pt>
                <c:pt idx="1">
                  <c:v>145.08847527750603</c:v>
                </c:pt>
                <c:pt idx="2">
                  <c:v>146.14412332640876</c:v>
                </c:pt>
                <c:pt idx="3">
                  <c:v>147.20745215630404</c:v>
                </c:pt>
                <c:pt idx="4">
                  <c:v>148.27851765172343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9-43BF-AF1D-F1058760BD8D}"/>
            </c:ext>
          </c:extLst>
        </c:ser>
        <c:ser>
          <c:idx val="2"/>
          <c:order val="2"/>
          <c:tx>
            <c:strRef>
              <c:f>'Figure table '!$D$150</c:f>
              <c:strCache>
                <c:ptCount val="1"/>
                <c:pt idx="0">
                  <c:v>Ontario contracted facilities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'Figure table '!$E$161:$I$161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'Figure table '!$E$150:$I$150</c:f>
              <c:numCache>
                <c:formatCode>0.00_ </c:formatCode>
                <c:ptCount val="5"/>
                <c:pt idx="0">
                  <c:v>422.57014581791799</c:v>
                </c:pt>
                <c:pt idx="1">
                  <c:v>472.39557708089012</c:v>
                </c:pt>
                <c:pt idx="2">
                  <c:v>528.09594680108796</c:v>
                </c:pt>
                <c:pt idx="3">
                  <c:v>590.36397154917245</c:v>
                </c:pt>
                <c:pt idx="4">
                  <c:v>659.9740464105264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9-43BF-AF1D-F1058760BD8D}"/>
            </c:ext>
          </c:extLst>
        </c:ser>
        <c:ser>
          <c:idx val="3"/>
          <c:order val="3"/>
          <c:tx>
            <c:strRef>
              <c:f>'Figure table '!$D$151</c:f>
              <c:strCache>
                <c:ptCount val="1"/>
                <c:pt idx="0">
                  <c:v>U.S. contracted facilities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table '!$E$161:$I$161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'Figure table '!$E$151:$I$151</c:f>
              <c:numCache>
                <c:formatCode>0.00_ </c:formatCode>
                <c:ptCount val="5"/>
                <c:pt idx="0">
                  <c:v>1110.6214071453965</c:v>
                </c:pt>
                <c:pt idx="1">
                  <c:v>1365.9799667880627</c:v>
                </c:pt>
                <c:pt idx="2">
                  <c:v>1680.0515978367443</c:v>
                </c:pt>
                <c:pt idx="3">
                  <c:v>2066.3358468065526</c:v>
                </c:pt>
                <c:pt idx="4">
                  <c:v>2541.43613047095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69-43BF-AF1D-F1058760BD8D}"/>
            </c:ext>
          </c:extLst>
        </c:ser>
        <c:ser>
          <c:idx val="4"/>
          <c:order val="4"/>
          <c:tx>
            <c:strRef>
              <c:f>'Figure table '!$D$152</c:f>
              <c:strCache>
                <c:ptCount val="1"/>
                <c:pt idx="0">
                  <c:v>Unrealized changes in fair value 
of commodity derivatives and 
emission credits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table '!$E$161:$I$161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'Figure table '!$E$152:$I$152</c:f>
              <c:numCache>
                <c:formatCode>0.00_ </c:formatCode>
                <c:ptCount val="5"/>
                <c:pt idx="0">
                  <c:v>253.875</c:v>
                </c:pt>
                <c:pt idx="1">
                  <c:v>157.3125</c:v>
                </c:pt>
                <c:pt idx="2">
                  <c:v>109.03125</c:v>
                </c:pt>
                <c:pt idx="3">
                  <c:v>84.890625</c:v>
                </c:pt>
                <c:pt idx="4">
                  <c:v>72.8203125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69-43BF-AF1D-F1058760B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078160"/>
        <c:axId val="204707672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'Figure table '!$D$162</c15:sqref>
                        </c15:formulaRef>
                      </c:ext>
                    </c:extLst>
                    <c:strCache>
                      <c:ptCount val="1"/>
                      <c:pt idx="0">
                        <c:v>Total Revenue(CAD 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'Figure table '!$E$161:$I$161</c15:sqref>
                        </c15:formulaRef>
                      </c:ext>
                    </c:extLst>
                    <c:strCache>
                      <c:ptCount val="5"/>
                      <c:pt idx="0">
                        <c:v>2025E</c:v>
                      </c:pt>
                      <c:pt idx="1">
                        <c:v>2026E</c:v>
                      </c:pt>
                      <c:pt idx="2">
                        <c:v>2027E</c:v>
                      </c:pt>
                      <c:pt idx="3">
                        <c:v>2028E</c:v>
                      </c:pt>
                      <c:pt idx="4">
                        <c:v>2029E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'Figure table '!$E$162:$I$162</c15:sqref>
                        </c15:formulaRef>
                      </c:ext>
                    </c:extLst>
                    <c:numCache>
                      <c:formatCode>0.00_ </c:formatCode>
                      <c:ptCount val="5"/>
                      <c:pt idx="0">
                        <c:v>3990.6704835185797</c:v>
                      </c:pt>
                      <c:pt idx="1">
                        <c:v>4389.8760525614798</c:v>
                      </c:pt>
                      <c:pt idx="2">
                        <c:v>4919.4009972156109</c:v>
                      </c:pt>
                      <c:pt idx="3">
                        <c:v>5570.9021962584056</c:v>
                      </c:pt>
                      <c:pt idx="4">
                        <c:v>6351.4401109966766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669-43BF-AF1D-F1058760BD8D}"/>
                  </c:ext>
                </c:extLst>
              </c15:ser>
            </c15:filteredBarSeries>
          </c:ext>
        </c:extLst>
      </c:barChart>
      <c:catAx>
        <c:axId val="20470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47076720"/>
        <c:crossesAt val="0"/>
        <c:auto val="1"/>
        <c:lblAlgn val="ctr"/>
        <c:lblOffset val="100"/>
        <c:noMultiLvlLbl val="0"/>
      </c:catAx>
      <c:valAx>
        <c:axId val="2047076720"/>
        <c:scaling>
          <c:orientation val="minMax"/>
        </c:scaling>
        <c:delete val="0"/>
        <c:axPos val="l"/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4707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9.9051651429943377E-2"/>
          <c:y val="0.78317585693838021"/>
          <c:w val="0.8681979186554607"/>
          <c:h val="0.20987630154358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table '!$L$147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'Figure table '!$M$146:$Q$146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'Figure table '!$M$147:$Q$147</c:f>
              <c:numCache>
                <c:formatCode>0.00_ </c:formatCode>
                <c:ptCount val="5"/>
                <c:pt idx="0">
                  <c:v>1220.1221666821352</c:v>
                </c:pt>
                <c:pt idx="1">
                  <c:v>1271.7242728415849</c:v>
                </c:pt>
                <c:pt idx="2">
                  <c:v>1408.2210031516579</c:v>
                </c:pt>
                <c:pt idx="3">
                  <c:v>1615.1662077434557</c:v>
                </c:pt>
                <c:pt idx="4">
                  <c:v>1892.6825393462323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4-4F86-A0C1-69FE79F72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617280"/>
        <c:axId val="1642616320"/>
      </c:barChart>
      <c:lineChart>
        <c:grouping val="standard"/>
        <c:varyColors val="0"/>
        <c:ser>
          <c:idx val="1"/>
          <c:order val="1"/>
          <c:tx>
            <c:strRef>
              <c:f>'Figure table '!$L$148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rgbClr val="9E8C0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E8C05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5.5996077629081467E-3"/>
                  <c:y val="-1.846855673682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E4-4F86-A0C1-69FE79F72725}"/>
                </c:ext>
              </c:extLst>
            </c:dLbl>
            <c:dLbl>
              <c:idx val="2"/>
              <c:layout>
                <c:manualLayout>
                  <c:x val="2.799803881454099E-3"/>
                  <c:y val="2.7702835105236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E4-4F86-A0C1-69FE79F72725}"/>
                </c:ext>
              </c:extLst>
            </c:dLbl>
            <c:dLbl>
              <c:idx val="4"/>
              <c:layout>
                <c:manualLayout>
                  <c:x val="-2.7940009499602203E-3"/>
                  <c:y val="2.7702835105236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E4-4F86-A0C1-69FE79F727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table '!$M$146:$Q$146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'Figure table '!$M$148:$Q$148</c:f>
              <c:numCache>
                <c:formatCode>0.00%</c:formatCode>
                <c:ptCount val="5"/>
                <c:pt idx="0">
                  <c:v>0.30574365178012691</c:v>
                </c:pt>
                <c:pt idx="1">
                  <c:v>0.28969480176998108</c:v>
                </c:pt>
                <c:pt idx="2">
                  <c:v>0.28625863269709328</c:v>
                </c:pt>
                <c:pt idx="3">
                  <c:v>0.2899290188271933</c:v>
                </c:pt>
                <c:pt idx="4">
                  <c:v>0.29799266091941939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E4-4F86-A0C1-69FE79F72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7504"/>
        <c:axId val="25987024"/>
      </c:lineChart>
      <c:catAx>
        <c:axId val="164261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42616320"/>
        <c:crosses val="autoZero"/>
        <c:auto val="1"/>
        <c:lblAlgn val="ctr"/>
        <c:lblOffset val="100"/>
        <c:noMultiLvlLbl val="0"/>
      </c:catAx>
      <c:valAx>
        <c:axId val="1642616320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42617280"/>
        <c:crosses val="autoZero"/>
        <c:crossBetween val="between"/>
      </c:valAx>
      <c:valAx>
        <c:axId val="2598702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5987504"/>
        <c:crosses val="max"/>
        <c:crossBetween val="between"/>
      </c:valAx>
      <c:catAx>
        <c:axId val="25987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987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Alberta Electricity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2D4D75"/>
            </a:solidFill>
          </c:spPr>
          <c:dPt>
            <c:idx val="0"/>
            <c:bubble3D val="0"/>
            <c:spPr>
              <a:solidFill>
                <a:srgbClr val="9BBB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85-49BA-886C-9CF04CF610CB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52-4B33-9F5A-B914286A2E31}"/>
              </c:ext>
            </c:extLst>
          </c:dPt>
          <c:dPt>
            <c:idx val="2"/>
            <c:bubble3D val="0"/>
            <c:spPr>
              <a:solidFill>
                <a:srgbClr val="719A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285-49BA-886C-9CF04CF610CB}"/>
              </c:ext>
            </c:extLst>
          </c:dPt>
          <c:dPt>
            <c:idx val="3"/>
            <c:bubble3D val="0"/>
            <c:spPr>
              <a:solidFill>
                <a:srgbClr val="2D4D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85-49BA-886C-9CF04CF610CB}"/>
              </c:ext>
            </c:extLst>
          </c:dPt>
          <c:dPt>
            <c:idx val="4"/>
            <c:bubble3D val="0"/>
            <c:spPr>
              <a:solidFill>
                <a:srgbClr val="9E8C0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85-49BA-886C-9CF04CF610CB}"/>
              </c:ext>
            </c:extLst>
          </c:dPt>
          <c:dPt>
            <c:idx val="5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285-49BA-886C-9CF04CF610CB}"/>
              </c:ext>
            </c:extLst>
          </c:dPt>
          <c:dLbls>
            <c:dLbl>
              <c:idx val="0"/>
              <c:layout>
                <c:manualLayout>
                  <c:x val="-0.19292682098278566"/>
                  <c:y val="9.075317405452798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85-49BA-886C-9CF04CF610CB}"/>
                </c:ext>
              </c:extLst>
            </c:dLbl>
            <c:dLbl>
              <c:idx val="1"/>
              <c:layout>
                <c:manualLayout>
                  <c:x val="-0.10901579161034333"/>
                  <c:y val="-0.1689272566839210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52-4B33-9F5A-B914286A2E31}"/>
                </c:ext>
              </c:extLst>
            </c:dLbl>
            <c:dLbl>
              <c:idx val="2"/>
              <c:layout>
                <c:manualLayout>
                  <c:x val="-1.4565978768051916E-2"/>
                  <c:y val="-0.1465479663007862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85-49BA-886C-9CF04CF610CB}"/>
                </c:ext>
              </c:extLst>
            </c:dLbl>
            <c:dLbl>
              <c:idx val="3"/>
              <c:layout>
                <c:manualLayout>
                  <c:x val="0.11657382496272482"/>
                  <c:y val="-0.1386775475335390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F4B3C2B-8E44-4BDE-AAF4-277F19444CD5}" type="VALUE">
                      <a:rPr lang="en-US" altLang="zh-CN" sz="1600">
                        <a:solidFill>
                          <a:schemeClr val="bg1"/>
                        </a:solidFill>
                      </a:rPr>
                      <a:pPr>
                        <a:defRPr sz="18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A" alt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08999512639913"/>
                      <c:h val="7.130632225575657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7285-49BA-886C-9CF04CF610CB}"/>
                </c:ext>
              </c:extLst>
            </c:dLbl>
            <c:dLbl>
              <c:idx val="4"/>
              <c:layout>
                <c:manualLayout>
                  <c:x val="0.17450512759872577"/>
                  <c:y val="-2.9416277233017488E-2"/>
                </c:manualLayout>
              </c:layout>
              <c:tx>
                <c:rich>
                  <a:bodyPr/>
                  <a:lstStyle/>
                  <a:p>
                    <a:fld id="{9A4D5E45-B3BF-44A0-AEC9-35ECD1245BF1}" type="VALUE">
                      <a:rPr lang="en-US" altLang="zh-CN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285-49BA-886C-9CF04CF610CB}"/>
                </c:ext>
              </c:extLst>
            </c:dLbl>
            <c:dLbl>
              <c:idx val="5"/>
              <c:layout>
                <c:manualLayout>
                  <c:x val="0.15813237157355417"/>
                  <c:y val="0.1435303242340960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85-49BA-886C-9CF04CF610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'Figure table '!$A$195:$F$195</c:f>
              <c:strCache>
                <c:ptCount val="6"/>
                <c:pt idx="0">
                  <c:v>others</c:v>
                </c:pt>
                <c:pt idx="1">
                  <c:v>Suncor Energy</c:v>
                </c:pt>
                <c:pt idx="2">
                  <c:v>ENMAX Corporation</c:v>
                </c:pt>
                <c:pt idx="3">
                  <c:v>Heartland Generation</c:v>
                </c:pt>
                <c:pt idx="4">
                  <c:v>CPX</c:v>
                </c:pt>
                <c:pt idx="5">
                  <c:v>TransAlta Corporation</c:v>
                </c:pt>
              </c:strCache>
            </c:strRef>
          </c:cat>
          <c:val>
            <c:numRef>
              <c:f>'Figure table '!$A$196:$F$196</c:f>
              <c:numCache>
                <c:formatCode>0.00%</c:formatCode>
                <c:ptCount val="6"/>
                <c:pt idx="0">
                  <c:v>0.36699999999999999</c:v>
                </c:pt>
                <c:pt idx="1">
                  <c:v>7.5999999999999998E-2</c:v>
                </c:pt>
                <c:pt idx="2">
                  <c:v>9.4E-2</c:v>
                </c:pt>
                <c:pt idx="3">
                  <c:v>0.113</c:v>
                </c:pt>
                <c:pt idx="4">
                  <c:v>0.13300000000000001</c:v>
                </c:pt>
                <c:pt idx="5">
                  <c:v>0.217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5-49BA-886C-9CF04CF610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10.xml"/><Relationship Id="rId7" Type="http://schemas.openxmlformats.org/officeDocument/2006/relationships/chart" Target="../charts/chart13.xml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6" Type="http://schemas.openxmlformats.org/officeDocument/2006/relationships/image" Target="../media/image3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chart" Target="../charts/chart26.xml"/><Relationship Id="rId18" Type="http://schemas.microsoft.com/office/2007/relationships/hdphoto" Target="../media/hdphoto2.wdp"/><Relationship Id="rId26" Type="http://schemas.openxmlformats.org/officeDocument/2006/relationships/chart" Target="../charts/chart33.xml"/><Relationship Id="rId3" Type="http://schemas.openxmlformats.org/officeDocument/2006/relationships/image" Target="../media/image4.png"/><Relationship Id="rId21" Type="http://schemas.openxmlformats.org/officeDocument/2006/relationships/chart" Target="../charts/chart31.xml"/><Relationship Id="rId7" Type="http://schemas.openxmlformats.org/officeDocument/2006/relationships/image" Target="../media/image8.png"/><Relationship Id="rId12" Type="http://schemas.openxmlformats.org/officeDocument/2006/relationships/image" Target="../media/image11.tmp"/><Relationship Id="rId17" Type="http://schemas.openxmlformats.org/officeDocument/2006/relationships/image" Target="../media/image12.png"/><Relationship Id="rId25" Type="http://schemas.openxmlformats.org/officeDocument/2006/relationships/chart" Target="../charts/chart32.xml"/><Relationship Id="rId2" Type="http://schemas.openxmlformats.org/officeDocument/2006/relationships/chart" Target="../charts/chart24.xml"/><Relationship Id="rId16" Type="http://schemas.openxmlformats.org/officeDocument/2006/relationships/chart" Target="../charts/chart29.xml"/><Relationship Id="rId20" Type="http://schemas.openxmlformats.org/officeDocument/2006/relationships/chart" Target="../charts/chart30.xml"/><Relationship Id="rId29" Type="http://schemas.openxmlformats.org/officeDocument/2006/relationships/chart" Target="../charts/chart36.xml"/><Relationship Id="rId1" Type="http://schemas.openxmlformats.org/officeDocument/2006/relationships/chart" Target="../charts/chart23.xml"/><Relationship Id="rId6" Type="http://schemas.openxmlformats.org/officeDocument/2006/relationships/image" Target="../media/image7.svg"/><Relationship Id="rId11" Type="http://schemas.openxmlformats.org/officeDocument/2006/relationships/chart" Target="../charts/chart25.xml"/><Relationship Id="rId24" Type="http://schemas.openxmlformats.org/officeDocument/2006/relationships/image" Target="../media/image16.png"/><Relationship Id="rId5" Type="http://schemas.openxmlformats.org/officeDocument/2006/relationships/image" Target="../media/image6.png"/><Relationship Id="rId15" Type="http://schemas.openxmlformats.org/officeDocument/2006/relationships/chart" Target="../charts/chart28.xml"/><Relationship Id="rId23" Type="http://schemas.openxmlformats.org/officeDocument/2006/relationships/image" Target="../media/image15.svg"/><Relationship Id="rId28" Type="http://schemas.openxmlformats.org/officeDocument/2006/relationships/chart" Target="../charts/chart35.xml"/><Relationship Id="rId10" Type="http://schemas.openxmlformats.org/officeDocument/2006/relationships/image" Target="../media/image10.tmp"/><Relationship Id="rId19" Type="http://schemas.openxmlformats.org/officeDocument/2006/relationships/image" Target="../media/image13.png"/><Relationship Id="rId4" Type="http://schemas.openxmlformats.org/officeDocument/2006/relationships/image" Target="../media/image5.svg"/><Relationship Id="rId9" Type="http://schemas.openxmlformats.org/officeDocument/2006/relationships/image" Target="../media/image9.webp"/><Relationship Id="rId14" Type="http://schemas.openxmlformats.org/officeDocument/2006/relationships/chart" Target="../charts/chart27.xml"/><Relationship Id="rId22" Type="http://schemas.openxmlformats.org/officeDocument/2006/relationships/image" Target="../media/image14.png"/><Relationship Id="rId27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104775</xdr:rowOff>
    </xdr:from>
    <xdr:to>
      <xdr:col>6</xdr:col>
      <xdr:colOff>168275</xdr:colOff>
      <xdr:row>1</xdr:row>
      <xdr:rowOff>116205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2973"/>
        <a:stretch>
          <a:fillRect/>
        </a:stretch>
      </xdr:blipFill>
      <xdr:spPr>
        <a:xfrm>
          <a:off x="9829800" y="104775"/>
          <a:ext cx="1282700" cy="678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24130</xdr:rowOff>
    </xdr:from>
    <xdr:to>
      <xdr:col>0</xdr:col>
      <xdr:colOff>1158875</xdr:colOff>
      <xdr:row>1</xdr:row>
      <xdr:rowOff>6350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2973"/>
        <a:stretch>
          <a:fillRect/>
        </a:stretch>
      </xdr:blipFill>
      <xdr:spPr>
        <a:xfrm>
          <a:off x="9525" y="24130"/>
          <a:ext cx="1149350" cy="566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1400175</xdr:colOff>
      <xdr:row>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96009-8570-422C-BD1F-8066F7716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2973"/>
        <a:stretch>
          <a:fillRect/>
        </a:stretch>
      </xdr:blipFill>
      <xdr:spPr>
        <a:xfrm>
          <a:off x="0" y="0"/>
          <a:ext cx="1400175" cy="68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37</xdr:row>
      <xdr:rowOff>66675</xdr:rowOff>
    </xdr:from>
    <xdr:to>
      <xdr:col>18</xdr:col>
      <xdr:colOff>619125</xdr:colOff>
      <xdr:row>45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AFF0AB-19DB-B444-F680-AE3D4618AEA7}"/>
            </a:ext>
            <a:ext uri="{147F2762-F138-4A5C-976F-8EAC2B608ADB}">
              <a16:predDERef xmlns:a16="http://schemas.microsoft.com/office/drawing/2014/main" pred="{FAF65805-6E6A-F4E3-B106-D0B4D4697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19</xdr:row>
      <xdr:rowOff>52387</xdr:rowOff>
    </xdr:from>
    <xdr:to>
      <xdr:col>18</xdr:col>
      <xdr:colOff>514350</xdr:colOff>
      <xdr:row>29</xdr:row>
      <xdr:rowOff>90487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ECA37E2-2DD5-08D4-7A72-958130419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269875</xdr:colOff>
      <xdr:row>5</xdr:row>
      <xdr:rowOff>133350</xdr:rowOff>
    </xdr:from>
    <xdr:to>
      <xdr:col>17</xdr:col>
      <xdr:colOff>107950</xdr:colOff>
      <xdr:row>16</xdr:row>
      <xdr:rowOff>180975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17E0A7E-2EB8-625E-010E-D875F195F2D0}"/>
            </a:ext>
            <a:ext uri="{147F2762-F138-4A5C-976F-8EAC2B608ADB}">
              <a16:predDERef xmlns:a16="http://schemas.microsoft.com/office/drawing/2014/main" pred="{4ECA37E2-2DD5-08D4-7A72-958130419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257176</xdr:colOff>
      <xdr:row>6</xdr:row>
      <xdr:rowOff>66675</xdr:rowOff>
    </xdr:from>
    <xdr:to>
      <xdr:col>23</xdr:col>
      <xdr:colOff>428626</xdr:colOff>
      <xdr:row>18</xdr:row>
      <xdr:rowOff>152400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6CF8908-9523-15D2-37C3-957CBCA9D637}"/>
            </a:ext>
            <a:ext uri="{147F2762-F138-4A5C-976F-8EAC2B608ADB}">
              <a16:predDERef xmlns:a16="http://schemas.microsoft.com/office/drawing/2014/main" pred="{717E0A7E-2EB8-625E-010E-D875F195F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152400</xdr:colOff>
      <xdr:row>19</xdr:row>
      <xdr:rowOff>161925</xdr:rowOff>
    </xdr:from>
    <xdr:to>
      <xdr:col>25</xdr:col>
      <xdr:colOff>571499</xdr:colOff>
      <xdr:row>27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197995A-49DF-B01E-53BF-8A64F56CC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162731</xdr:colOff>
      <xdr:row>3</xdr:row>
      <xdr:rowOff>160292</xdr:rowOff>
    </xdr:from>
    <xdr:to>
      <xdr:col>31</xdr:col>
      <xdr:colOff>229276</xdr:colOff>
      <xdr:row>16</xdr:row>
      <xdr:rowOff>6130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D8F98AB-9130-5CD4-166D-EAEACD5AF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8697</xdr:colOff>
      <xdr:row>47</xdr:row>
      <xdr:rowOff>40377</xdr:rowOff>
    </xdr:from>
    <xdr:to>
      <xdr:col>11</xdr:col>
      <xdr:colOff>113472</xdr:colOff>
      <xdr:row>61</xdr:row>
      <xdr:rowOff>116577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1DAE376-5BE0-204B-A2A6-3FC4F65AC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387350</xdr:colOff>
      <xdr:row>32</xdr:row>
      <xdr:rowOff>0</xdr:rowOff>
    </xdr:from>
    <xdr:to>
      <xdr:col>38</xdr:col>
      <xdr:colOff>114300</xdr:colOff>
      <xdr:row>45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64BE51-9F83-BA88-43B6-0F403833E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262558</xdr:colOff>
      <xdr:row>5</xdr:row>
      <xdr:rowOff>63454</xdr:rowOff>
    </xdr:from>
    <xdr:to>
      <xdr:col>47</xdr:col>
      <xdr:colOff>675631</xdr:colOff>
      <xdr:row>29</xdr:row>
      <xdr:rowOff>177754</xdr:rowOff>
    </xdr:to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F398DE69-5E89-0A64-3433-2F3EC299E3ED}"/>
            </a:ext>
            <a:ext uri="{147F2762-F138-4A5C-976F-8EAC2B608ADB}">
              <a16:predDERef xmlns:a16="http://schemas.microsoft.com/office/drawing/2014/main" pred="{8D64BE51-9F83-BA88-43B6-0F403833E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198344</xdr:colOff>
      <xdr:row>14</xdr:row>
      <xdr:rowOff>145116</xdr:rowOff>
    </xdr:from>
    <xdr:to>
      <xdr:col>8</xdr:col>
      <xdr:colOff>1877484</xdr:colOff>
      <xdr:row>19</xdr:row>
      <xdr:rowOff>497541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B0C196FB-1142-6657-C141-0AFDFED24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8638" y="5512734"/>
          <a:ext cx="5164791" cy="37814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12</xdr:row>
      <xdr:rowOff>409575</xdr:rowOff>
    </xdr:from>
    <xdr:to>
      <xdr:col>0</xdr:col>
      <xdr:colOff>1158875</xdr:colOff>
      <xdr:row>14</xdr:row>
      <xdr:rowOff>344170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F1B80BAB-E18F-45A5-8108-92F11003A7B7}"/>
            </a:ext>
            <a:ext uri="{147F2762-F138-4A5C-976F-8EAC2B608ADB}">
              <a16:predDERef xmlns:a16="http://schemas.microsoft.com/office/drawing/2014/main" pred="{B0C196FB-1142-6657-C141-0AFDFED24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12973"/>
        <a:stretch>
          <a:fillRect/>
        </a:stretch>
      </xdr:blipFill>
      <xdr:spPr>
        <a:xfrm>
          <a:off x="9525" y="5153025"/>
          <a:ext cx="1149350" cy="563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370608</xdr:colOff>
      <xdr:row>12</xdr:row>
      <xdr:rowOff>17318</xdr:rowOff>
    </xdr:from>
    <xdr:to>
      <xdr:col>29</xdr:col>
      <xdr:colOff>450272</xdr:colOff>
      <xdr:row>19</xdr:row>
      <xdr:rowOff>723035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20F9F-E292-28E2-E079-B490FCEFC819}"/>
            </a:ext>
            <a:ext uri="{147F2762-F138-4A5C-976F-8EAC2B608ADB}">
              <a16:predDERef xmlns:a16="http://schemas.microsoft.com/office/drawing/2014/main" pred="{F1B80BAB-E18F-45A5-8108-92F11003A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</xdr:colOff>
      <xdr:row>10</xdr:row>
      <xdr:rowOff>323850</xdr:rowOff>
    </xdr:from>
    <xdr:to>
      <xdr:col>17</xdr:col>
      <xdr:colOff>371475</xdr:colOff>
      <xdr:row>21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A029ED-4DAB-6674-7799-FC366BDBF4BB}"/>
            </a:ext>
            <a:ext uri="{147F2762-F138-4A5C-976F-8EAC2B608ADB}">
              <a16:predDERef xmlns:a16="http://schemas.microsoft.com/office/drawing/2014/main" pred="{6E420F9F-E292-28E2-E079-B490FCEFC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466045</xdr:colOff>
      <xdr:row>17</xdr:row>
      <xdr:rowOff>721178</xdr:rowOff>
    </xdr:from>
    <xdr:to>
      <xdr:col>14</xdr:col>
      <xdr:colOff>65995</xdr:colOff>
      <xdr:row>18</xdr:row>
      <xdr:rowOff>277586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9698D2-5D9D-4ECE-9F7E-8917AEC64D25}"/>
            </a:ext>
            <a:ext uri="{147F2762-F138-4A5C-976F-8EAC2B608ADB}">
              <a16:predDERef xmlns:a16="http://schemas.microsoft.com/office/drawing/2014/main" pred="{1FA029ED-4DAB-6674-7799-FC366BDBF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12973"/>
        <a:stretch>
          <a:fillRect/>
        </a:stretch>
      </xdr:blipFill>
      <xdr:spPr>
        <a:xfrm>
          <a:off x="19842616" y="8109857"/>
          <a:ext cx="688522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1202593</xdr:colOff>
      <xdr:row>23</xdr:row>
      <xdr:rowOff>68458</xdr:rowOff>
    </xdr:from>
    <xdr:to>
      <xdr:col>16</xdr:col>
      <xdr:colOff>717684</xdr:colOff>
      <xdr:row>36</xdr:row>
      <xdr:rowOff>34636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B4BFC33A-5D8B-45BB-B623-D89D4EF1AC23}"/>
            </a:ext>
            <a:ext uri="{147F2762-F138-4A5C-976F-8EAC2B608ADB}">
              <a16:predDERef xmlns:a16="http://schemas.microsoft.com/office/drawing/2014/main" pred="{9B9698D2-5D9D-4ECE-9F7E-8917AEC64D25}"/>
            </a:ext>
          </a:extLst>
        </xdr:cNvPr>
        <xdr:cNvGrpSpPr/>
      </xdr:nvGrpSpPr>
      <xdr:grpSpPr>
        <a:xfrm>
          <a:off x="16747393" y="10218298"/>
          <a:ext cx="4689071" cy="2656038"/>
          <a:chOff x="17899846" y="10148003"/>
          <a:chExt cx="4592330" cy="2671668"/>
        </a:xfrm>
      </xdr:grpSpPr>
      <xdr:graphicFrame macro="">
        <xdr:nvGraphicFramePr>
          <xdr:cNvPr id="8" name="图表 7">
            <a:extLst>
              <a:ext uri="{FF2B5EF4-FFF2-40B4-BE49-F238E27FC236}">
                <a16:creationId xmlns:a16="http://schemas.microsoft.com/office/drawing/2014/main" id="{BD3D8D23-44E3-DFD1-08C2-A9382C6E592A}"/>
              </a:ext>
            </a:extLst>
          </xdr:cNvPr>
          <xdr:cNvGraphicFramePr/>
        </xdr:nvGraphicFramePr>
        <xdr:xfrm>
          <a:off x="17899846" y="10148003"/>
          <a:ext cx="4592330" cy="26716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A31AB27-6DEC-4EEA-A24D-144AF1E5D97A}"/>
              </a:ext>
              <a:ext uri="{147F2762-F138-4A5C-976F-8EAC2B608ADB}">
                <a16:predDERef xmlns:a16="http://schemas.microsoft.com/office/drawing/2014/main" pred="{9B9698D2-5D9D-4ECE-9F7E-8917AEC64D2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12973" b="13704"/>
          <a:stretch>
            <a:fillRect/>
          </a:stretch>
        </xdr:blipFill>
        <xdr:spPr>
          <a:xfrm rot="10800000" flipH="1" flipV="1">
            <a:off x="21158991" y="12536604"/>
            <a:ext cx="508480" cy="23518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184263</xdr:colOff>
      <xdr:row>35</xdr:row>
      <xdr:rowOff>53106</xdr:rowOff>
    </xdr:from>
    <xdr:to>
      <xdr:col>8</xdr:col>
      <xdr:colOff>1026905</xdr:colOff>
      <xdr:row>48</xdr:row>
      <xdr:rowOff>2520</xdr:rowOff>
    </xdr:to>
    <xdr:pic>
      <xdr:nvPicPr>
        <xdr:cNvPr id="13" name="图片 9">
          <a:extLst>
            <a:ext uri="{FF2B5EF4-FFF2-40B4-BE49-F238E27FC236}">
              <a16:creationId xmlns:a16="http://schemas.microsoft.com/office/drawing/2014/main" id="{B87E13B3-85E7-F308-5219-175EFF834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357" y="12702306"/>
          <a:ext cx="4373354" cy="2733613"/>
        </a:xfrm>
        <a:prstGeom prst="rect">
          <a:avLst/>
        </a:prstGeom>
      </xdr:spPr>
    </xdr:pic>
    <xdr:clientData/>
  </xdr:twoCellAnchor>
  <xdr:twoCellAnchor>
    <xdr:from>
      <xdr:col>11</xdr:col>
      <xdr:colOff>935130</xdr:colOff>
      <xdr:row>36</xdr:row>
      <xdr:rowOff>166967</xdr:rowOff>
    </xdr:from>
    <xdr:to>
      <xdr:col>16</xdr:col>
      <xdr:colOff>453277</xdr:colOff>
      <xdr:row>51</xdr:row>
      <xdr:rowOff>19049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3FE14087-BF08-7E68-63B7-2C729373BEC2}"/>
            </a:ext>
            <a:ext uri="{147F2762-F138-4A5C-976F-8EAC2B608ADB}">
              <a16:predDERef xmlns:a16="http://schemas.microsoft.com/office/drawing/2014/main" pred="{B87E13B3-85E7-F308-5219-175EFF8344D3}"/>
            </a:ext>
          </a:extLst>
        </xdr:cNvPr>
        <xdr:cNvGrpSpPr/>
      </xdr:nvGrpSpPr>
      <xdr:grpSpPr>
        <a:xfrm>
          <a:off x="16479930" y="13006667"/>
          <a:ext cx="4692127" cy="2976282"/>
          <a:chOff x="7255808" y="15330767"/>
          <a:chExt cx="4572000" cy="2743200"/>
        </a:xfrm>
      </xdr:grpSpPr>
      <xdr:graphicFrame macro="">
        <xdr:nvGraphicFramePr>
          <xdr:cNvPr id="7" name="图表 6">
            <a:extLst>
              <a:ext uri="{FF2B5EF4-FFF2-40B4-BE49-F238E27FC236}">
                <a16:creationId xmlns:a16="http://schemas.microsoft.com/office/drawing/2014/main" id="{962EBF39-C624-23A1-1A70-1DDE46BF528A}"/>
              </a:ext>
            </a:extLst>
          </xdr:cNvPr>
          <xdr:cNvGraphicFramePr/>
        </xdr:nvGraphicFramePr>
        <xdr:xfrm>
          <a:off x="7255808" y="1533076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pic>
        <xdr:nvPicPr>
          <xdr:cNvPr id="11" name="Picture 5">
            <a:extLst>
              <a:ext uri="{FF2B5EF4-FFF2-40B4-BE49-F238E27FC236}">
                <a16:creationId xmlns:a16="http://schemas.microsoft.com/office/drawing/2014/main" id="{1A1C03FB-297F-4E2C-96C9-A160C958F7E6}"/>
              </a:ext>
              <a:ext uri="{147F2762-F138-4A5C-976F-8EAC2B608ADB}">
                <a16:predDERef xmlns:a16="http://schemas.microsoft.com/office/drawing/2014/main" pred="{9B9698D2-5D9D-4ECE-9F7E-8917AEC64D2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12973" b="13704"/>
          <a:stretch>
            <a:fillRect/>
          </a:stretch>
        </xdr:blipFill>
        <xdr:spPr>
          <a:xfrm rot="10800000" flipH="1" flipV="1">
            <a:off x="9013094" y="17778234"/>
            <a:ext cx="505891" cy="23771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16</xdr:col>
      <xdr:colOff>176714</xdr:colOff>
      <xdr:row>9</xdr:row>
      <xdr:rowOff>16066</xdr:rowOff>
    </xdr:from>
    <xdr:to>
      <xdr:col>29</xdr:col>
      <xdr:colOff>481514</xdr:colOff>
      <xdr:row>19</xdr:row>
      <xdr:rowOff>574650</xdr:rowOff>
    </xdr:to>
    <xdr:graphicFrame macro="">
      <xdr:nvGraphicFramePr>
        <xdr:cNvPr id="18" name="Chart 14">
          <a:extLst>
            <a:ext uri="{FF2B5EF4-FFF2-40B4-BE49-F238E27FC236}">
              <a16:creationId xmlns:a16="http://schemas.microsoft.com/office/drawing/2014/main" id="{09A5C3E6-C356-3DA2-D1CB-995A2C378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65</xdr:row>
      <xdr:rowOff>133350</xdr:rowOff>
    </xdr:from>
    <xdr:to>
      <xdr:col>4</xdr:col>
      <xdr:colOff>238125</xdr:colOff>
      <xdr:row>81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361470-6348-2643-247F-0B68DF830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65</xdr:row>
      <xdr:rowOff>57150</xdr:rowOff>
    </xdr:from>
    <xdr:to>
      <xdr:col>10</xdr:col>
      <xdr:colOff>314325</xdr:colOff>
      <xdr:row>81</xdr:row>
      <xdr:rowOff>57150</xdr:rowOff>
    </xdr:to>
    <xdr:graphicFrame macro="">
      <xdr:nvGraphicFramePr>
        <xdr:cNvPr id="9" name="图表 2">
          <a:extLst>
            <a:ext uri="{FF2B5EF4-FFF2-40B4-BE49-F238E27FC236}">
              <a16:creationId xmlns:a16="http://schemas.microsoft.com/office/drawing/2014/main" id="{802F459F-5506-D24A-6E43-EF39C7267197}"/>
            </a:ext>
            <a:ext uri="{147F2762-F138-4A5C-976F-8EAC2B608ADB}">
              <a16:predDERef xmlns:a16="http://schemas.microsoft.com/office/drawing/2014/main" pred="{42361470-6348-2643-247F-0B68DF830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62</xdr:col>
      <xdr:colOff>14568</xdr:colOff>
      <xdr:row>10</xdr:row>
      <xdr:rowOff>419100</xdr:rowOff>
    </xdr:from>
    <xdr:to>
      <xdr:col>68</xdr:col>
      <xdr:colOff>552450</xdr:colOff>
      <xdr:row>19</xdr:row>
      <xdr:rowOff>9525</xdr:rowOff>
    </xdr:to>
    <xdr:graphicFrame macro="">
      <xdr:nvGraphicFramePr>
        <xdr:cNvPr id="38" name="Chart 4">
          <a:extLst>
            <a:ext uri="{FF2B5EF4-FFF2-40B4-BE49-F238E27FC236}">
              <a16:creationId xmlns:a16="http://schemas.microsoft.com/office/drawing/2014/main" id="{16C539CA-B12E-A8CF-90D5-AB2CCEEB2AEA}"/>
            </a:ext>
            <a:ext uri="{147F2762-F138-4A5C-976F-8EAC2B608ADB}">
              <a16:predDERef xmlns:a16="http://schemas.microsoft.com/office/drawing/2014/main" pred="{802F459F-5506-D24A-6E43-EF39C7267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1724025</xdr:colOff>
      <xdr:row>36</xdr:row>
      <xdr:rowOff>38100</xdr:rowOff>
    </xdr:from>
    <xdr:to>
      <xdr:col>48</xdr:col>
      <xdr:colOff>161925</xdr:colOff>
      <xdr:row>48</xdr:row>
      <xdr:rowOff>142875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14B832F3-DCBE-33D6-20A8-F9AB708ED872}"/>
            </a:ext>
            <a:ext uri="{147F2762-F138-4A5C-976F-8EAC2B608ADB}">
              <a16:predDERef xmlns:a16="http://schemas.microsoft.com/office/drawing/2014/main" pred="{16C539CA-B12E-A8CF-90D5-AB2CCEEB2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971550</xdr:colOff>
      <xdr:row>25</xdr:row>
      <xdr:rowOff>47624</xdr:rowOff>
    </xdr:from>
    <xdr:to>
      <xdr:col>39</xdr:col>
      <xdr:colOff>659947</xdr:colOff>
      <xdr:row>35</xdr:row>
      <xdr:rowOff>83682</xdr:rowOff>
    </xdr:to>
    <xdr:graphicFrame macro="">
      <xdr:nvGraphicFramePr>
        <xdr:cNvPr id="8" name="图表 24">
          <a:extLst>
            <a:ext uri="{FF2B5EF4-FFF2-40B4-BE49-F238E27FC236}">
              <a16:creationId xmlns:a16="http://schemas.microsoft.com/office/drawing/2014/main" id="{279A6F9B-13FA-768E-90CB-B5FD5317F8B6}"/>
            </a:ext>
            <a:ext uri="{147F2762-F138-4A5C-976F-8EAC2B608ADB}">
              <a16:predDERef xmlns:a16="http://schemas.microsoft.com/office/drawing/2014/main" pred="{14B832F3-DCBE-33D6-20A8-F9AB708ED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1485900</xdr:colOff>
      <xdr:row>28</xdr:row>
      <xdr:rowOff>104775</xdr:rowOff>
    </xdr:from>
    <xdr:to>
      <xdr:col>19</xdr:col>
      <xdr:colOff>152400</xdr:colOff>
      <xdr:row>43</xdr:row>
      <xdr:rowOff>409575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D281A6C1-9D2C-420A-A1FC-8FAADDCEC831}"/>
            </a:ext>
            <a:ext uri="{147F2762-F138-4A5C-976F-8EAC2B608ADB}">
              <a16:predDERef xmlns:a16="http://schemas.microsoft.com/office/drawing/2014/main" pred="{279A6F9B-13FA-768E-90CB-B5FD5317F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4888</xdr:colOff>
      <xdr:row>20</xdr:row>
      <xdr:rowOff>83086</xdr:rowOff>
    </xdr:from>
    <xdr:to>
      <xdr:col>7</xdr:col>
      <xdr:colOff>578837</xdr:colOff>
      <xdr:row>36</xdr:row>
      <xdr:rowOff>899</xdr:rowOff>
    </xdr:to>
    <xdr:graphicFrame macro="">
      <xdr:nvGraphicFramePr>
        <xdr:cNvPr id="54" name="Chart 15">
          <a:extLst>
            <a:ext uri="{FF2B5EF4-FFF2-40B4-BE49-F238E27FC236}">
              <a16:creationId xmlns:a16="http://schemas.microsoft.com/office/drawing/2014/main" id="{37926EBF-77EF-3491-ABA7-DD24F8C59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1565413</xdr:colOff>
      <xdr:row>13</xdr:row>
      <xdr:rowOff>135835</xdr:rowOff>
    </xdr:from>
    <xdr:to>
      <xdr:col>15</xdr:col>
      <xdr:colOff>612913</xdr:colOff>
      <xdr:row>28</xdr:row>
      <xdr:rowOff>38100</xdr:rowOff>
    </xdr:to>
    <xdr:graphicFrame macro="">
      <xdr:nvGraphicFramePr>
        <xdr:cNvPr id="50" name="图表 1">
          <a:extLst>
            <a:ext uri="{FF2B5EF4-FFF2-40B4-BE49-F238E27FC236}">
              <a16:creationId xmlns:a16="http://schemas.microsoft.com/office/drawing/2014/main" id="{A1016457-4C2E-B756-21F0-BEFD0B6B6941}"/>
            </a:ext>
            <a:ext uri="{147F2762-F138-4A5C-976F-8EAC2B608ADB}">
              <a16:predDERef xmlns:a16="http://schemas.microsoft.com/office/drawing/2014/main" pred="{37926EBF-77EF-3491-ABA7-DD24F8C59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2317</xdr:rowOff>
    </xdr:from>
    <xdr:to>
      <xdr:col>2</xdr:col>
      <xdr:colOff>408564</xdr:colOff>
      <xdr:row>14</xdr:row>
      <xdr:rowOff>29944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D0B5762-9FC0-899C-9500-8D67B2EDE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56460</xdr:colOff>
      <xdr:row>22</xdr:row>
      <xdr:rowOff>109904</xdr:rowOff>
    </xdr:from>
    <xdr:to>
      <xdr:col>2</xdr:col>
      <xdr:colOff>498231</xdr:colOff>
      <xdr:row>33</xdr:row>
      <xdr:rowOff>66113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ED1AC3-31CD-06A4-0D37-775C5EB08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401162</xdr:colOff>
      <xdr:row>36</xdr:row>
      <xdr:rowOff>56029</xdr:rowOff>
    </xdr:from>
    <xdr:to>
      <xdr:col>0</xdr:col>
      <xdr:colOff>1655108</xdr:colOff>
      <xdr:row>50</xdr:row>
      <xdr:rowOff>187913</xdr:rowOff>
    </xdr:to>
    <xdr:grpSp>
      <xdr:nvGrpSpPr>
        <xdr:cNvPr id="34" name="组合 33">
          <a:extLst>
            <a:ext uri="{FF2B5EF4-FFF2-40B4-BE49-F238E27FC236}">
              <a16:creationId xmlns:a16="http://schemas.microsoft.com/office/drawing/2014/main" id="{793C3251-AE8A-B2C1-3E10-97A300D8D1E5}"/>
            </a:ext>
          </a:extLst>
        </xdr:cNvPr>
        <xdr:cNvGrpSpPr/>
      </xdr:nvGrpSpPr>
      <xdr:grpSpPr>
        <a:xfrm>
          <a:off x="401162" y="6749437"/>
          <a:ext cx="499566" cy="2684584"/>
          <a:chOff x="3585313" y="6792687"/>
          <a:chExt cx="1546609" cy="3435698"/>
        </a:xfrm>
      </xdr:grpSpPr>
      <xdr:grpSp>
        <xdr:nvGrpSpPr>
          <xdr:cNvPr id="17" name="组合 16">
            <a:extLst>
              <a:ext uri="{FF2B5EF4-FFF2-40B4-BE49-F238E27FC236}">
                <a16:creationId xmlns:a16="http://schemas.microsoft.com/office/drawing/2014/main" id="{126C301F-D6FF-D0A4-4A5F-9932EF8DEDA3}"/>
              </a:ext>
            </a:extLst>
          </xdr:cNvPr>
          <xdr:cNvGrpSpPr/>
        </xdr:nvGrpSpPr>
        <xdr:grpSpPr>
          <a:xfrm>
            <a:off x="3593647" y="6792687"/>
            <a:ext cx="1534886" cy="939918"/>
            <a:chOff x="3597219" y="6792687"/>
            <a:chExt cx="1527742" cy="939918"/>
          </a:xfrm>
        </xdr:grpSpPr>
        <xdr:cxnSp macro="">
          <xdr:nvCxnSpPr>
            <xdr:cNvPr id="10" name="直接箭头连接符 9">
              <a:extLst>
                <a:ext uri="{FF2B5EF4-FFF2-40B4-BE49-F238E27FC236}">
                  <a16:creationId xmlns:a16="http://schemas.microsoft.com/office/drawing/2014/main" id="{A3F809F2-57AC-F09D-C046-366CCFAFD2B9}"/>
                </a:ext>
              </a:extLst>
            </xdr:cNvPr>
            <xdr:cNvCxnSpPr/>
          </xdr:nvCxnSpPr>
          <xdr:spPr>
            <a:xfrm>
              <a:off x="4361815" y="7503548"/>
              <a:ext cx="4285" cy="229057"/>
            </a:xfrm>
            <a:prstGeom prst="straightConnector1">
              <a:avLst/>
            </a:prstGeom>
            <a:ln>
              <a:solidFill>
                <a:schemeClr val="tx2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6" name="组合 15">
              <a:extLst>
                <a:ext uri="{FF2B5EF4-FFF2-40B4-BE49-F238E27FC236}">
                  <a16:creationId xmlns:a16="http://schemas.microsoft.com/office/drawing/2014/main" id="{83D03BED-CBA5-F126-910E-B0962AFCE701}"/>
                </a:ext>
              </a:extLst>
            </xdr:cNvPr>
            <xdr:cNvGrpSpPr/>
          </xdr:nvGrpSpPr>
          <xdr:grpSpPr>
            <a:xfrm>
              <a:off x="3597219" y="6792687"/>
              <a:ext cx="1527742" cy="691242"/>
              <a:chOff x="876300" y="6716487"/>
              <a:chExt cx="1534886" cy="691242"/>
            </a:xfrm>
          </xdr:grpSpPr>
          <xdr:sp macro="" textlink="">
            <xdr:nvSpPr>
              <xdr:cNvPr id="14" name="矩形 13">
                <a:extLst>
                  <a:ext uri="{FF2B5EF4-FFF2-40B4-BE49-F238E27FC236}">
                    <a16:creationId xmlns:a16="http://schemas.microsoft.com/office/drawing/2014/main" id="{CE1EB273-D4E0-9D5B-E3B9-3538B4F10CD4}"/>
                  </a:ext>
                </a:extLst>
              </xdr:cNvPr>
              <xdr:cNvSpPr/>
            </xdr:nvSpPr>
            <xdr:spPr>
              <a:xfrm>
                <a:off x="876300" y="6716487"/>
                <a:ext cx="1534886" cy="283028"/>
              </a:xfrm>
              <a:prstGeom prst="rect">
                <a:avLst/>
              </a:prstGeom>
              <a:solidFill>
                <a:schemeClr val="tx2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US" altLang="zh-CN" sz="1100" b="1"/>
                  <a:t>2020S</a:t>
                </a:r>
                <a:endParaRPr lang="zh-CN" altLang="en-US" sz="1100" b="1"/>
              </a:p>
            </xdr:txBody>
          </xdr:sp>
          <xdr:sp macro="" textlink="">
            <xdr:nvSpPr>
              <xdr:cNvPr id="15" name="矩形 14">
                <a:extLst>
                  <a:ext uri="{FF2B5EF4-FFF2-40B4-BE49-F238E27FC236}">
                    <a16:creationId xmlns:a16="http://schemas.microsoft.com/office/drawing/2014/main" id="{253A2E6B-E04F-4525-A184-38C1237C7AC7}"/>
                  </a:ext>
                </a:extLst>
              </xdr:cNvPr>
              <xdr:cNvSpPr/>
            </xdr:nvSpPr>
            <xdr:spPr>
              <a:xfrm>
                <a:off x="881742" y="7004957"/>
                <a:ext cx="1529443" cy="402772"/>
              </a:xfrm>
              <a:prstGeom prst="rect">
                <a:avLst/>
              </a:prstGeom>
              <a:solidFill>
                <a:schemeClr val="bg1"/>
              </a:solidFill>
              <a:ln w="12700">
                <a:solidFill>
                  <a:schemeClr val="tx2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altLang="zh-CN" sz="700" b="1">
                    <a:solidFill>
                      <a:schemeClr val="tx2">
                        <a:lumMod val="75000"/>
                      </a:schemeClr>
                    </a:solidFill>
                  </a:rPr>
                  <a:t>Expand wind/solar portfolio, retire coal assets</a:t>
                </a:r>
                <a:r>
                  <a:rPr lang="en-US" altLang="zh-CN" sz="700" b="1">
                    <a:solidFill>
                      <a:schemeClr val="tx2">
                        <a:lumMod val="75000"/>
                      </a:schemeClr>
                    </a:solidFill>
                  </a:rPr>
                  <a:t>2020S</a:t>
                </a:r>
                <a:endParaRPr lang="zh-CN" altLang="en-US" sz="700" b="1">
                  <a:solidFill>
                    <a:schemeClr val="tx2">
                      <a:lumMod val="75000"/>
                    </a:schemeClr>
                  </a:solidFill>
                </a:endParaRPr>
              </a:p>
            </xdr:txBody>
          </xdr:sp>
        </xdr:grpSp>
      </xdr:grpSp>
      <xdr:grpSp>
        <xdr:nvGrpSpPr>
          <xdr:cNvPr id="18" name="组合 17">
            <a:extLst>
              <a:ext uri="{FF2B5EF4-FFF2-40B4-BE49-F238E27FC236}">
                <a16:creationId xmlns:a16="http://schemas.microsoft.com/office/drawing/2014/main" id="{673270EE-E467-4CC5-9A22-37ACF4FCC747}"/>
              </a:ext>
            </a:extLst>
          </xdr:cNvPr>
          <xdr:cNvGrpSpPr/>
        </xdr:nvGrpSpPr>
        <xdr:grpSpPr>
          <a:xfrm>
            <a:off x="3585313" y="7748759"/>
            <a:ext cx="1534886" cy="939918"/>
            <a:chOff x="3597219" y="6792687"/>
            <a:chExt cx="1527742" cy="939918"/>
          </a:xfrm>
        </xdr:grpSpPr>
        <xdr:cxnSp macro="">
          <xdr:nvCxnSpPr>
            <xdr:cNvPr id="19" name="直接箭头连接符 18">
              <a:extLst>
                <a:ext uri="{FF2B5EF4-FFF2-40B4-BE49-F238E27FC236}">
                  <a16:creationId xmlns:a16="http://schemas.microsoft.com/office/drawing/2014/main" id="{0E506A23-3F7D-FB74-AA84-BF4206FEA88E}"/>
                </a:ext>
              </a:extLst>
            </xdr:cNvPr>
            <xdr:cNvCxnSpPr/>
          </xdr:nvCxnSpPr>
          <xdr:spPr>
            <a:xfrm>
              <a:off x="4361815" y="7503548"/>
              <a:ext cx="4285" cy="229057"/>
            </a:xfrm>
            <a:prstGeom prst="straightConnector1">
              <a:avLst/>
            </a:prstGeom>
            <a:ln>
              <a:solidFill>
                <a:schemeClr val="tx2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20" name="组合 19">
              <a:extLst>
                <a:ext uri="{FF2B5EF4-FFF2-40B4-BE49-F238E27FC236}">
                  <a16:creationId xmlns:a16="http://schemas.microsoft.com/office/drawing/2014/main" id="{7B4F3D0D-3CAC-2F4F-0213-13295AB0A277}"/>
                </a:ext>
              </a:extLst>
            </xdr:cNvPr>
            <xdr:cNvGrpSpPr/>
          </xdr:nvGrpSpPr>
          <xdr:grpSpPr>
            <a:xfrm>
              <a:off x="3597219" y="6792687"/>
              <a:ext cx="1527742" cy="691242"/>
              <a:chOff x="876300" y="6716487"/>
              <a:chExt cx="1534886" cy="691242"/>
            </a:xfrm>
          </xdr:grpSpPr>
          <xdr:sp macro="" textlink="">
            <xdr:nvSpPr>
              <xdr:cNvPr id="21" name="矩形 20">
                <a:extLst>
                  <a:ext uri="{FF2B5EF4-FFF2-40B4-BE49-F238E27FC236}">
                    <a16:creationId xmlns:a16="http://schemas.microsoft.com/office/drawing/2014/main" id="{DC7553FC-01A9-4F2D-B576-E5EE96AE5F0C}"/>
                  </a:ext>
                </a:extLst>
              </xdr:cNvPr>
              <xdr:cNvSpPr/>
            </xdr:nvSpPr>
            <xdr:spPr>
              <a:xfrm>
                <a:off x="876300" y="6716487"/>
                <a:ext cx="1534886" cy="283028"/>
              </a:xfrm>
              <a:prstGeom prst="rect">
                <a:avLst/>
              </a:prstGeom>
              <a:solidFill>
                <a:schemeClr val="tx2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US" altLang="zh-CN" sz="1100" b="1"/>
                  <a:t>2030S</a:t>
                </a:r>
                <a:endParaRPr lang="zh-CN" altLang="en-US" sz="1100" b="1"/>
              </a:p>
            </xdr:txBody>
          </xdr:sp>
          <xdr:sp macro="" textlink="">
            <xdr:nvSpPr>
              <xdr:cNvPr id="22" name="矩形 21">
                <a:extLst>
                  <a:ext uri="{FF2B5EF4-FFF2-40B4-BE49-F238E27FC236}">
                    <a16:creationId xmlns:a16="http://schemas.microsoft.com/office/drawing/2014/main" id="{3D497B6E-7C8C-54D5-5C45-602C2E2B256A}"/>
                  </a:ext>
                </a:extLst>
              </xdr:cNvPr>
              <xdr:cNvSpPr/>
            </xdr:nvSpPr>
            <xdr:spPr>
              <a:xfrm>
                <a:off x="881742" y="7004957"/>
                <a:ext cx="1529443" cy="402772"/>
              </a:xfrm>
              <a:prstGeom prst="rect">
                <a:avLst/>
              </a:prstGeom>
              <a:solidFill>
                <a:schemeClr val="bg1"/>
              </a:solidFill>
              <a:ln w="12700">
                <a:solidFill>
                  <a:schemeClr val="tx2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altLang="zh-CN" sz="700" b="1">
                    <a:solidFill>
                      <a:schemeClr val="tx2">
                        <a:lumMod val="75000"/>
                      </a:schemeClr>
                    </a:solidFill>
                  </a:rPr>
                  <a:t>CCUS integration, gas optimization</a:t>
                </a:r>
                <a:endParaRPr lang="zh-CN" altLang="en-US" sz="700" b="1">
                  <a:solidFill>
                    <a:schemeClr val="tx2">
                      <a:lumMod val="75000"/>
                    </a:schemeClr>
                  </a:solidFill>
                </a:endParaRPr>
              </a:p>
            </xdr:txBody>
          </xdr:sp>
        </xdr:grpSp>
      </xdr:grpSp>
      <xdr:grpSp>
        <xdr:nvGrpSpPr>
          <xdr:cNvPr id="23" name="组合 22">
            <a:extLst>
              <a:ext uri="{FF2B5EF4-FFF2-40B4-BE49-F238E27FC236}">
                <a16:creationId xmlns:a16="http://schemas.microsoft.com/office/drawing/2014/main" id="{D5D9E01C-9447-485A-A053-06D6C1B5D745}"/>
              </a:ext>
            </a:extLst>
          </xdr:cNvPr>
          <xdr:cNvGrpSpPr/>
        </xdr:nvGrpSpPr>
        <xdr:grpSpPr>
          <a:xfrm>
            <a:off x="3591175" y="8707120"/>
            <a:ext cx="1534886" cy="939918"/>
            <a:chOff x="3597219" y="6792687"/>
            <a:chExt cx="1527742" cy="939918"/>
          </a:xfrm>
        </xdr:grpSpPr>
        <xdr:cxnSp macro="">
          <xdr:nvCxnSpPr>
            <xdr:cNvPr id="24" name="直接箭头连接符 23">
              <a:extLst>
                <a:ext uri="{FF2B5EF4-FFF2-40B4-BE49-F238E27FC236}">
                  <a16:creationId xmlns:a16="http://schemas.microsoft.com/office/drawing/2014/main" id="{8111BB6D-43C7-3A85-FD72-D2FC74ED9409}"/>
                </a:ext>
              </a:extLst>
            </xdr:cNvPr>
            <xdr:cNvCxnSpPr/>
          </xdr:nvCxnSpPr>
          <xdr:spPr>
            <a:xfrm>
              <a:off x="4361815" y="7503548"/>
              <a:ext cx="4285" cy="229057"/>
            </a:xfrm>
            <a:prstGeom prst="straightConnector1">
              <a:avLst/>
            </a:prstGeom>
            <a:ln>
              <a:solidFill>
                <a:schemeClr val="tx2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25" name="组合 24">
              <a:extLst>
                <a:ext uri="{FF2B5EF4-FFF2-40B4-BE49-F238E27FC236}">
                  <a16:creationId xmlns:a16="http://schemas.microsoft.com/office/drawing/2014/main" id="{A36FEEA3-2574-364A-B87B-17C4D28D9DA6}"/>
                </a:ext>
              </a:extLst>
            </xdr:cNvPr>
            <xdr:cNvGrpSpPr/>
          </xdr:nvGrpSpPr>
          <xdr:grpSpPr>
            <a:xfrm>
              <a:off x="3597219" y="6792687"/>
              <a:ext cx="1527742" cy="691242"/>
              <a:chOff x="876300" y="6716487"/>
              <a:chExt cx="1534886" cy="691242"/>
            </a:xfrm>
          </xdr:grpSpPr>
          <xdr:sp macro="" textlink="">
            <xdr:nvSpPr>
              <xdr:cNvPr id="26" name="矩形 25">
                <a:extLst>
                  <a:ext uri="{FF2B5EF4-FFF2-40B4-BE49-F238E27FC236}">
                    <a16:creationId xmlns:a16="http://schemas.microsoft.com/office/drawing/2014/main" id="{4ECDD764-29DE-6935-62E7-4C91FD4603B2}"/>
                  </a:ext>
                </a:extLst>
              </xdr:cNvPr>
              <xdr:cNvSpPr/>
            </xdr:nvSpPr>
            <xdr:spPr>
              <a:xfrm>
                <a:off x="876300" y="6716487"/>
                <a:ext cx="1534886" cy="283028"/>
              </a:xfrm>
              <a:prstGeom prst="rect">
                <a:avLst/>
              </a:prstGeom>
              <a:solidFill>
                <a:schemeClr val="tx2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US" altLang="zh-CN" sz="1100" b="1"/>
                  <a:t>2040S</a:t>
                </a:r>
                <a:endParaRPr lang="zh-CN" altLang="en-US" sz="1100" b="1"/>
              </a:p>
            </xdr:txBody>
          </xdr:sp>
          <xdr:sp macro="" textlink="">
            <xdr:nvSpPr>
              <xdr:cNvPr id="27" name="矩形 26">
                <a:extLst>
                  <a:ext uri="{FF2B5EF4-FFF2-40B4-BE49-F238E27FC236}">
                    <a16:creationId xmlns:a16="http://schemas.microsoft.com/office/drawing/2014/main" id="{9A4A0A88-5554-A8EE-4C0D-0662F0C006E7}"/>
                  </a:ext>
                </a:extLst>
              </xdr:cNvPr>
              <xdr:cNvSpPr/>
            </xdr:nvSpPr>
            <xdr:spPr>
              <a:xfrm>
                <a:off x="881742" y="7004957"/>
                <a:ext cx="1529443" cy="402772"/>
              </a:xfrm>
              <a:prstGeom prst="rect">
                <a:avLst/>
              </a:prstGeom>
              <a:solidFill>
                <a:schemeClr val="bg1"/>
              </a:solidFill>
              <a:ln w="12700">
                <a:solidFill>
                  <a:schemeClr val="tx2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altLang="zh-CN" sz="700" b="1">
                    <a:solidFill>
                      <a:schemeClr val="tx2">
                        <a:lumMod val="75000"/>
                      </a:schemeClr>
                    </a:solidFill>
                  </a:rPr>
                  <a:t>Hybrid systems, large-scale storage</a:t>
                </a:r>
                <a:endParaRPr lang="zh-CN" altLang="en-US" sz="700" b="1">
                  <a:solidFill>
                    <a:schemeClr val="tx2">
                      <a:lumMod val="75000"/>
                    </a:schemeClr>
                  </a:solidFill>
                </a:endParaRPr>
              </a:p>
            </xdr:txBody>
          </xdr:sp>
        </xdr:grpSp>
      </xdr:grpSp>
      <xdr:grpSp>
        <xdr:nvGrpSpPr>
          <xdr:cNvPr id="31" name="组合 30">
            <a:extLst>
              <a:ext uri="{FF2B5EF4-FFF2-40B4-BE49-F238E27FC236}">
                <a16:creationId xmlns:a16="http://schemas.microsoft.com/office/drawing/2014/main" id="{D3C68093-29A1-86B9-D8AF-15E3C0AF943C}"/>
              </a:ext>
            </a:extLst>
          </xdr:cNvPr>
          <xdr:cNvGrpSpPr/>
        </xdr:nvGrpSpPr>
        <xdr:grpSpPr>
          <a:xfrm>
            <a:off x="3597036" y="9658155"/>
            <a:ext cx="1534886" cy="570230"/>
            <a:chOff x="876300" y="6716487"/>
            <a:chExt cx="1534886" cy="570230"/>
          </a:xfrm>
        </xdr:grpSpPr>
        <xdr:sp macro="" textlink="">
          <xdr:nvSpPr>
            <xdr:cNvPr id="32" name="矩形 31">
              <a:extLst>
                <a:ext uri="{FF2B5EF4-FFF2-40B4-BE49-F238E27FC236}">
                  <a16:creationId xmlns:a16="http://schemas.microsoft.com/office/drawing/2014/main" id="{8F2CDECD-A66D-9641-8F3F-BF6312C9276D}"/>
                </a:ext>
              </a:extLst>
            </xdr:cNvPr>
            <xdr:cNvSpPr/>
          </xdr:nvSpPr>
          <xdr:spPr>
            <a:xfrm>
              <a:off x="876300" y="6716487"/>
              <a:ext cx="1534886" cy="283028"/>
            </a:xfrm>
            <a:prstGeom prst="rect">
              <a:avLst/>
            </a:prstGeom>
            <a:solidFill>
              <a:schemeClr val="tx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 b="1"/>
                <a:t>2045</a:t>
              </a:r>
              <a:endParaRPr lang="zh-CN" altLang="en-US" sz="1100" b="1"/>
            </a:p>
          </xdr:txBody>
        </xdr:sp>
        <xdr:sp macro="" textlink="">
          <xdr:nvSpPr>
            <xdr:cNvPr id="33" name="矩形 32">
              <a:extLst>
                <a:ext uri="{FF2B5EF4-FFF2-40B4-BE49-F238E27FC236}">
                  <a16:creationId xmlns:a16="http://schemas.microsoft.com/office/drawing/2014/main" id="{CA6241E7-8940-7526-5FF8-511BC8794A85}"/>
                </a:ext>
              </a:extLst>
            </xdr:cNvPr>
            <xdr:cNvSpPr/>
          </xdr:nvSpPr>
          <xdr:spPr>
            <a:xfrm>
              <a:off x="881742" y="7004957"/>
              <a:ext cx="1529443" cy="28176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2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it-IT" altLang="zh-CN" sz="700" b="1">
                  <a:solidFill>
                    <a:schemeClr val="tx2">
                      <a:lumMod val="75000"/>
                    </a:schemeClr>
                  </a:solidFill>
                </a:rPr>
                <a:t>Net Zero goal achieved</a:t>
              </a:r>
              <a:endParaRPr lang="zh-CN" altLang="en-US" sz="70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280147</xdr:colOff>
      <xdr:row>53</xdr:row>
      <xdr:rowOff>51547</xdr:rowOff>
    </xdr:from>
    <xdr:to>
      <xdr:col>2</xdr:col>
      <xdr:colOff>363070</xdr:colOff>
      <xdr:row>61</xdr:row>
      <xdr:rowOff>30255</xdr:rowOff>
    </xdr:to>
    <xdr:grpSp>
      <xdr:nvGrpSpPr>
        <xdr:cNvPr id="47" name="组合 46">
          <a:extLst>
            <a:ext uri="{FF2B5EF4-FFF2-40B4-BE49-F238E27FC236}">
              <a16:creationId xmlns:a16="http://schemas.microsoft.com/office/drawing/2014/main" id="{227B2FFF-A148-D918-AC25-FC25564EA7FC}"/>
            </a:ext>
          </a:extLst>
        </xdr:cNvPr>
        <xdr:cNvGrpSpPr/>
      </xdr:nvGrpSpPr>
      <xdr:grpSpPr>
        <a:xfrm>
          <a:off x="280147" y="9853915"/>
          <a:ext cx="1966587" cy="1441748"/>
          <a:chOff x="560294" y="10136841"/>
          <a:chExt cx="3321423" cy="1502708"/>
        </a:xfrm>
      </xdr:grpSpPr>
      <xdr:cxnSp macro="">
        <xdr:nvCxnSpPr>
          <xdr:cNvPr id="44" name="直接箭头连接符 43">
            <a:extLst>
              <a:ext uri="{FF2B5EF4-FFF2-40B4-BE49-F238E27FC236}">
                <a16:creationId xmlns:a16="http://schemas.microsoft.com/office/drawing/2014/main" id="{F4AECC1C-02CB-21B8-0C88-216BEFC4635C}"/>
              </a:ext>
            </a:extLst>
          </xdr:cNvPr>
          <xdr:cNvCxnSpPr>
            <a:stCxn id="37" idx="2"/>
            <a:endCxn id="42" idx="0"/>
          </xdr:cNvCxnSpPr>
        </xdr:nvCxnSpPr>
        <xdr:spPr>
          <a:xfrm flipH="1">
            <a:off x="2485185" y="10668000"/>
            <a:ext cx="2241" cy="411816"/>
          </a:xfrm>
          <a:prstGeom prst="straightConnector1">
            <a:avLst/>
          </a:prstGeom>
          <a:ln>
            <a:solidFill>
              <a:schemeClr val="tx2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6" name="组合 45">
            <a:extLst>
              <a:ext uri="{FF2B5EF4-FFF2-40B4-BE49-F238E27FC236}">
                <a16:creationId xmlns:a16="http://schemas.microsoft.com/office/drawing/2014/main" id="{CE5AF140-9A1A-D1AC-156B-D976D56501B8}"/>
              </a:ext>
            </a:extLst>
          </xdr:cNvPr>
          <xdr:cNvGrpSpPr/>
        </xdr:nvGrpSpPr>
        <xdr:grpSpPr>
          <a:xfrm>
            <a:off x="560294" y="10136841"/>
            <a:ext cx="3321423" cy="1502708"/>
            <a:chOff x="560294" y="10136841"/>
            <a:chExt cx="3321423" cy="1502708"/>
          </a:xfrm>
        </xdr:grpSpPr>
        <xdr:grpSp>
          <xdr:nvGrpSpPr>
            <xdr:cNvPr id="39" name="组合 38">
              <a:extLst>
                <a:ext uri="{FF2B5EF4-FFF2-40B4-BE49-F238E27FC236}">
                  <a16:creationId xmlns:a16="http://schemas.microsoft.com/office/drawing/2014/main" id="{6C63DD38-2945-D910-3970-ECC00F0BC1E0}"/>
                </a:ext>
              </a:extLst>
            </xdr:cNvPr>
            <xdr:cNvGrpSpPr/>
          </xdr:nvGrpSpPr>
          <xdr:grpSpPr>
            <a:xfrm>
              <a:off x="560294" y="10136841"/>
              <a:ext cx="3204883" cy="582706"/>
              <a:chOff x="560294" y="10136841"/>
              <a:chExt cx="3195358" cy="582706"/>
            </a:xfrm>
          </xdr:grpSpPr>
          <xdr:pic>
            <xdr:nvPicPr>
              <xdr:cNvPr id="36" name="图形 35" descr="收据 纯色填充">
                <a:extLst>
                  <a:ext uri="{FF2B5EF4-FFF2-40B4-BE49-F238E27FC236}">
                    <a16:creationId xmlns:a16="http://schemas.microsoft.com/office/drawing/2014/main" id="{71C09FDB-FC18-C6B4-BDF0-D0D6AF8D823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560294" y="10136841"/>
                <a:ext cx="582706" cy="582706"/>
              </a:xfrm>
              <a:prstGeom prst="rect">
                <a:avLst/>
              </a:prstGeom>
            </xdr:spPr>
          </xdr:pic>
          <xdr:sp macro="" textlink="">
            <xdr:nvSpPr>
              <xdr:cNvPr id="37" name="矩形 36">
                <a:extLst>
                  <a:ext uri="{FF2B5EF4-FFF2-40B4-BE49-F238E27FC236}">
                    <a16:creationId xmlns:a16="http://schemas.microsoft.com/office/drawing/2014/main" id="{13BF7CFE-BFBF-88C8-B3B4-D37A678C200F}"/>
                  </a:ext>
                </a:extLst>
              </xdr:cNvPr>
              <xdr:cNvSpPr/>
            </xdr:nvSpPr>
            <xdr:spPr>
              <a:xfrm>
                <a:off x="1210235" y="10186147"/>
                <a:ext cx="2545417" cy="481853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altLang="zh-CN" sz="1100" b="1">
                    <a:solidFill>
                      <a:schemeClr val="tx2">
                        <a:lumMod val="75000"/>
                      </a:schemeClr>
                    </a:solidFill>
                  </a:rPr>
                  <a:t>Contracted Generation (PPAs)</a:t>
                </a:r>
              </a:p>
              <a:p>
                <a:pPr algn="ctr"/>
                <a:r>
                  <a:rPr lang="it-IT" altLang="zh-CN" sz="1100" b="1">
                    <a:solidFill>
                      <a:srgbClr val="9E8C05"/>
                    </a:solidFill>
                  </a:rPr>
                  <a:t>Stable Cash Flow</a:t>
                </a:r>
                <a:endParaRPr lang="zh-CN" altLang="en-US" sz="1100" b="1">
                  <a:solidFill>
                    <a:srgbClr val="9E8C05"/>
                  </a:solidFill>
                </a:endParaRPr>
              </a:p>
            </xdr:txBody>
          </xdr:sp>
        </xdr:grpSp>
        <xdr:pic>
          <xdr:nvPicPr>
            <xdr:cNvPr id="41" name="图形 40" descr="贷款 纯色填充">
              <a:extLst>
                <a:ext uri="{FF2B5EF4-FFF2-40B4-BE49-F238E27FC236}">
                  <a16:creationId xmlns:a16="http://schemas.microsoft.com/office/drawing/2014/main" id="{A80B9858-870B-4A5C-999D-1D0C9DA648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581025" y="11039474"/>
              <a:ext cx="600075" cy="600075"/>
            </a:xfrm>
            <a:prstGeom prst="rect">
              <a:avLst/>
            </a:prstGeom>
          </xdr:spPr>
        </xdr:pic>
        <xdr:sp macro="" textlink="">
          <xdr:nvSpPr>
            <xdr:cNvPr id="42" name="矩形 41">
              <a:extLst>
                <a:ext uri="{FF2B5EF4-FFF2-40B4-BE49-F238E27FC236}">
                  <a16:creationId xmlns:a16="http://schemas.microsoft.com/office/drawing/2014/main" id="{0F737E72-6D72-427A-A549-076F48DA7524}"/>
                </a:ext>
              </a:extLst>
            </xdr:cNvPr>
            <xdr:cNvSpPr/>
          </xdr:nvSpPr>
          <xdr:spPr>
            <a:xfrm>
              <a:off x="1207994" y="11079816"/>
              <a:ext cx="2554942" cy="48185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it-IT" altLang="zh-CN" sz="1100" b="1">
                  <a:solidFill>
                    <a:schemeClr val="tx2">
                      <a:lumMod val="75000"/>
                    </a:schemeClr>
                  </a:solidFill>
                </a:rPr>
                <a:t>Merchant &amp; Optimization Segment</a:t>
              </a:r>
            </a:p>
            <a:p>
              <a:pPr algn="ctr"/>
              <a:r>
                <a:rPr lang="it-IT" altLang="zh-CN" sz="1100" b="1">
                  <a:solidFill>
                    <a:srgbClr val="9E8C05"/>
                  </a:solidFill>
                </a:rPr>
                <a:t>Market Upside</a:t>
              </a:r>
              <a:endParaRPr lang="zh-CN" altLang="en-US" sz="1100" b="1">
                <a:solidFill>
                  <a:srgbClr val="9E8C05"/>
                </a:solidFill>
              </a:endParaRPr>
            </a:p>
          </xdr:txBody>
        </xdr:sp>
        <xdr:sp macro="" textlink="">
          <xdr:nvSpPr>
            <xdr:cNvPr id="45" name="文本框 44">
              <a:extLst>
                <a:ext uri="{FF2B5EF4-FFF2-40B4-BE49-F238E27FC236}">
                  <a16:creationId xmlns:a16="http://schemas.microsoft.com/office/drawing/2014/main" id="{E6CE09D4-49B2-E2A2-D978-A801ED0A8782}"/>
                </a:ext>
              </a:extLst>
            </xdr:cNvPr>
            <xdr:cNvSpPr txBox="1"/>
          </xdr:nvSpPr>
          <xdr:spPr>
            <a:xfrm>
              <a:off x="2519081" y="10753725"/>
              <a:ext cx="1362636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altLang="zh-CN" sz="1100" b="1">
                  <a:solidFill>
                    <a:schemeClr val="tx2"/>
                  </a:solidFill>
                </a:rPr>
                <a:t>Balanced Cash Flow</a:t>
              </a:r>
              <a:endParaRPr lang="zh-CN" altLang="en-US" sz="1100" b="1">
                <a:solidFill>
                  <a:schemeClr val="tx2"/>
                </a:solidFill>
              </a:endParaRPr>
            </a:p>
          </xdr:txBody>
        </xdr:sp>
      </xdr:grpSp>
    </xdr:grpSp>
    <xdr:clientData/>
  </xdr:twoCellAnchor>
  <xdr:twoCellAnchor editAs="oneCell">
    <xdr:from>
      <xdr:col>4</xdr:col>
      <xdr:colOff>0</xdr:colOff>
      <xdr:row>7</xdr:row>
      <xdr:rowOff>152400</xdr:rowOff>
    </xdr:from>
    <xdr:to>
      <xdr:col>8</xdr:col>
      <xdr:colOff>744630</xdr:colOff>
      <xdr:row>28</xdr:row>
      <xdr:rowOff>38664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563FA203-21EF-7372-C499-EA2E8DC57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duotone>
            <a:schemeClr val="accent1">
              <a:shade val="45000"/>
              <a:satMod val="135000"/>
            </a:schemeClr>
            <a:prstClr val="white"/>
          </a:duotone>
          <a:alphaModFix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36000"/>
                  </a14:imgEffect>
                  <a14:imgEffect>
                    <a14:colorTemperature colorTemp="115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764" r="1020"/>
        <a:stretch>
          <a:fillRect/>
        </a:stretch>
      </xdr:blipFill>
      <xdr:spPr>
        <a:xfrm>
          <a:off x="4448175" y="1571625"/>
          <a:ext cx="4543425" cy="3896289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30</xdr:row>
      <xdr:rowOff>47624</xdr:rowOff>
    </xdr:from>
    <xdr:to>
      <xdr:col>10</xdr:col>
      <xdr:colOff>272863</xdr:colOff>
      <xdr:row>45</xdr:row>
      <xdr:rowOff>76199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F1959D8A-1394-6515-9B5F-1B0D75157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7" t="1780" r="23545" b="8318"/>
        <a:stretch>
          <a:fillRect/>
        </a:stretch>
      </xdr:blipFill>
      <xdr:spPr>
        <a:xfrm>
          <a:off x="5362575" y="5848349"/>
          <a:ext cx="4600575" cy="2886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10</xdr:col>
      <xdr:colOff>392430</xdr:colOff>
      <xdr:row>64</xdr:row>
      <xdr:rowOff>90887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F70A4682-780C-22C3-1630-13EA857C9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2938" y="9429750"/>
          <a:ext cx="5620534" cy="2953162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72</xdr:row>
      <xdr:rowOff>33337</xdr:rowOff>
    </xdr:from>
    <xdr:to>
      <xdr:col>6</xdr:col>
      <xdr:colOff>571500</xdr:colOff>
      <xdr:row>86</xdr:row>
      <xdr:rowOff>109537</xdr:rowOff>
    </xdr:to>
    <xdr:grpSp>
      <xdr:nvGrpSpPr>
        <xdr:cNvPr id="8198" name="组合 8197">
          <a:extLst>
            <a:ext uri="{FF2B5EF4-FFF2-40B4-BE49-F238E27FC236}">
              <a16:creationId xmlns:a16="http://schemas.microsoft.com/office/drawing/2014/main" id="{717AEE20-05B2-967F-980C-0EAF484B95FA}"/>
            </a:ext>
          </a:extLst>
        </xdr:cNvPr>
        <xdr:cNvGrpSpPr/>
      </xdr:nvGrpSpPr>
      <xdr:grpSpPr>
        <a:xfrm>
          <a:off x="5597271" y="14468665"/>
          <a:ext cx="2825877" cy="2636520"/>
          <a:chOff x="4857336" y="13832163"/>
          <a:chExt cx="4591199" cy="2743200"/>
        </a:xfrm>
      </xdr:grpSpPr>
      <xdr:graphicFrame macro="">
        <xdr:nvGraphicFramePr>
          <xdr:cNvPr id="8192" name="图表 8191">
            <a:extLst>
              <a:ext uri="{FF2B5EF4-FFF2-40B4-BE49-F238E27FC236}">
                <a16:creationId xmlns:a16="http://schemas.microsoft.com/office/drawing/2014/main" id="{DDB11774-D2AA-2763-120D-E564A54853DA}"/>
              </a:ext>
            </a:extLst>
          </xdr:cNvPr>
          <xdr:cNvGraphicFramePr/>
        </xdr:nvGraphicFramePr>
        <xdr:xfrm>
          <a:off x="4857336" y="13832163"/>
          <a:ext cx="4575313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8193" name="文本框 8192">
            <a:extLst>
              <a:ext uri="{FF2B5EF4-FFF2-40B4-BE49-F238E27FC236}">
                <a16:creationId xmlns:a16="http://schemas.microsoft.com/office/drawing/2014/main" id="{46FC0532-F97B-F435-2A93-322097F03D9A}"/>
              </a:ext>
            </a:extLst>
          </xdr:cNvPr>
          <xdr:cNvSpPr txBox="1"/>
        </xdr:nvSpPr>
        <xdr:spPr>
          <a:xfrm>
            <a:off x="5888935" y="14408427"/>
            <a:ext cx="1351379" cy="361950"/>
          </a:xfrm>
          <a:prstGeom prst="rect">
            <a:avLst/>
          </a:prstGeom>
          <a:noFill/>
          <a:ln w="12700" cmpd="sng">
            <a:solidFill>
              <a:schemeClr val="tx2">
                <a:lumMod val="75000"/>
              </a:schemeClr>
            </a:solidFill>
            <a:prstDash val="sysDash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 b="1">
                <a:solidFill>
                  <a:schemeClr val="tx1"/>
                </a:solidFill>
              </a:rPr>
              <a:t>-29%</a:t>
            </a:r>
            <a:endParaRPr lang="zh-CN" altLang="en-US" sz="1100" b="1">
              <a:solidFill>
                <a:schemeClr val="tx1"/>
              </a:solidFill>
            </a:endParaRPr>
          </a:p>
        </xdr:txBody>
      </xdr:sp>
      <xdr:sp macro="" textlink="">
        <xdr:nvSpPr>
          <xdr:cNvPr id="8196" name="文本框 8195">
            <a:extLst>
              <a:ext uri="{FF2B5EF4-FFF2-40B4-BE49-F238E27FC236}">
                <a16:creationId xmlns:a16="http://schemas.microsoft.com/office/drawing/2014/main" id="{ACF62864-23BA-4FDE-8E46-A0D8D8339CEA}"/>
              </a:ext>
            </a:extLst>
          </xdr:cNvPr>
          <xdr:cNvSpPr txBox="1"/>
        </xdr:nvSpPr>
        <xdr:spPr>
          <a:xfrm>
            <a:off x="7818050" y="14785044"/>
            <a:ext cx="963252" cy="232982"/>
          </a:xfrm>
          <a:prstGeom prst="rect">
            <a:avLst/>
          </a:prstGeom>
          <a:noFill/>
          <a:ln w="12700" cmpd="sng">
            <a:solidFill>
              <a:schemeClr val="tx2">
                <a:lumMod val="75000"/>
              </a:schemeClr>
            </a:solidFill>
            <a:prstDash val="sysDash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 b="1">
                <a:solidFill>
                  <a:schemeClr val="tx1"/>
                </a:solidFill>
              </a:rPr>
              <a:t>+78%</a:t>
            </a:r>
            <a:endParaRPr lang="zh-CN" altLang="en-US" sz="1100" b="1">
              <a:solidFill>
                <a:schemeClr val="tx1"/>
              </a:solidFill>
            </a:endParaRPr>
          </a:p>
        </xdr:txBody>
      </xdr:sp>
      <xdr:sp macro="" textlink="">
        <xdr:nvSpPr>
          <xdr:cNvPr id="8197" name="文本框 8196">
            <a:extLst>
              <a:ext uri="{FF2B5EF4-FFF2-40B4-BE49-F238E27FC236}">
                <a16:creationId xmlns:a16="http://schemas.microsoft.com/office/drawing/2014/main" id="{FFFBFAF2-58DA-44BE-875D-69BA6E5E8743}"/>
              </a:ext>
            </a:extLst>
          </xdr:cNvPr>
          <xdr:cNvSpPr txBox="1"/>
        </xdr:nvSpPr>
        <xdr:spPr>
          <a:xfrm>
            <a:off x="8660423" y="14962533"/>
            <a:ext cx="788112" cy="388868"/>
          </a:xfrm>
          <a:prstGeom prst="rect">
            <a:avLst/>
          </a:prstGeom>
          <a:noFill/>
          <a:ln w="12700" cmpd="sng">
            <a:solidFill>
              <a:schemeClr val="tx2">
                <a:lumMod val="75000"/>
              </a:schemeClr>
            </a:solidFill>
            <a:prstDash val="sysDash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 b="1">
                <a:solidFill>
                  <a:schemeClr val="tx1"/>
                </a:solidFill>
              </a:rPr>
              <a:t>-3%</a:t>
            </a:r>
            <a:endParaRPr lang="zh-CN" altLang="en-US" sz="11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7</xdr:col>
      <xdr:colOff>348182</xdr:colOff>
      <xdr:row>77</xdr:row>
      <xdr:rowOff>187619</xdr:rowOff>
    </xdr:from>
    <xdr:to>
      <xdr:col>11</xdr:col>
      <xdr:colOff>441442</xdr:colOff>
      <xdr:row>80</xdr:row>
      <xdr:rowOff>97972</xdr:rowOff>
    </xdr:to>
    <xdr:sp macro="" textlink="">
      <xdr:nvSpPr>
        <xdr:cNvPr id="8199" name="矩形 8198">
          <a:extLst>
            <a:ext uri="{FF2B5EF4-FFF2-40B4-BE49-F238E27FC236}">
              <a16:creationId xmlns:a16="http://schemas.microsoft.com/office/drawing/2014/main" id="{3BE2BF62-C7FF-4E39-AC7A-14B7BE7208CA}"/>
            </a:ext>
          </a:extLst>
        </xdr:cNvPr>
        <xdr:cNvSpPr/>
      </xdr:nvSpPr>
      <xdr:spPr>
        <a:xfrm>
          <a:off x="9832361" y="14937762"/>
          <a:ext cx="2542545" cy="48185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altLang="zh-CN" sz="1100" b="1">
              <a:solidFill>
                <a:schemeClr val="tx2">
                  <a:lumMod val="75000"/>
                </a:schemeClr>
              </a:solidFill>
            </a:rPr>
            <a:t>"US growth and contractedness drives stability in our portfolio"</a:t>
          </a:r>
          <a:endParaRPr lang="zh-CN" altLang="en-US" sz="1100" b="1">
            <a:solidFill>
              <a:srgbClr val="9E8C05"/>
            </a:solidFill>
          </a:endParaRPr>
        </a:p>
      </xdr:txBody>
    </xdr:sp>
    <xdr:clientData/>
  </xdr:twoCellAnchor>
  <xdr:twoCellAnchor editAs="oneCell">
    <xdr:from>
      <xdr:col>4</xdr:col>
      <xdr:colOff>71437</xdr:colOff>
      <xdr:row>92</xdr:row>
      <xdr:rowOff>13728</xdr:rowOff>
    </xdr:from>
    <xdr:to>
      <xdr:col>12</xdr:col>
      <xdr:colOff>45583</xdr:colOff>
      <xdr:row>112</xdr:row>
      <xdr:rowOff>128588</xdr:rowOff>
    </xdr:to>
    <xdr:pic>
      <xdr:nvPicPr>
        <xdr:cNvPr id="50" name="图片 8202">
          <a:extLst>
            <a:ext uri="{FF2B5EF4-FFF2-40B4-BE49-F238E27FC236}">
              <a16:creationId xmlns:a16="http://schemas.microsoft.com/office/drawing/2014/main" id="{02B31028-210F-33D4-A2C4-D41125023254}"/>
            </a:ext>
            <a:ext uri="{147F2762-F138-4A5C-976F-8EAC2B608ADB}">
              <a16:predDERef xmlns:a16="http://schemas.microsoft.com/office/drawing/2014/main" pred="{3BE2BF62-C7FF-4E39-AC7A-14B7BE720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41" b="32205"/>
        <a:stretch>
          <a:fillRect/>
        </a:stretch>
      </xdr:blipFill>
      <xdr:spPr>
        <a:xfrm>
          <a:off x="5119687" y="18825603"/>
          <a:ext cx="8832396" cy="4115360"/>
        </a:xfrm>
        <a:prstGeom prst="rect">
          <a:avLst/>
        </a:prstGeom>
      </xdr:spPr>
    </xdr:pic>
    <xdr:clientData/>
  </xdr:twoCellAnchor>
  <xdr:twoCellAnchor>
    <xdr:from>
      <xdr:col>7</xdr:col>
      <xdr:colOff>112451</xdr:colOff>
      <xdr:row>110</xdr:row>
      <xdr:rowOff>98754</xdr:rowOff>
    </xdr:from>
    <xdr:to>
      <xdr:col>12</xdr:col>
      <xdr:colOff>112452</xdr:colOff>
      <xdr:row>127</xdr:row>
      <xdr:rowOff>83144</xdr:rowOff>
    </xdr:to>
    <xdr:grpSp>
      <xdr:nvGrpSpPr>
        <xdr:cNvPr id="55" name="组合 54">
          <a:extLst>
            <a:ext uri="{FF2B5EF4-FFF2-40B4-BE49-F238E27FC236}">
              <a16:creationId xmlns:a16="http://schemas.microsoft.com/office/drawing/2014/main" id="{4502AF9C-5180-487E-7F92-11CC8DC4356D}"/>
            </a:ext>
          </a:extLst>
        </xdr:cNvPr>
        <xdr:cNvGrpSpPr/>
      </xdr:nvGrpSpPr>
      <xdr:grpSpPr>
        <a:xfrm>
          <a:off x="10408595" y="21666402"/>
          <a:ext cx="3901441" cy="3166502"/>
          <a:chOff x="11293336" y="22365273"/>
          <a:chExt cx="3040674" cy="3252198"/>
        </a:xfrm>
      </xdr:grpSpPr>
      <xdr:grpSp>
        <xdr:nvGrpSpPr>
          <xdr:cNvPr id="28" name="组合 27">
            <a:extLst>
              <a:ext uri="{FF2B5EF4-FFF2-40B4-BE49-F238E27FC236}">
                <a16:creationId xmlns:a16="http://schemas.microsoft.com/office/drawing/2014/main" id="{2566A29E-37EE-C0ED-47AD-402A6D8DAA1F}"/>
              </a:ext>
            </a:extLst>
          </xdr:cNvPr>
          <xdr:cNvGrpSpPr/>
        </xdr:nvGrpSpPr>
        <xdr:grpSpPr>
          <a:xfrm>
            <a:off x="11296650" y="22365273"/>
            <a:ext cx="3029077" cy="1639464"/>
            <a:chOff x="11300791" y="21990325"/>
            <a:chExt cx="4712805" cy="1998484"/>
          </a:xfrm>
        </xdr:grpSpPr>
        <xdr:grpSp>
          <xdr:nvGrpSpPr>
            <xdr:cNvPr id="6" name="组合 5">
              <a:extLst>
                <a:ext uri="{FF2B5EF4-FFF2-40B4-BE49-F238E27FC236}">
                  <a16:creationId xmlns:a16="http://schemas.microsoft.com/office/drawing/2014/main" id="{CCD782D7-0DAF-B330-E88D-0FB7C17B055C}"/>
                </a:ext>
              </a:extLst>
            </xdr:cNvPr>
            <xdr:cNvGrpSpPr/>
          </xdr:nvGrpSpPr>
          <xdr:grpSpPr>
            <a:xfrm>
              <a:off x="11300791" y="21990326"/>
              <a:ext cx="2344156" cy="1998483"/>
              <a:chOff x="11268075" y="22012275"/>
              <a:chExt cx="2330904" cy="2003452"/>
            </a:xfrm>
          </xdr:grpSpPr>
          <xdr:graphicFrame macro="">
            <xdr:nvGraphicFramePr>
              <xdr:cNvPr id="8226" name="图表 8203">
                <a:extLst>
                  <a:ext uri="{FF2B5EF4-FFF2-40B4-BE49-F238E27FC236}">
                    <a16:creationId xmlns:a16="http://schemas.microsoft.com/office/drawing/2014/main" id="{9ACF8088-5EB2-9E32-9F31-2B1E6B704EE3}"/>
                  </a:ext>
                </a:extLst>
              </xdr:cNvPr>
              <xdr:cNvGraphicFramePr/>
            </xdr:nvGraphicFramePr>
            <xdr:xfrm>
              <a:off x="11268075" y="22012275"/>
              <a:ext cx="2330904" cy="200345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xdr:graphicFrame>
          <xdr:cxnSp macro="">
            <xdr:nvCxnSpPr>
              <xdr:cNvPr id="8229" name="直接箭头连接符 8205">
                <a:extLst>
                  <a:ext uri="{FF2B5EF4-FFF2-40B4-BE49-F238E27FC236}">
                    <a16:creationId xmlns:a16="http://schemas.microsoft.com/office/drawing/2014/main" id="{F2C93750-C912-7120-E494-BDB00DCE18AC}"/>
                  </a:ext>
                </a:extLst>
              </xdr:cNvPr>
              <xdr:cNvCxnSpPr/>
            </xdr:nvCxnSpPr>
            <xdr:spPr>
              <a:xfrm>
                <a:off x="12325941" y="22742578"/>
                <a:ext cx="518234" cy="620520"/>
              </a:xfrm>
              <a:prstGeom prst="straightConnector1">
                <a:avLst/>
              </a:prstGeom>
              <a:ln w="28575">
                <a:solidFill>
                  <a:srgbClr val="9E8C05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232" name="文本框 8206">
                <a:extLst>
                  <a:ext uri="{FF2B5EF4-FFF2-40B4-BE49-F238E27FC236}">
                    <a16:creationId xmlns:a16="http://schemas.microsoft.com/office/drawing/2014/main" id="{63D38869-92F1-666A-070C-D47C16A1DF42}"/>
                  </a:ext>
                </a:extLst>
              </xdr:cNvPr>
              <xdr:cNvSpPr txBox="1"/>
            </xdr:nvSpPr>
            <xdr:spPr>
              <a:xfrm>
                <a:off x="12535791" y="22748731"/>
                <a:ext cx="834425" cy="41229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zh-CN" sz="600" b="1"/>
                  <a:t>44%</a:t>
                </a:r>
                <a:r>
                  <a:rPr lang="en-US" altLang="zh-CN" sz="600" b="1" baseline="0"/>
                  <a:t> reduction</a:t>
                </a:r>
                <a:endParaRPr lang="zh-CN" altLang="en-US" sz="600" b="1"/>
              </a:p>
            </xdr:txBody>
          </xdr:sp>
        </xdr:grpSp>
        <xdr:grpSp>
          <xdr:nvGrpSpPr>
            <xdr:cNvPr id="13" name="组合 12">
              <a:extLst>
                <a:ext uri="{FF2B5EF4-FFF2-40B4-BE49-F238E27FC236}">
                  <a16:creationId xmlns:a16="http://schemas.microsoft.com/office/drawing/2014/main" id="{BCB83521-FA1C-42A5-2B76-AACE30522FCB}"/>
                </a:ext>
              </a:extLst>
            </xdr:cNvPr>
            <xdr:cNvGrpSpPr/>
          </xdr:nvGrpSpPr>
          <xdr:grpSpPr>
            <a:xfrm>
              <a:off x="13657193" y="21990325"/>
              <a:ext cx="2356403" cy="1985757"/>
              <a:chOff x="13657193" y="21990325"/>
              <a:chExt cx="2356403" cy="1985757"/>
            </a:xfrm>
          </xdr:grpSpPr>
          <xdr:graphicFrame macro="">
            <xdr:nvGraphicFramePr>
              <xdr:cNvPr id="2" name="图表 1">
                <a:extLst>
                  <a:ext uri="{FF2B5EF4-FFF2-40B4-BE49-F238E27FC236}">
                    <a16:creationId xmlns:a16="http://schemas.microsoft.com/office/drawing/2014/main" id="{BFC825A3-5AC9-38A9-5471-B9322CFCC5A4}"/>
                  </a:ext>
                </a:extLst>
              </xdr:cNvPr>
              <xdr:cNvGraphicFramePr/>
            </xdr:nvGraphicFramePr>
            <xdr:xfrm>
              <a:off x="13657193" y="21990325"/>
              <a:ext cx="2356403" cy="198575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  <xdr:cxnSp macro="">
            <xdr:nvCxnSpPr>
              <xdr:cNvPr id="7" name="直接箭头连接符 8205">
                <a:extLst>
                  <a:ext uri="{FF2B5EF4-FFF2-40B4-BE49-F238E27FC236}">
                    <a16:creationId xmlns:a16="http://schemas.microsoft.com/office/drawing/2014/main" id="{3CEBD3F6-58DA-4E67-AED1-2DB520655D7B}"/>
                  </a:ext>
                </a:extLst>
              </xdr:cNvPr>
              <xdr:cNvCxnSpPr/>
            </xdr:nvCxnSpPr>
            <xdr:spPr>
              <a:xfrm flipV="1">
                <a:off x="14643652" y="22543958"/>
                <a:ext cx="510933" cy="489977"/>
              </a:xfrm>
              <a:prstGeom prst="straightConnector1">
                <a:avLst/>
              </a:prstGeom>
              <a:ln w="28575">
                <a:solidFill>
                  <a:srgbClr val="9E8C05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文本框 8206">
                <a:extLst>
                  <a:ext uri="{FF2B5EF4-FFF2-40B4-BE49-F238E27FC236}">
                    <a16:creationId xmlns:a16="http://schemas.microsoft.com/office/drawing/2014/main" id="{3428F521-ED03-4263-A025-770C2AE0660F}"/>
                  </a:ext>
                </a:extLst>
              </xdr:cNvPr>
              <xdr:cNvSpPr txBox="1"/>
            </xdr:nvSpPr>
            <xdr:spPr>
              <a:xfrm>
                <a:off x="14195469" y="22695502"/>
                <a:ext cx="576470" cy="4112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zh-CN" sz="600" b="1"/>
                  <a:t>11%</a:t>
                </a:r>
                <a:r>
                  <a:rPr lang="en-US" altLang="zh-CN" sz="600" b="1" baseline="0"/>
                  <a:t> </a:t>
                </a:r>
              </a:p>
              <a:p>
                <a:r>
                  <a:rPr lang="en-US" altLang="zh-CN" sz="600" b="1" baseline="0"/>
                  <a:t>CAGR</a:t>
                </a:r>
                <a:endParaRPr lang="zh-CN" altLang="en-US" sz="600" b="1"/>
              </a:p>
            </xdr:txBody>
          </xdr:sp>
        </xdr:grpSp>
      </xdr:grpSp>
      <xdr:grpSp>
        <xdr:nvGrpSpPr>
          <xdr:cNvPr id="54" name="组合 53">
            <a:extLst>
              <a:ext uri="{FF2B5EF4-FFF2-40B4-BE49-F238E27FC236}">
                <a16:creationId xmlns:a16="http://schemas.microsoft.com/office/drawing/2014/main" id="{FE9EF1D5-5683-226D-BA43-ED4161154D53}"/>
              </a:ext>
            </a:extLst>
          </xdr:cNvPr>
          <xdr:cNvGrpSpPr/>
        </xdr:nvGrpSpPr>
        <xdr:grpSpPr>
          <a:xfrm>
            <a:off x="11293336" y="24002362"/>
            <a:ext cx="3040674" cy="1615109"/>
            <a:chOff x="11293336" y="24002362"/>
            <a:chExt cx="3040674" cy="1615109"/>
          </a:xfrm>
        </xdr:grpSpPr>
        <xdr:grpSp>
          <xdr:nvGrpSpPr>
            <xdr:cNvPr id="52" name="组合 51">
              <a:extLst>
                <a:ext uri="{FF2B5EF4-FFF2-40B4-BE49-F238E27FC236}">
                  <a16:creationId xmlns:a16="http://schemas.microsoft.com/office/drawing/2014/main" id="{2F585124-84C9-F70F-7602-DACC39A873E3}"/>
                </a:ext>
              </a:extLst>
            </xdr:cNvPr>
            <xdr:cNvGrpSpPr/>
          </xdr:nvGrpSpPr>
          <xdr:grpSpPr>
            <a:xfrm>
              <a:off x="11293336" y="24002362"/>
              <a:ext cx="1526231" cy="1611796"/>
              <a:chOff x="11293336" y="24002362"/>
              <a:chExt cx="1526231" cy="1611796"/>
            </a:xfrm>
          </xdr:grpSpPr>
          <xdr:graphicFrame macro="">
            <xdr:nvGraphicFramePr>
              <xdr:cNvPr id="35" name="图表 34">
                <a:extLst>
                  <a:ext uri="{FF2B5EF4-FFF2-40B4-BE49-F238E27FC236}">
                    <a16:creationId xmlns:a16="http://schemas.microsoft.com/office/drawing/2014/main" id="{65AC542E-00A0-7E31-B3F1-108869195D30}"/>
                  </a:ext>
                </a:extLst>
              </xdr:cNvPr>
              <xdr:cNvGraphicFramePr/>
            </xdr:nvGraphicFramePr>
            <xdr:xfrm>
              <a:off x="11293336" y="24002362"/>
              <a:ext cx="1526231" cy="161179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cxnSp macro="">
            <xdr:nvCxnSpPr>
              <xdr:cNvPr id="38" name="直接箭头连接符 8205">
                <a:extLst>
                  <a:ext uri="{FF2B5EF4-FFF2-40B4-BE49-F238E27FC236}">
                    <a16:creationId xmlns:a16="http://schemas.microsoft.com/office/drawing/2014/main" id="{4803B9CD-0236-48AD-AEC7-0773856871DC}"/>
                  </a:ext>
                </a:extLst>
              </xdr:cNvPr>
              <xdr:cNvCxnSpPr/>
            </xdr:nvCxnSpPr>
            <xdr:spPr>
              <a:xfrm flipV="1">
                <a:off x="11904784" y="24651273"/>
                <a:ext cx="328394" cy="401954"/>
              </a:xfrm>
              <a:prstGeom prst="straightConnector1">
                <a:avLst/>
              </a:prstGeom>
              <a:ln w="28575">
                <a:solidFill>
                  <a:srgbClr val="9E8C05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0" name="文本框 8206">
                <a:extLst>
                  <a:ext uri="{FF2B5EF4-FFF2-40B4-BE49-F238E27FC236}">
                    <a16:creationId xmlns:a16="http://schemas.microsoft.com/office/drawing/2014/main" id="{371615E0-C980-4B90-B5BD-8B8DC4CE4A53}"/>
                  </a:ext>
                </a:extLst>
              </xdr:cNvPr>
              <xdr:cNvSpPr txBox="1"/>
            </xdr:nvSpPr>
            <xdr:spPr>
              <a:xfrm>
                <a:off x="11598520" y="24636619"/>
                <a:ext cx="464302" cy="33738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zh-CN" sz="600" b="1"/>
                  <a:t>45%</a:t>
                </a:r>
                <a:r>
                  <a:rPr lang="en-US" altLang="zh-CN" sz="600" b="1" baseline="0"/>
                  <a:t> </a:t>
                </a:r>
              </a:p>
              <a:p>
                <a:r>
                  <a:rPr lang="en-US" altLang="zh-CN" sz="600" b="1" baseline="0"/>
                  <a:t>increase</a:t>
                </a:r>
                <a:endParaRPr lang="zh-CN" altLang="en-US" sz="600" b="1"/>
              </a:p>
            </xdr:txBody>
          </xdr:sp>
        </xdr:grpSp>
        <xdr:grpSp>
          <xdr:nvGrpSpPr>
            <xdr:cNvPr id="53" name="组合 52">
              <a:extLst>
                <a:ext uri="{FF2B5EF4-FFF2-40B4-BE49-F238E27FC236}">
                  <a16:creationId xmlns:a16="http://schemas.microsoft.com/office/drawing/2014/main" id="{EE2473C5-BE89-4901-DAE4-127DF8C61AFF}"/>
                </a:ext>
              </a:extLst>
            </xdr:cNvPr>
            <xdr:cNvGrpSpPr/>
          </xdr:nvGrpSpPr>
          <xdr:grpSpPr>
            <a:xfrm>
              <a:off x="12811286" y="24002363"/>
              <a:ext cx="1522724" cy="1615108"/>
              <a:chOff x="12811286" y="24002363"/>
              <a:chExt cx="1522724" cy="1615108"/>
            </a:xfrm>
          </xdr:grpSpPr>
          <xdr:graphicFrame macro="">
            <xdr:nvGraphicFramePr>
              <xdr:cNvPr id="43" name="图表 42">
                <a:extLst>
                  <a:ext uri="{FF2B5EF4-FFF2-40B4-BE49-F238E27FC236}">
                    <a16:creationId xmlns:a16="http://schemas.microsoft.com/office/drawing/2014/main" id="{40D0E9CC-FD2D-03A6-FECA-47776D5D4A9D}"/>
                  </a:ext>
                </a:extLst>
              </xdr:cNvPr>
              <xdr:cNvGraphicFramePr/>
            </xdr:nvGraphicFramePr>
            <xdr:xfrm>
              <a:off x="12811286" y="24002363"/>
              <a:ext cx="1522724" cy="161510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6"/>
              </a:graphicData>
            </a:graphic>
          </xdr:graphicFrame>
          <xdr:cxnSp macro="">
            <xdr:nvCxnSpPr>
              <xdr:cNvPr id="48" name="直接箭头连接符 8205">
                <a:extLst>
                  <a:ext uri="{FF2B5EF4-FFF2-40B4-BE49-F238E27FC236}">
                    <a16:creationId xmlns:a16="http://schemas.microsoft.com/office/drawing/2014/main" id="{CF298B65-4168-45D0-9C67-1AA27FAF15C3}"/>
                  </a:ext>
                </a:extLst>
              </xdr:cNvPr>
              <xdr:cNvCxnSpPr/>
            </xdr:nvCxnSpPr>
            <xdr:spPr>
              <a:xfrm flipV="1">
                <a:off x="13502053" y="24611135"/>
                <a:ext cx="309197" cy="236938"/>
              </a:xfrm>
              <a:prstGeom prst="straightConnector1">
                <a:avLst/>
              </a:prstGeom>
              <a:ln w="28575">
                <a:solidFill>
                  <a:srgbClr val="9E8C05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1" name="文本框 8206">
                <a:extLst>
                  <a:ext uri="{FF2B5EF4-FFF2-40B4-BE49-F238E27FC236}">
                    <a16:creationId xmlns:a16="http://schemas.microsoft.com/office/drawing/2014/main" id="{A60496EB-D330-4C9F-B73C-FCCC98376E2E}"/>
                  </a:ext>
                </a:extLst>
              </xdr:cNvPr>
              <xdr:cNvSpPr txBox="1"/>
            </xdr:nvSpPr>
            <xdr:spPr>
              <a:xfrm>
                <a:off x="13289574" y="24497408"/>
                <a:ext cx="370517" cy="33738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zh-CN" sz="600" b="1"/>
                  <a:t>8%</a:t>
                </a:r>
                <a:r>
                  <a:rPr lang="en-US" altLang="zh-CN" sz="600" b="1" baseline="0"/>
                  <a:t> </a:t>
                </a:r>
              </a:p>
              <a:p>
                <a:r>
                  <a:rPr lang="en-US" altLang="zh-CN" sz="600" b="1" baseline="0"/>
                  <a:t>CAGR</a:t>
                </a:r>
                <a:endParaRPr lang="zh-CN" altLang="en-US" sz="600" b="1"/>
              </a:p>
            </xdr:txBody>
          </xdr:sp>
        </xdr:grpSp>
      </xdr:grpSp>
    </xdr:grpSp>
    <xdr:clientData/>
  </xdr:twoCellAnchor>
  <xdr:twoCellAnchor>
    <xdr:from>
      <xdr:col>7</xdr:col>
      <xdr:colOff>228920</xdr:colOff>
      <xdr:row>129</xdr:row>
      <xdr:rowOff>134792</xdr:rowOff>
    </xdr:from>
    <xdr:to>
      <xdr:col>11</xdr:col>
      <xdr:colOff>322180</xdr:colOff>
      <xdr:row>132</xdr:row>
      <xdr:rowOff>45145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856AB129-945D-41BC-BB24-F7FCD104A22A}"/>
            </a:ext>
          </a:extLst>
        </xdr:cNvPr>
        <xdr:cNvSpPr/>
      </xdr:nvSpPr>
      <xdr:spPr>
        <a:xfrm>
          <a:off x="11793391" y="24866174"/>
          <a:ext cx="2513730" cy="48185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altLang="zh-CN" sz="1100" b="1">
              <a:solidFill>
                <a:schemeClr val="tx2">
                  <a:lumMod val="75000"/>
                </a:schemeClr>
              </a:solidFill>
            </a:rPr>
            <a:t>"10-year total shareholder return CAGR of 12.5%"</a:t>
          </a:r>
          <a:endParaRPr lang="zh-CN" altLang="en-US" sz="1100" b="1">
            <a:solidFill>
              <a:srgbClr val="9E8C05"/>
            </a:solidFill>
          </a:endParaRPr>
        </a:p>
      </xdr:txBody>
    </xdr:sp>
    <xdr:clientData/>
  </xdr:twoCellAnchor>
  <xdr:twoCellAnchor>
    <xdr:from>
      <xdr:col>3</xdr:col>
      <xdr:colOff>214204</xdr:colOff>
      <xdr:row>129</xdr:row>
      <xdr:rowOff>1833</xdr:rowOff>
    </xdr:from>
    <xdr:to>
      <xdr:col>3</xdr:col>
      <xdr:colOff>2137631</xdr:colOff>
      <xdr:row>135</xdr:row>
      <xdr:rowOff>79413</xdr:rowOff>
    </xdr:to>
    <xdr:grpSp>
      <xdr:nvGrpSpPr>
        <xdr:cNvPr id="62" name="组合 61">
          <a:extLst>
            <a:ext uri="{FF2B5EF4-FFF2-40B4-BE49-F238E27FC236}">
              <a16:creationId xmlns:a16="http://schemas.microsoft.com/office/drawing/2014/main" id="{33D96258-5DD4-4E48-A58C-1F249EB68C00}"/>
            </a:ext>
          </a:extLst>
        </xdr:cNvPr>
        <xdr:cNvGrpSpPr/>
      </xdr:nvGrpSpPr>
      <xdr:grpSpPr>
        <a:xfrm>
          <a:off x="3079324" y="25117353"/>
          <a:ext cx="1923427" cy="1174860"/>
          <a:chOff x="5903776" y="25233062"/>
          <a:chExt cx="3097133" cy="2409265"/>
        </a:xfrm>
      </xdr:grpSpPr>
      <xdr:pic>
        <xdr:nvPicPr>
          <xdr:cNvPr id="58" name="图片 57">
            <a:extLst>
              <a:ext uri="{FF2B5EF4-FFF2-40B4-BE49-F238E27FC236}">
                <a16:creationId xmlns:a16="http://schemas.microsoft.com/office/drawing/2014/main" id="{2E1C0B28-52F7-A288-CC17-CB73509A582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>
            <a:extLst>
              <a:ext uri="{BEBA8EAE-BF5A-486C-A8C5-ECC9F3942E4B}">
                <a14:imgProps xmlns:a14="http://schemas.microsoft.com/office/drawing/2010/main">
                  <a14:imgLayer r:embed="rId18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4166" t="60939" r="62014" b="14387"/>
          <a:stretch>
            <a:fillRect/>
          </a:stretch>
        </xdr:blipFill>
        <xdr:spPr>
          <a:xfrm>
            <a:off x="5903776" y="25233062"/>
            <a:ext cx="3097133" cy="2409265"/>
          </a:xfrm>
          <a:prstGeom prst="rect">
            <a:avLst/>
          </a:prstGeom>
        </xdr:spPr>
      </xdr:pic>
      <xdr:sp macro="" textlink="">
        <xdr:nvSpPr>
          <xdr:cNvPr id="60" name="文本框 59">
            <a:extLst>
              <a:ext uri="{FF2B5EF4-FFF2-40B4-BE49-F238E27FC236}">
                <a16:creationId xmlns:a16="http://schemas.microsoft.com/office/drawing/2014/main" id="{728E1C1F-4072-2895-2BA1-0E23523E895E}"/>
              </a:ext>
            </a:extLst>
          </xdr:cNvPr>
          <xdr:cNvSpPr txBox="1"/>
        </xdr:nvSpPr>
        <xdr:spPr>
          <a:xfrm>
            <a:off x="5975963" y="27179234"/>
            <a:ext cx="589817" cy="2527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600">
                <a:solidFill>
                  <a:schemeClr val="bg1">
                    <a:lumMod val="50000"/>
                  </a:schemeClr>
                </a:solidFill>
              </a:rPr>
              <a:t>Gwh</a:t>
            </a:r>
            <a:endParaRPr lang="zh-CN" altLang="en-US" sz="6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960049</xdr:colOff>
      <xdr:row>17</xdr:row>
      <xdr:rowOff>93045</xdr:rowOff>
    </xdr:to>
    <xdr:pic>
      <xdr:nvPicPr>
        <xdr:cNvPr id="8194" name="图片 8193">
          <a:extLst>
            <a:ext uri="{FF2B5EF4-FFF2-40B4-BE49-F238E27FC236}">
              <a16:creationId xmlns:a16="http://schemas.microsoft.com/office/drawing/2014/main" id="{75CDB6BC-F055-3701-F05B-5371C991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406438" y="0"/>
          <a:ext cx="6048374" cy="34267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0</xdr:colOff>
      <xdr:row>23</xdr:row>
      <xdr:rowOff>91109</xdr:rowOff>
    </xdr:from>
    <xdr:to>
      <xdr:col>15</xdr:col>
      <xdr:colOff>170330</xdr:colOff>
      <xdr:row>40</xdr:row>
      <xdr:rowOff>168088</xdr:rowOff>
    </xdr:to>
    <xdr:grpSp>
      <xdr:nvGrpSpPr>
        <xdr:cNvPr id="8206" name="组合 8205">
          <a:extLst>
            <a:ext uri="{FF2B5EF4-FFF2-40B4-BE49-F238E27FC236}">
              <a16:creationId xmlns:a16="http://schemas.microsoft.com/office/drawing/2014/main" id="{6B50EFF1-AB59-7858-B128-BF7C74BF671C}"/>
            </a:ext>
          </a:extLst>
        </xdr:cNvPr>
        <xdr:cNvGrpSpPr/>
      </xdr:nvGrpSpPr>
      <xdr:grpSpPr>
        <a:xfrm>
          <a:off x="12344400" y="4407077"/>
          <a:ext cx="6833258" cy="3185939"/>
          <a:chOff x="13828643" y="4521476"/>
          <a:chExt cx="3150291" cy="2214562"/>
        </a:xfrm>
      </xdr:grpSpPr>
      <xdr:graphicFrame macro="">
        <xdr:nvGraphicFramePr>
          <xdr:cNvPr id="8195" name="图表 8194">
            <a:extLst>
              <a:ext uri="{FF2B5EF4-FFF2-40B4-BE49-F238E27FC236}">
                <a16:creationId xmlns:a16="http://schemas.microsoft.com/office/drawing/2014/main" id="{E9A46282-95AC-EF29-A166-4E634F1D2DCE}"/>
              </a:ext>
            </a:extLst>
          </xdr:cNvPr>
          <xdr:cNvGraphicFramePr/>
        </xdr:nvGraphicFramePr>
        <xdr:xfrm>
          <a:off x="13828643" y="4521476"/>
          <a:ext cx="3150291" cy="22145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cxnSp macro="">
        <xdr:nvCxnSpPr>
          <xdr:cNvPr id="8203" name="直接连接符 8202">
            <a:extLst>
              <a:ext uri="{FF2B5EF4-FFF2-40B4-BE49-F238E27FC236}">
                <a16:creationId xmlns:a16="http://schemas.microsoft.com/office/drawing/2014/main" id="{F4347D44-E639-FA2B-2D3B-D0743FD23311}"/>
              </a:ext>
            </a:extLst>
          </xdr:cNvPr>
          <xdr:cNvCxnSpPr/>
        </xdr:nvCxnSpPr>
        <xdr:spPr>
          <a:xfrm>
            <a:off x="14327257" y="4959626"/>
            <a:ext cx="2375452" cy="0"/>
          </a:xfrm>
          <a:prstGeom prst="line">
            <a:avLst/>
          </a:prstGeom>
          <a:ln w="19050">
            <a:solidFill>
              <a:srgbClr val="9E8C05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04" name="直接连接符 8203">
            <a:extLst>
              <a:ext uri="{FF2B5EF4-FFF2-40B4-BE49-F238E27FC236}">
                <a16:creationId xmlns:a16="http://schemas.microsoft.com/office/drawing/2014/main" id="{7774B9DB-86FD-4D32-9EBD-6CA3952E4092}"/>
              </a:ext>
            </a:extLst>
          </xdr:cNvPr>
          <xdr:cNvCxnSpPr/>
        </xdr:nvCxnSpPr>
        <xdr:spPr>
          <a:xfrm>
            <a:off x="14327257" y="5550176"/>
            <a:ext cx="2375452" cy="0"/>
          </a:xfrm>
          <a:prstGeom prst="line">
            <a:avLst/>
          </a:prstGeom>
          <a:ln w="19050">
            <a:solidFill>
              <a:srgbClr val="9E8C05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205" name="文本框 8204">
            <a:extLst>
              <a:ext uri="{FF2B5EF4-FFF2-40B4-BE49-F238E27FC236}">
                <a16:creationId xmlns:a16="http://schemas.microsoft.com/office/drawing/2014/main" id="{EFB3CB6F-6286-6C75-6A75-D4625EF0D301}"/>
              </a:ext>
            </a:extLst>
          </xdr:cNvPr>
          <xdr:cNvSpPr txBox="1"/>
        </xdr:nvSpPr>
        <xdr:spPr>
          <a:xfrm>
            <a:off x="14260581" y="5007251"/>
            <a:ext cx="2604053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 b="1">
                <a:solidFill>
                  <a:srgbClr val="9E8C05"/>
                </a:solidFill>
              </a:rPr>
              <a:t>30%-50%</a:t>
            </a:r>
            <a:r>
              <a:rPr lang="en-US" altLang="zh-CN" sz="1100" b="1" baseline="0">
                <a:solidFill>
                  <a:srgbClr val="9E8C05"/>
                </a:solidFill>
              </a:rPr>
              <a:t> targeted dividend payout ratio</a:t>
            </a:r>
            <a:endParaRPr lang="zh-CN" altLang="en-US" sz="1100" b="1">
              <a:solidFill>
                <a:srgbClr val="9E8C05"/>
              </a:solidFill>
            </a:endParaRPr>
          </a:p>
        </xdr:txBody>
      </xdr:sp>
    </xdr:grpSp>
    <xdr:clientData/>
  </xdr:twoCellAnchor>
  <xdr:twoCellAnchor>
    <xdr:from>
      <xdr:col>15</xdr:col>
      <xdr:colOff>235811</xdr:colOff>
      <xdr:row>22</xdr:row>
      <xdr:rowOff>18027</xdr:rowOff>
    </xdr:from>
    <xdr:to>
      <xdr:col>20</xdr:col>
      <xdr:colOff>2361030</xdr:colOff>
      <xdr:row>38</xdr:row>
      <xdr:rowOff>123265</xdr:rowOff>
    </xdr:to>
    <xdr:grpSp>
      <xdr:nvGrpSpPr>
        <xdr:cNvPr id="8212" name="组合 8211">
          <a:extLst>
            <a:ext uri="{FF2B5EF4-FFF2-40B4-BE49-F238E27FC236}">
              <a16:creationId xmlns:a16="http://schemas.microsoft.com/office/drawing/2014/main" id="{532CCA5C-570E-52C4-3A00-BB3C9312A961}"/>
            </a:ext>
          </a:extLst>
        </xdr:cNvPr>
        <xdr:cNvGrpSpPr/>
      </xdr:nvGrpSpPr>
      <xdr:grpSpPr>
        <a:xfrm>
          <a:off x="19243139" y="4151115"/>
          <a:ext cx="7178803" cy="3031318"/>
          <a:chOff x="16892776" y="4581140"/>
          <a:chExt cx="3269378" cy="2222760"/>
        </a:xfrm>
      </xdr:grpSpPr>
      <xdr:graphicFrame macro="">
        <xdr:nvGraphicFramePr>
          <xdr:cNvPr id="8208" name="图表 8207">
            <a:extLst>
              <a:ext uri="{FF2B5EF4-FFF2-40B4-BE49-F238E27FC236}">
                <a16:creationId xmlns:a16="http://schemas.microsoft.com/office/drawing/2014/main" id="{80AB730C-9C92-0293-B965-0C8FCF20C55D}"/>
              </a:ext>
            </a:extLst>
          </xdr:cNvPr>
          <xdr:cNvGraphicFramePr/>
        </xdr:nvGraphicFramePr>
        <xdr:xfrm>
          <a:off x="16892776" y="4581140"/>
          <a:ext cx="3269378" cy="2222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cxnSp macro="">
        <xdr:nvCxnSpPr>
          <xdr:cNvPr id="8209" name="直接连接符 8208">
            <a:extLst>
              <a:ext uri="{FF2B5EF4-FFF2-40B4-BE49-F238E27FC236}">
                <a16:creationId xmlns:a16="http://schemas.microsoft.com/office/drawing/2014/main" id="{59D470F9-8B57-4F90-A552-3BC17883079C}"/>
              </a:ext>
            </a:extLst>
          </xdr:cNvPr>
          <xdr:cNvCxnSpPr/>
        </xdr:nvCxnSpPr>
        <xdr:spPr>
          <a:xfrm flipV="1">
            <a:off x="17369315" y="4713662"/>
            <a:ext cx="2463535" cy="8282"/>
          </a:xfrm>
          <a:prstGeom prst="line">
            <a:avLst/>
          </a:prstGeom>
          <a:ln w="19050">
            <a:solidFill>
              <a:srgbClr val="9E8C05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211" name="文本框 8210">
            <a:extLst>
              <a:ext uri="{FF2B5EF4-FFF2-40B4-BE49-F238E27FC236}">
                <a16:creationId xmlns:a16="http://schemas.microsoft.com/office/drawing/2014/main" id="{6C5B6547-D799-4697-B814-B04439F3FC71}"/>
              </a:ext>
            </a:extLst>
          </xdr:cNvPr>
          <xdr:cNvSpPr txBox="1"/>
        </xdr:nvSpPr>
        <xdr:spPr>
          <a:xfrm>
            <a:off x="17364459" y="4797015"/>
            <a:ext cx="2610092" cy="2475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 b="1">
                <a:solidFill>
                  <a:srgbClr val="9E8C05"/>
                </a:solidFill>
              </a:rPr>
              <a:t>4X</a:t>
            </a:r>
            <a:r>
              <a:rPr lang="en-US" altLang="zh-CN" sz="1100" b="1" baseline="0">
                <a:solidFill>
                  <a:srgbClr val="9E8C05"/>
                </a:solidFill>
              </a:rPr>
              <a:t> Net Debt/EBITDA</a:t>
            </a:r>
            <a:endParaRPr lang="zh-CN" altLang="en-US" sz="1100" b="1">
              <a:solidFill>
                <a:srgbClr val="9E8C05"/>
              </a:solidFill>
            </a:endParaRPr>
          </a:p>
        </xdr:txBody>
      </xdr:sp>
    </xdr:grpSp>
    <xdr:clientData/>
  </xdr:twoCellAnchor>
  <xdr:twoCellAnchor>
    <xdr:from>
      <xdr:col>16</xdr:col>
      <xdr:colOff>975278</xdr:colOff>
      <xdr:row>37</xdr:row>
      <xdr:rowOff>95250</xdr:rowOff>
    </xdr:from>
    <xdr:to>
      <xdr:col>22</xdr:col>
      <xdr:colOff>309563</xdr:colOff>
      <xdr:row>58</xdr:row>
      <xdr:rowOff>1485</xdr:rowOff>
    </xdr:to>
    <xdr:grpSp>
      <xdr:nvGrpSpPr>
        <xdr:cNvPr id="8238" name="组合 8237">
          <a:extLst>
            <a:ext uri="{FF2B5EF4-FFF2-40B4-BE49-F238E27FC236}">
              <a16:creationId xmlns:a16="http://schemas.microsoft.com/office/drawing/2014/main" id="{D115F121-C5EC-CA3D-D4D5-5E0D61DBECF4}"/>
            </a:ext>
          </a:extLst>
        </xdr:cNvPr>
        <xdr:cNvGrpSpPr/>
      </xdr:nvGrpSpPr>
      <xdr:grpSpPr>
        <a:xfrm>
          <a:off x="20592206" y="6971538"/>
          <a:ext cx="7746765" cy="3746715"/>
          <a:chOff x="13343282" y="6915978"/>
          <a:chExt cx="3188899" cy="1502708"/>
        </a:xfrm>
      </xdr:grpSpPr>
      <xdr:grpSp>
        <xdr:nvGrpSpPr>
          <xdr:cNvPr id="8227" name="组合 8226">
            <a:extLst>
              <a:ext uri="{FF2B5EF4-FFF2-40B4-BE49-F238E27FC236}">
                <a16:creationId xmlns:a16="http://schemas.microsoft.com/office/drawing/2014/main" id="{8844E8B5-D27D-65A4-00D2-868E73295094}"/>
              </a:ext>
            </a:extLst>
          </xdr:cNvPr>
          <xdr:cNvGrpSpPr/>
        </xdr:nvGrpSpPr>
        <xdr:grpSpPr>
          <a:xfrm>
            <a:off x="13343282" y="6915978"/>
            <a:ext cx="3188899" cy="1502708"/>
            <a:chOff x="560294" y="10136841"/>
            <a:chExt cx="3204883" cy="1502708"/>
          </a:xfrm>
        </xdr:grpSpPr>
        <xdr:grpSp>
          <xdr:nvGrpSpPr>
            <xdr:cNvPr id="8228" name="组合 8227">
              <a:extLst>
                <a:ext uri="{FF2B5EF4-FFF2-40B4-BE49-F238E27FC236}">
                  <a16:creationId xmlns:a16="http://schemas.microsoft.com/office/drawing/2014/main" id="{8CCC51D0-420D-4453-A4CE-04DCE520FCE7}"/>
                </a:ext>
              </a:extLst>
            </xdr:cNvPr>
            <xdr:cNvGrpSpPr/>
          </xdr:nvGrpSpPr>
          <xdr:grpSpPr>
            <a:xfrm>
              <a:off x="560294" y="10136841"/>
              <a:ext cx="3204883" cy="582706"/>
              <a:chOff x="560294" y="10136841"/>
              <a:chExt cx="3195358" cy="582706"/>
            </a:xfrm>
          </xdr:grpSpPr>
          <xdr:pic>
            <xdr:nvPicPr>
              <xdr:cNvPr id="8234" name="图形 8233" descr="收据 纯色填充">
                <a:extLst>
                  <a:ext uri="{FF2B5EF4-FFF2-40B4-BE49-F238E27FC236}">
                    <a16:creationId xmlns:a16="http://schemas.microsoft.com/office/drawing/2014/main" id="{D72768CD-294F-8212-7BF2-434B9ED4380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560294" y="10136841"/>
                <a:ext cx="582706" cy="582706"/>
              </a:xfrm>
              <a:prstGeom prst="rect">
                <a:avLst/>
              </a:prstGeom>
            </xdr:spPr>
          </xdr:pic>
          <xdr:sp macro="" textlink="">
            <xdr:nvSpPr>
              <xdr:cNvPr id="8235" name="矩形 8234">
                <a:extLst>
                  <a:ext uri="{FF2B5EF4-FFF2-40B4-BE49-F238E27FC236}">
                    <a16:creationId xmlns:a16="http://schemas.microsoft.com/office/drawing/2014/main" id="{C0C10FE9-6431-7C98-BC69-D862410838B9}"/>
                  </a:ext>
                </a:extLst>
              </xdr:cNvPr>
              <xdr:cNvSpPr/>
            </xdr:nvSpPr>
            <xdr:spPr>
              <a:xfrm>
                <a:off x="1210235" y="10186147"/>
                <a:ext cx="2545417" cy="481853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it-IT" altLang="zh-CN" sz="1100" b="1">
                    <a:solidFill>
                      <a:schemeClr val="tx2">
                        <a:lumMod val="75000"/>
                      </a:schemeClr>
                    </a:solidFill>
                  </a:rPr>
                  <a:t>Strong total shareholder return driven by growth within  guardrails</a:t>
                </a:r>
                <a:endParaRPr lang="zh-CN" altLang="en-US" sz="1100" b="1">
                  <a:solidFill>
                    <a:srgbClr val="9E8C05"/>
                  </a:solidFill>
                </a:endParaRPr>
              </a:p>
            </xdr:txBody>
          </xdr:sp>
        </xdr:grpSp>
        <xdr:pic>
          <xdr:nvPicPr>
            <xdr:cNvPr id="8230" name="图形 8229" descr="贷款 纯色填充">
              <a:extLst>
                <a:ext uri="{FF2B5EF4-FFF2-40B4-BE49-F238E27FC236}">
                  <a16:creationId xmlns:a16="http://schemas.microsoft.com/office/drawing/2014/main" id="{A7F879CD-4448-418D-1BA4-795D7FD497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581025" y="11039474"/>
              <a:ext cx="600075" cy="600075"/>
            </a:xfrm>
            <a:prstGeom prst="rect">
              <a:avLst/>
            </a:prstGeom>
          </xdr:spPr>
        </xdr:pic>
        <xdr:sp macro="" textlink="">
          <xdr:nvSpPr>
            <xdr:cNvPr id="8231" name="矩形 8230">
              <a:extLst>
                <a:ext uri="{FF2B5EF4-FFF2-40B4-BE49-F238E27FC236}">
                  <a16:creationId xmlns:a16="http://schemas.microsoft.com/office/drawing/2014/main" id="{359B3A55-AA1F-770F-EC30-A4D49AAA3F47}"/>
                </a:ext>
              </a:extLst>
            </xdr:cNvPr>
            <xdr:cNvSpPr/>
          </xdr:nvSpPr>
          <xdr:spPr>
            <a:xfrm>
              <a:off x="1207994" y="11079816"/>
              <a:ext cx="2554942" cy="48185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it-IT" altLang="zh-CN" sz="1050" b="1">
                  <a:solidFill>
                    <a:schemeClr val="tx2">
                      <a:lumMod val="75000"/>
                    </a:schemeClr>
                  </a:solidFill>
                </a:rPr>
                <a:t>CAGR of 6% and 7% for dividend and AFFO per share, respectively (2020 – 2025)</a:t>
              </a:r>
              <a:endParaRPr lang="zh-CN" altLang="en-US" sz="1050" b="1">
                <a:solidFill>
                  <a:srgbClr val="9E8C05"/>
                </a:solidFill>
              </a:endParaRPr>
            </a:p>
          </xdr:txBody>
        </xdr:sp>
      </xdr:grpSp>
      <xdr:pic>
        <xdr:nvPicPr>
          <xdr:cNvPr id="8237" name="图形 8236" descr="箭头: 向右旋转 纯色填充">
            <a:extLst>
              <a:ext uri="{FF2B5EF4-FFF2-40B4-BE49-F238E27FC236}">
                <a16:creationId xmlns:a16="http://schemas.microsoft.com/office/drawing/2014/main" id="{FCB7E317-E55A-12AD-4506-FC42880DD9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xdr:blipFill>
        <xdr:spPr>
          <a:xfrm>
            <a:off x="14925260" y="7379804"/>
            <a:ext cx="541683" cy="541683"/>
          </a:xfrm>
          <a:prstGeom prst="rect">
            <a:avLst/>
          </a:prstGeom>
        </xdr:spPr>
      </xdr:pic>
    </xdr:grpSp>
    <xdr:clientData/>
  </xdr:twoCellAnchor>
  <xdr:twoCellAnchor editAs="oneCell">
    <xdr:from>
      <xdr:col>15</xdr:col>
      <xdr:colOff>484910</xdr:colOff>
      <xdr:row>73</xdr:row>
      <xdr:rowOff>17318</xdr:rowOff>
    </xdr:from>
    <xdr:to>
      <xdr:col>18</xdr:col>
      <xdr:colOff>720942</xdr:colOff>
      <xdr:row>88</xdr:row>
      <xdr:rowOff>129713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7B62D31D-692A-F5F8-2E02-9EC15CA8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 r="34663"/>
        <a:stretch>
          <a:fillRect/>
        </a:stretch>
      </xdr:blipFill>
      <xdr:spPr>
        <a:xfrm>
          <a:off x="20037137" y="15430500"/>
          <a:ext cx="3443605" cy="29698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470646</xdr:colOff>
      <xdr:row>69</xdr:row>
      <xdr:rowOff>24333</xdr:rowOff>
    </xdr:from>
    <xdr:to>
      <xdr:col>21</xdr:col>
      <xdr:colOff>563907</xdr:colOff>
      <xdr:row>69</xdr:row>
      <xdr:rowOff>680357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281D037E-BBBF-42CF-B357-30D28FC5EFCB}"/>
            </a:ext>
          </a:extLst>
        </xdr:cNvPr>
        <xdr:cNvSpPr/>
      </xdr:nvSpPr>
      <xdr:spPr>
        <a:xfrm>
          <a:off x="21289575" y="14026083"/>
          <a:ext cx="2542546" cy="65602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altLang="zh-CN" sz="1100" b="1">
              <a:solidFill>
                <a:schemeClr val="tx2">
                  <a:lumMod val="75000"/>
                </a:schemeClr>
              </a:solidFill>
            </a:rPr>
            <a:t>"Through increased efficiency, lower carbon taxes, and hedging we have increased our profitability at Genesee"</a:t>
          </a:r>
          <a:endParaRPr lang="zh-CN" altLang="en-US" sz="1100" b="1">
            <a:solidFill>
              <a:srgbClr val="9E8C05"/>
            </a:solidFill>
          </a:endParaRPr>
        </a:p>
      </xdr:txBody>
    </xdr:sp>
    <xdr:clientData/>
  </xdr:twoCellAnchor>
  <xdr:twoCellAnchor>
    <xdr:from>
      <xdr:col>14</xdr:col>
      <xdr:colOff>1485900</xdr:colOff>
      <xdr:row>111</xdr:row>
      <xdr:rowOff>71436</xdr:rowOff>
    </xdr:from>
    <xdr:to>
      <xdr:col>17</xdr:col>
      <xdr:colOff>600075</xdr:colOff>
      <xdr:row>127</xdr:row>
      <xdr:rowOff>180975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156B640-A3EF-5C5E-B9C8-FCDBDEA59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980514</xdr:colOff>
      <xdr:row>128</xdr:row>
      <xdr:rowOff>19050</xdr:rowOff>
    </xdr:from>
    <xdr:to>
      <xdr:col>6</xdr:col>
      <xdr:colOff>494739</xdr:colOff>
      <xdr:row>142</xdr:row>
      <xdr:rowOff>106456</xdr:rowOff>
    </xdr:to>
    <xdr:graphicFrame macro="">
      <xdr:nvGraphicFramePr>
        <xdr:cNvPr id="8214" name="图表 3">
          <a:extLst>
            <a:ext uri="{FF2B5EF4-FFF2-40B4-BE49-F238E27FC236}">
              <a16:creationId xmlns:a16="http://schemas.microsoft.com/office/drawing/2014/main" id="{AE8B98AB-AEDC-40FE-8442-E93D713CD2C4}"/>
            </a:ext>
            <a:ext uri="{147F2762-F138-4A5C-976F-8EAC2B608ADB}">
              <a16:predDERef xmlns:a16="http://schemas.microsoft.com/office/drawing/2014/main" pred="{1156B640-A3EF-5C5E-B9C8-FCDBDEA59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1123950</xdr:colOff>
      <xdr:row>141</xdr:row>
      <xdr:rowOff>9525</xdr:rowOff>
    </xdr:from>
    <xdr:to>
      <xdr:col>3</xdr:col>
      <xdr:colOff>1143000</xdr:colOff>
      <xdr:row>149</xdr:row>
      <xdr:rowOff>19050</xdr:rowOff>
    </xdr:to>
    <xdr:cxnSp macro="">
      <xdr:nvCxnSpPr>
        <xdr:cNvPr id="8216" name="直接连接符 8215">
          <a:extLst>
            <a:ext uri="{FF2B5EF4-FFF2-40B4-BE49-F238E27FC236}">
              <a16:creationId xmlns:a16="http://schemas.microsoft.com/office/drawing/2014/main" id="{15EE2F1D-8EB3-B526-A45C-4263F563105F}"/>
            </a:ext>
          </a:extLst>
        </xdr:cNvPr>
        <xdr:cNvCxnSpPr/>
      </xdr:nvCxnSpPr>
      <xdr:spPr>
        <a:xfrm>
          <a:off x="5400675" y="28594050"/>
          <a:ext cx="19050" cy="1724025"/>
        </a:xfrm>
        <a:prstGeom prst="line">
          <a:avLst/>
        </a:prstGeom>
        <a:ln>
          <a:solidFill>
            <a:schemeClr val="tx1"/>
          </a:solidFill>
        </a:ln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1352550</xdr:colOff>
      <xdr:row>141</xdr:row>
      <xdr:rowOff>31296</xdr:rowOff>
    </xdr:from>
    <xdr:to>
      <xdr:col>3</xdr:col>
      <xdr:colOff>1781175</xdr:colOff>
      <xdr:row>142</xdr:row>
      <xdr:rowOff>126546</xdr:rowOff>
    </xdr:to>
    <xdr:sp macro="" textlink="">
      <xdr:nvSpPr>
        <xdr:cNvPr id="8219" name="矩形 8218">
          <a:extLst>
            <a:ext uri="{FF2B5EF4-FFF2-40B4-BE49-F238E27FC236}">
              <a16:creationId xmlns:a16="http://schemas.microsoft.com/office/drawing/2014/main" id="{B341E0A8-9020-0F99-7CE6-FF1C02F3D8DF}"/>
            </a:ext>
          </a:extLst>
        </xdr:cNvPr>
        <xdr:cNvSpPr/>
      </xdr:nvSpPr>
      <xdr:spPr>
        <a:xfrm>
          <a:off x="5946321" y="27572153"/>
          <a:ext cx="428625" cy="291193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1768694</xdr:colOff>
      <xdr:row>141</xdr:row>
      <xdr:rowOff>88681</xdr:rowOff>
    </xdr:from>
    <xdr:to>
      <xdr:col>3</xdr:col>
      <xdr:colOff>2197319</xdr:colOff>
      <xdr:row>142</xdr:row>
      <xdr:rowOff>183931</xdr:rowOff>
    </xdr:to>
    <xdr:sp macro="" textlink="">
      <xdr:nvSpPr>
        <xdr:cNvPr id="8220" name="矩形 8219">
          <a:extLst>
            <a:ext uri="{FF2B5EF4-FFF2-40B4-BE49-F238E27FC236}">
              <a16:creationId xmlns:a16="http://schemas.microsoft.com/office/drawing/2014/main" id="{85E7C11C-AE50-4DDA-97EC-2751BADDDD0B}"/>
            </a:ext>
          </a:extLst>
        </xdr:cNvPr>
        <xdr:cNvSpPr/>
      </xdr:nvSpPr>
      <xdr:spPr>
        <a:xfrm>
          <a:off x="6045091" y="28657112"/>
          <a:ext cx="428625" cy="28575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589446</xdr:colOff>
      <xdr:row>157</xdr:row>
      <xdr:rowOff>98962</xdr:rowOff>
    </xdr:from>
    <xdr:to>
      <xdr:col>25</xdr:col>
      <xdr:colOff>197980</xdr:colOff>
      <xdr:row>186</xdr:row>
      <xdr:rowOff>23504</xdr:rowOff>
    </xdr:to>
    <xdr:graphicFrame macro="">
      <xdr:nvGraphicFramePr>
        <xdr:cNvPr id="8222" name="图表 8221">
          <a:extLst>
            <a:ext uri="{FF2B5EF4-FFF2-40B4-BE49-F238E27FC236}">
              <a16:creationId xmlns:a16="http://schemas.microsoft.com/office/drawing/2014/main" id="{2ACBCC09-A8AA-7B88-BC75-0EBC5B47C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623413</xdr:colOff>
      <xdr:row>153</xdr:row>
      <xdr:rowOff>33415</xdr:rowOff>
    </xdr:from>
    <xdr:to>
      <xdr:col>15</xdr:col>
      <xdr:colOff>492700</xdr:colOff>
      <xdr:row>167</xdr:row>
      <xdr:rowOff>117036</xdr:rowOff>
    </xdr:to>
    <xdr:graphicFrame macro="">
      <xdr:nvGraphicFramePr>
        <xdr:cNvPr id="8223" name="图表 8222">
          <a:extLst>
            <a:ext uri="{FF2B5EF4-FFF2-40B4-BE49-F238E27FC236}">
              <a16:creationId xmlns:a16="http://schemas.microsoft.com/office/drawing/2014/main" id="{6EFBE916-88AB-F388-C676-E54E6395F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</xdr:col>
      <xdr:colOff>247650</xdr:colOff>
      <xdr:row>176</xdr:row>
      <xdr:rowOff>57150</xdr:rowOff>
    </xdr:from>
    <xdr:to>
      <xdr:col>16</xdr:col>
      <xdr:colOff>1057275</xdr:colOff>
      <xdr:row>199</xdr:row>
      <xdr:rowOff>123825</xdr:rowOff>
    </xdr:to>
    <xdr:graphicFrame macro="">
      <xdr:nvGraphicFramePr>
        <xdr:cNvPr id="8469" name="图表 8465">
          <a:extLst>
            <a:ext uri="{FF2B5EF4-FFF2-40B4-BE49-F238E27FC236}">
              <a16:creationId xmlns:a16="http://schemas.microsoft.com/office/drawing/2014/main" id="{3E6F5902-9311-3989-8C3C-FC9377802337}"/>
            </a:ext>
            <a:ext uri="{147F2762-F138-4A5C-976F-8EAC2B608ADB}">
              <a16:predDERef xmlns:a16="http://schemas.microsoft.com/office/drawing/2014/main" pred="{6EFBE916-88AB-F388-C676-E54E6395F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447675</xdr:colOff>
      <xdr:row>112</xdr:row>
      <xdr:rowOff>142875</xdr:rowOff>
    </xdr:from>
    <xdr:to>
      <xdr:col>16</xdr:col>
      <xdr:colOff>895350</xdr:colOff>
      <xdr:row>115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065020-61EB-D1DF-FDA0-8ABE22C1CD2A}"/>
            </a:ext>
            <a:ext uri="{147F2762-F138-4A5C-976F-8EAC2B608ADB}">
              <a16:predDERef xmlns:a16="http://schemas.microsoft.com/office/drawing/2014/main" pred="{3E6F5902-9311-3989-8C3C-FC9377802337}"/>
            </a:ext>
          </a:extLst>
        </xdr:cNvPr>
        <xdr:cNvSpPr/>
      </xdr:nvSpPr>
      <xdr:spPr>
        <a:xfrm>
          <a:off x="21945600" y="23164800"/>
          <a:ext cx="447675" cy="55245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R2</a:t>
          </a:r>
        </a:p>
      </xdr:txBody>
    </xdr:sp>
    <xdr:clientData/>
  </xdr:twoCellAnchor>
  <xdr:twoCellAnchor>
    <xdr:from>
      <xdr:col>16</xdr:col>
      <xdr:colOff>1076325</xdr:colOff>
      <xdr:row>112</xdr:row>
      <xdr:rowOff>161925</xdr:rowOff>
    </xdr:from>
    <xdr:to>
      <xdr:col>17</xdr:col>
      <xdr:colOff>142875</xdr:colOff>
      <xdr:row>115</xdr:row>
      <xdr:rowOff>142875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2709E7D-E4D8-4467-A936-E8F5C3D98E42}"/>
            </a:ext>
            <a:ext uri="{147F2762-F138-4A5C-976F-8EAC2B608ADB}">
              <a16:predDERef xmlns:a16="http://schemas.microsoft.com/office/drawing/2014/main" pred="{C6065020-61EB-D1DF-FDA0-8ABE22C1CD2A}"/>
            </a:ext>
          </a:extLst>
        </xdr:cNvPr>
        <xdr:cNvSpPr/>
      </xdr:nvSpPr>
      <xdr:spPr>
        <a:xfrm>
          <a:off x="22574250" y="23183850"/>
          <a:ext cx="447675" cy="55245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R1</a:t>
          </a:r>
        </a:p>
      </xdr:txBody>
    </xdr:sp>
    <xdr:clientData/>
  </xdr:twoCellAnchor>
  <xdr:twoCellAnchor>
    <xdr:from>
      <xdr:col>16</xdr:col>
      <xdr:colOff>438150</xdr:colOff>
      <xdr:row>116</xdr:row>
      <xdr:rowOff>57150</xdr:rowOff>
    </xdr:from>
    <xdr:to>
      <xdr:col>16</xdr:col>
      <xdr:colOff>885825</xdr:colOff>
      <xdr:row>119</xdr:row>
      <xdr:rowOff>28575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C47A8FB-3150-41DE-9E3C-37EB9A68AB7D}"/>
            </a:ext>
            <a:ext uri="{147F2762-F138-4A5C-976F-8EAC2B608ADB}">
              <a16:predDERef xmlns:a16="http://schemas.microsoft.com/office/drawing/2014/main" pred="{62709E7D-E4D8-4467-A936-E8F5C3D98E42}"/>
            </a:ext>
          </a:extLst>
        </xdr:cNvPr>
        <xdr:cNvSpPr/>
      </xdr:nvSpPr>
      <xdr:spPr>
        <a:xfrm>
          <a:off x="21936075" y="23850600"/>
          <a:ext cx="447675" cy="55245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R4</a:t>
          </a:r>
        </a:p>
      </xdr:txBody>
    </xdr:sp>
    <xdr:clientData/>
  </xdr:twoCellAnchor>
  <xdr:twoCellAnchor>
    <xdr:from>
      <xdr:col>16</xdr:col>
      <xdr:colOff>1057275</xdr:colOff>
      <xdr:row>116</xdr:row>
      <xdr:rowOff>66675</xdr:rowOff>
    </xdr:from>
    <xdr:to>
      <xdr:col>17</xdr:col>
      <xdr:colOff>123825</xdr:colOff>
      <xdr:row>119</xdr:row>
      <xdr:rowOff>38100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3A0F600-CD46-4113-B4EE-A0FDABDE00B5}"/>
            </a:ext>
            <a:ext uri="{147F2762-F138-4A5C-976F-8EAC2B608ADB}">
              <a16:predDERef xmlns:a16="http://schemas.microsoft.com/office/drawing/2014/main" pred="{7C47A8FB-3150-41DE-9E3C-37EB9A68AB7D}"/>
            </a:ext>
          </a:extLst>
        </xdr:cNvPr>
        <xdr:cNvSpPr/>
      </xdr:nvSpPr>
      <xdr:spPr>
        <a:xfrm>
          <a:off x="22555200" y="23860125"/>
          <a:ext cx="447675" cy="55245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R3</a:t>
          </a:r>
        </a:p>
      </xdr:txBody>
    </xdr:sp>
    <xdr:clientData/>
  </xdr:twoCellAnchor>
  <xdr:twoCellAnchor>
    <xdr:from>
      <xdr:col>15</xdr:col>
      <xdr:colOff>161925</xdr:colOff>
      <xdr:row>112</xdr:row>
      <xdr:rowOff>19050</xdr:rowOff>
    </xdr:from>
    <xdr:to>
      <xdr:col>15</xdr:col>
      <xdr:colOff>171450</xdr:colOff>
      <xdr:row>125</xdr:row>
      <xdr:rowOff>133350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E7F90F3-AB2E-E611-D19D-405CF3ACD4BD}"/>
            </a:ext>
            <a:ext uri="{147F2762-F138-4A5C-976F-8EAC2B608ADB}">
              <a16:predDERef xmlns:a16="http://schemas.microsoft.com/office/drawing/2014/main" pred="{43A0F600-CD46-4113-B4EE-A0FDABDE00B5}"/>
            </a:ext>
          </a:extLst>
        </xdr:cNvPr>
        <xdr:cNvCxnSpPr>
          <a:cxnSpLocks/>
        </xdr:cNvCxnSpPr>
      </xdr:nvCxnSpPr>
      <xdr:spPr>
        <a:xfrm flipH="1" flipV="1">
          <a:off x="20974050" y="23040975"/>
          <a:ext cx="9525" cy="2628900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152400</xdr:colOff>
      <xdr:row>125</xdr:row>
      <xdr:rowOff>133350</xdr:rowOff>
    </xdr:from>
    <xdr:to>
      <xdr:col>17</xdr:col>
      <xdr:colOff>485775</xdr:colOff>
      <xdr:row>125</xdr:row>
      <xdr:rowOff>133350</xdr:rowOff>
    </xdr:to>
    <xdr:cxnSp macro="">
      <xdr:nvCxnSpPr>
        <xdr:cNvPr id="8200" name="Straight Connector 8199">
          <a:extLst>
            <a:ext uri="{FF2B5EF4-FFF2-40B4-BE49-F238E27FC236}">
              <a16:creationId xmlns:a16="http://schemas.microsoft.com/office/drawing/2014/main" id="{68E18497-FE42-4D24-B12A-FDE1162A6A10}"/>
            </a:ext>
            <a:ext uri="{147F2762-F138-4A5C-976F-8EAC2B608ADB}">
              <a16:predDERef xmlns:a16="http://schemas.microsoft.com/office/drawing/2014/main" pred="{DE7F90F3-AB2E-E611-D19D-405CF3ACD4BD}"/>
            </a:ext>
          </a:extLst>
        </xdr:cNvPr>
        <xdr:cNvCxnSpPr>
          <a:cxnSpLocks/>
        </xdr:cNvCxnSpPr>
      </xdr:nvCxnSpPr>
      <xdr:spPr>
        <a:xfrm>
          <a:off x="20964525" y="25669875"/>
          <a:ext cx="2400300" cy="0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0.45703</cdr:x>
      <cdr:y>0.11475</cdr:y>
    </cdr:from>
    <cdr:to>
      <cdr:x>0.82768</cdr:x>
      <cdr:y>0.47243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id="{C7271C3B-3883-A75F-075F-C7682541E9EC}"/>
            </a:ext>
          </a:extLst>
        </cdr:cNvPr>
        <cdr:cNvGrpSpPr/>
      </cdr:nvGrpSpPr>
      <cdr:grpSpPr>
        <a:xfrm xmlns:a="http://schemas.openxmlformats.org/drawingml/2006/main">
          <a:off x="1336436" y="385645"/>
          <a:ext cx="1083845" cy="1202069"/>
          <a:chOff x="1114425" y="366714"/>
          <a:chExt cx="903795" cy="1143000"/>
        </a:xfrm>
      </cdr:grpSpPr>
      <cdr:sp macro="" textlink="">
        <cdr:nvSpPr>
          <cdr:cNvPr id="2" name="矩形 1">
            <a:extLst xmlns:a="http://schemas.openxmlformats.org/drawingml/2006/main">
              <a:ext uri="{FF2B5EF4-FFF2-40B4-BE49-F238E27FC236}">
                <a16:creationId xmlns:a16="http://schemas.microsoft.com/office/drawing/2014/main" id="{F0D4FD17-2EDB-2BD6-B2D5-927FFCAFC5BE}"/>
              </a:ext>
            </a:extLst>
          </cdr:cNvPr>
          <cdr:cNvSpPr/>
        </cdr:nvSpPr>
        <cdr:spPr>
          <a:xfrm xmlns:a="http://schemas.openxmlformats.org/drawingml/2006/main">
            <a:off x="1114425" y="366714"/>
            <a:ext cx="367220" cy="407002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tx2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 anchor="ctr"/>
          <a:lstStyle xmlns:a="http://schemas.openxmlformats.org/drawingml/2006/main"/>
          <a:p xmlns:a="http://schemas.openxmlformats.org/drawingml/2006/main">
            <a:pPr algn="ctr"/>
            <a:r>
              <a:rPr lang="en-US" altLang="zh-CN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R2</a:t>
            </a:r>
            <a:endParaRPr lang="zh-CN" altLang="zh-CN">
              <a:effectLst/>
            </a:endParaRPr>
          </a:p>
        </cdr:txBody>
      </cdr:sp>
      <cdr:sp macro="" textlink="">
        <cdr:nvSpPr>
          <cdr:cNvPr id="3" name="矩形 2">
            <a:extLst xmlns:a="http://schemas.openxmlformats.org/drawingml/2006/main">
              <a:ext uri="{FF2B5EF4-FFF2-40B4-BE49-F238E27FC236}">
                <a16:creationId xmlns:a16="http://schemas.microsoft.com/office/drawing/2014/main" id="{F99EB7C0-382A-6DC5-2B13-551D6653B68E}"/>
              </a:ext>
            </a:extLst>
          </cdr:cNvPr>
          <cdr:cNvSpPr/>
        </cdr:nvSpPr>
        <cdr:spPr>
          <a:xfrm xmlns:a="http://schemas.openxmlformats.org/drawingml/2006/main">
            <a:off x="1651000" y="374650"/>
            <a:ext cx="367220" cy="407002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tx2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anchor="ctr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altLang="zh-CN" sz="1200" b="1" kern="1200"/>
              <a:t>R1</a:t>
            </a:r>
          </a:p>
        </cdr:txBody>
      </cdr:sp>
      <cdr:sp macro="" textlink="">
        <cdr:nvSpPr>
          <cdr:cNvPr id="4" name="矩形 3">
            <a:extLst xmlns:a="http://schemas.openxmlformats.org/drawingml/2006/main">
              <a:ext uri="{FF2B5EF4-FFF2-40B4-BE49-F238E27FC236}">
                <a16:creationId xmlns:a16="http://schemas.microsoft.com/office/drawing/2014/main" id="{BE16EDD7-7400-7C45-3884-6A619B6DF41F}"/>
              </a:ext>
            </a:extLst>
          </cdr:cNvPr>
          <cdr:cNvSpPr/>
        </cdr:nvSpPr>
        <cdr:spPr>
          <a:xfrm xmlns:a="http://schemas.openxmlformats.org/drawingml/2006/main">
            <a:off x="1136650" y="1098550"/>
            <a:ext cx="367220" cy="407002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tx2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anchor="ctr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altLang="zh-CN" sz="1100" b="1" kern="1200"/>
              <a:t>R3</a:t>
            </a:r>
            <a:endParaRPr lang="zh-CN" altLang="en-US" sz="1100" b="1" kern="1200"/>
          </a:p>
        </cdr:txBody>
      </cdr:sp>
      <cdr:sp macro="" textlink="">
        <cdr:nvSpPr>
          <cdr:cNvPr id="5" name="矩形 4">
            <a:extLst xmlns:a="http://schemas.openxmlformats.org/drawingml/2006/main">
              <a:ext uri="{FF2B5EF4-FFF2-40B4-BE49-F238E27FC236}">
                <a16:creationId xmlns:a16="http://schemas.microsoft.com/office/drawing/2014/main" id="{46C3A437-D2E6-BA1D-1420-68F64CECEFD7}"/>
              </a:ext>
            </a:extLst>
          </cdr:cNvPr>
          <cdr:cNvSpPr/>
        </cdr:nvSpPr>
        <cdr:spPr>
          <a:xfrm xmlns:a="http://schemas.openxmlformats.org/drawingml/2006/main">
            <a:off x="1641475" y="1117600"/>
            <a:ext cx="367220" cy="392114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tx2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anchor="ctr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zh-CN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R3</a:t>
            </a:r>
            <a:endParaRPr lang="zh-CN" altLang="zh-CN">
              <a:effectLst/>
            </a:endParaRPr>
          </a:p>
        </cdr:txBody>
      </cdr:sp>
    </cdr:grpSp>
  </cdr:relSizeAnchor>
  <cdr:relSizeAnchor xmlns:cdr="http://schemas.openxmlformats.org/drawingml/2006/chartDrawing">
    <cdr:from>
      <cdr:x>0.15301</cdr:x>
      <cdr:y>0.0313</cdr:y>
    </cdr:from>
    <cdr:to>
      <cdr:x>0.96325</cdr:x>
      <cdr:y>0.87183</cdr:y>
    </cdr:to>
    <cdr:grpSp>
      <cdr:nvGrpSpPr>
        <cdr:cNvPr id="16" name="组合 15">
          <a:extLst xmlns:a="http://schemas.openxmlformats.org/drawingml/2006/main">
            <a:ext uri="{FF2B5EF4-FFF2-40B4-BE49-F238E27FC236}">
              <a16:creationId xmlns:a16="http://schemas.microsoft.com/office/drawing/2014/main" id="{2F1AE15E-67D5-B0DD-1104-61E483AF9E91}"/>
            </a:ext>
          </a:extLst>
        </cdr:cNvPr>
        <cdr:cNvGrpSpPr/>
      </cdr:nvGrpSpPr>
      <cdr:grpSpPr>
        <a:xfrm xmlns:a="http://schemas.openxmlformats.org/drawingml/2006/main">
          <a:off x="447428" y="105191"/>
          <a:ext cx="2369284" cy="2824802"/>
          <a:chOff x="373105" y="100014"/>
          <a:chExt cx="1975691" cy="2686050"/>
        </a:xfrm>
      </cdr:grpSpPr>
      <cdr:cxnSp macro="">
        <cdr:nvCxnSpPr>
          <cdr:cNvPr id="8" name="直接箭头连接符 7">
            <a:extLst xmlns:a="http://schemas.openxmlformats.org/drawingml/2006/main">
              <a:ext uri="{FF2B5EF4-FFF2-40B4-BE49-F238E27FC236}">
                <a16:creationId xmlns:a16="http://schemas.microsoft.com/office/drawing/2014/main" id="{95B880CA-4525-900F-3DD6-2BAEA6DFA3EC}"/>
              </a:ext>
            </a:extLst>
          </cdr:cNvPr>
          <cdr:cNvCxnSpPr/>
        </cdr:nvCxnSpPr>
        <cdr:spPr>
          <a:xfrm xmlns:a="http://schemas.openxmlformats.org/drawingml/2006/main" flipV="1">
            <a:off x="381000" y="100014"/>
            <a:ext cx="19050" cy="2686050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tx1"/>
            </a:solidFill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接箭头连接符 8">
            <a:extLst xmlns:a="http://schemas.openxmlformats.org/drawingml/2006/main">
              <a:ext uri="{FF2B5EF4-FFF2-40B4-BE49-F238E27FC236}">
                <a16:creationId xmlns:a16="http://schemas.microsoft.com/office/drawing/2014/main" id="{615CDD15-20FD-C5FB-E4AF-11A941CE5681}"/>
              </a:ext>
            </a:extLst>
          </cdr:cNvPr>
          <cdr:cNvCxnSpPr/>
        </cdr:nvCxnSpPr>
        <cdr:spPr>
          <a:xfrm xmlns:a="http://schemas.openxmlformats.org/drawingml/2006/main">
            <a:off x="373105" y="2784199"/>
            <a:ext cx="1975691" cy="0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tx1"/>
            </a:solidFill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0.21809</cdr:x>
      <cdr:y>0.17989</cdr:y>
    </cdr:from>
    <cdr:to>
      <cdr:x>0.84551</cdr:x>
      <cdr:y>0.33868</cdr:y>
    </cdr:to>
    <cdr:cxnSp macro="">
      <cdr:nvCxnSpPr>
        <cdr:cNvPr id="3" name="直接箭头连接符 2">
          <a:extLst xmlns:a="http://schemas.openxmlformats.org/drawingml/2006/main">
            <a:ext uri="{FF2B5EF4-FFF2-40B4-BE49-F238E27FC236}">
              <a16:creationId xmlns:a16="http://schemas.microsoft.com/office/drawing/2014/main" id="{6CEB440A-ABEE-07F0-736B-76DDFB367714}"/>
            </a:ext>
          </a:extLst>
        </cdr:cNvPr>
        <cdr:cNvCxnSpPr/>
      </cdr:nvCxnSpPr>
      <cdr:spPr>
        <a:xfrm xmlns:a="http://schemas.openxmlformats.org/drawingml/2006/main" flipV="1">
          <a:off x="1622333" y="1001966"/>
          <a:ext cx="4667250" cy="884464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2D4D75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0.38821</cdr:x>
      <cdr:y>0.1579</cdr:y>
    </cdr:from>
    <cdr:to>
      <cdr:x>0.63149</cdr:x>
      <cdr:y>0.24096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1C859E53-5B47-9E8E-976C-C0E391A5E242}"/>
            </a:ext>
          </a:extLst>
        </cdr:cNvPr>
        <cdr:cNvSpPr txBox="1"/>
      </cdr:nvSpPr>
      <cdr:spPr>
        <a:xfrm xmlns:a="http://schemas.openxmlformats.org/drawingml/2006/main">
          <a:off x="2887797" y="879502"/>
          <a:ext cx="1809750" cy="4626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 kern="1200">
              <a:solidFill>
                <a:schemeClr val="tx2"/>
              </a:solidFill>
            </a:rPr>
            <a:t>CAGR 9.74%</a:t>
          </a:r>
          <a:endParaRPr lang="zh-CN" altLang="en-US" sz="2000" b="1" kern="1200">
            <a:solidFill>
              <a:schemeClr val="tx2"/>
            </a:solidFill>
          </a:endParaRPr>
        </a:p>
      </cdr:txBody>
    </cdr:sp>
  </cdr:relSizeAnchor>
  <cdr:relSizeAnchor xmlns:cdr="http://schemas.openxmlformats.org/drawingml/2006/chartDrawing">
    <cdr:from>
      <cdr:x>0.17329</cdr:x>
      <cdr:y>0.35484</cdr:y>
    </cdr:from>
    <cdr:to>
      <cdr:x>0.30772</cdr:x>
      <cdr:y>0.43476</cdr:y>
    </cdr:to>
    <cdr:sp macro="" textlink="">
      <cdr:nvSpPr>
        <cdr:cNvPr id="5" name="文本框 1">
          <a:extLst xmlns:a="http://schemas.openxmlformats.org/drawingml/2006/main">
            <a:ext uri="{FF2B5EF4-FFF2-40B4-BE49-F238E27FC236}">
              <a16:creationId xmlns:a16="http://schemas.microsoft.com/office/drawing/2014/main" id="{7A639B43-37BC-8C0E-A4D4-551617EAF329}"/>
            </a:ext>
          </a:extLst>
        </cdr:cNvPr>
        <cdr:cNvSpPr txBox="1"/>
      </cdr:nvSpPr>
      <cdr:spPr>
        <a:xfrm xmlns:a="http://schemas.openxmlformats.org/drawingml/2006/main">
          <a:off x="1289050" y="1945820"/>
          <a:ext cx="1000033" cy="438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 b="1" kern="1200">
              <a:solidFill>
                <a:schemeClr val="tx1"/>
              </a:solidFill>
            </a:rPr>
            <a:t>3990.67</a:t>
          </a:r>
          <a:endParaRPr lang="zh-CN" altLang="en-US" sz="1600" b="1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0.33609</cdr:x>
      <cdr:y>0.32688</cdr:y>
    </cdr:from>
    <cdr:to>
      <cdr:x>0.47052</cdr:x>
      <cdr:y>0.4068</cdr:y>
    </cdr:to>
    <cdr:sp macro="" textlink="">
      <cdr:nvSpPr>
        <cdr:cNvPr id="6" name="文本框 1">
          <a:extLst xmlns:a="http://schemas.openxmlformats.org/drawingml/2006/main">
            <a:ext uri="{FF2B5EF4-FFF2-40B4-BE49-F238E27FC236}">
              <a16:creationId xmlns:a16="http://schemas.microsoft.com/office/drawing/2014/main" id="{3A70AB2B-3E7E-590D-B795-A8B9BECC0808}"/>
            </a:ext>
          </a:extLst>
        </cdr:cNvPr>
        <cdr:cNvSpPr txBox="1"/>
      </cdr:nvSpPr>
      <cdr:spPr>
        <a:xfrm xmlns:a="http://schemas.openxmlformats.org/drawingml/2006/main">
          <a:off x="2500086" y="1792514"/>
          <a:ext cx="1000033" cy="438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 b="1" kern="1200">
              <a:solidFill>
                <a:schemeClr val="tx1"/>
              </a:solidFill>
            </a:rPr>
            <a:t>4389.99</a:t>
          </a:r>
          <a:endParaRPr lang="zh-CN" altLang="en-US" sz="1600" b="1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0.5062</cdr:x>
      <cdr:y>0.27974</cdr:y>
    </cdr:from>
    <cdr:to>
      <cdr:x>0.64064</cdr:x>
      <cdr:y>0.35965</cdr:y>
    </cdr:to>
    <cdr:sp macro="" textlink="">
      <cdr:nvSpPr>
        <cdr:cNvPr id="7" name="文本框 1">
          <a:extLst xmlns:a="http://schemas.openxmlformats.org/drawingml/2006/main">
            <a:ext uri="{FF2B5EF4-FFF2-40B4-BE49-F238E27FC236}">
              <a16:creationId xmlns:a16="http://schemas.microsoft.com/office/drawing/2014/main" id="{D1A5F5BB-0D7E-6560-27F9-BB69D11DAB7A}"/>
            </a:ext>
          </a:extLst>
        </cdr:cNvPr>
        <cdr:cNvSpPr txBox="1"/>
      </cdr:nvSpPr>
      <cdr:spPr>
        <a:xfrm xmlns:a="http://schemas.openxmlformats.org/drawingml/2006/main">
          <a:off x="3765550" y="1533978"/>
          <a:ext cx="1000033" cy="438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 b="1" kern="1200">
              <a:solidFill>
                <a:schemeClr val="tx1"/>
              </a:solidFill>
            </a:rPr>
            <a:t>4919.40</a:t>
          </a:r>
          <a:endParaRPr lang="zh-CN" altLang="en-US" sz="1600" b="1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0.67815</cdr:x>
      <cdr:y>0.22763</cdr:y>
    </cdr:from>
    <cdr:to>
      <cdr:x>0.81258</cdr:x>
      <cdr:y>0.30754</cdr:y>
    </cdr:to>
    <cdr:sp macro="" textlink="">
      <cdr:nvSpPr>
        <cdr:cNvPr id="8" name="文本框 1">
          <a:extLst xmlns:a="http://schemas.openxmlformats.org/drawingml/2006/main">
            <a:ext uri="{FF2B5EF4-FFF2-40B4-BE49-F238E27FC236}">
              <a16:creationId xmlns:a16="http://schemas.microsoft.com/office/drawing/2014/main" id="{6DBC582C-5A9A-8640-433F-0E835E8A3D28}"/>
            </a:ext>
          </a:extLst>
        </cdr:cNvPr>
        <cdr:cNvSpPr txBox="1"/>
      </cdr:nvSpPr>
      <cdr:spPr>
        <a:xfrm xmlns:a="http://schemas.openxmlformats.org/drawingml/2006/main">
          <a:off x="5044621" y="1248229"/>
          <a:ext cx="1000033" cy="438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 b="1" kern="1200">
              <a:solidFill>
                <a:schemeClr val="tx1"/>
              </a:solidFill>
            </a:rPr>
            <a:t>5570.90</a:t>
          </a:r>
          <a:endParaRPr lang="zh-CN" altLang="en-US" sz="1600" b="1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0.83729</cdr:x>
      <cdr:y>0.16559</cdr:y>
    </cdr:from>
    <cdr:to>
      <cdr:x>0.97172</cdr:x>
      <cdr:y>0.24551</cdr:y>
    </cdr:to>
    <cdr:sp macro="" textlink="">
      <cdr:nvSpPr>
        <cdr:cNvPr id="9" name="文本框 1">
          <a:extLst xmlns:a="http://schemas.openxmlformats.org/drawingml/2006/main">
            <a:ext uri="{FF2B5EF4-FFF2-40B4-BE49-F238E27FC236}">
              <a16:creationId xmlns:a16="http://schemas.microsoft.com/office/drawing/2014/main" id="{4E4FD06A-0034-7535-DCD4-ADFC8E013649}"/>
            </a:ext>
          </a:extLst>
        </cdr:cNvPr>
        <cdr:cNvSpPr txBox="1"/>
      </cdr:nvSpPr>
      <cdr:spPr>
        <a:xfrm xmlns:a="http://schemas.openxmlformats.org/drawingml/2006/main">
          <a:off x="6228443" y="908050"/>
          <a:ext cx="1000033" cy="438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 b="1" kern="1200">
              <a:solidFill>
                <a:schemeClr val="tx1"/>
              </a:solidFill>
            </a:rPr>
            <a:t>6351.44</a:t>
          </a:r>
          <a:endParaRPr lang="zh-CN" altLang="en-US" sz="1600" b="1" kern="1200">
            <a:solidFill>
              <a:schemeClr val="tx1"/>
            </a:solidFill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B10EA0-81A2-48FA-86AD-A3BD8FD37014}" name="Table2" displayName="Table2" ref="A2:K7" totalsRowShown="0" headerRowDxfId="12" dataDxfId="11">
  <tableColumns count="11">
    <tableColumn id="1" xr3:uid="{3E4ACC5A-6EF5-4D75-ACA5-A21FDB84921F}" name="Ratios" dataDxfId="10"/>
    <tableColumn id="2" xr3:uid="{954E13EB-3A34-4CDD-BD11-A27E5A02C322}" name="2024" dataDxfId="9"/>
    <tableColumn id="3" xr3:uid="{CFC9D8BA-33D8-4626-BDCC-084D38CA006E}" name="2023" dataDxfId="8"/>
    <tableColumn id="4" xr3:uid="{2CEF3D20-8D41-4CC3-9361-8FF26CEACB51}" name="2022" dataDxfId="7"/>
    <tableColumn id="5" xr3:uid="{846FCB11-53E6-441E-BE99-EF5344A1D227}" name="2021" dataDxfId="6"/>
    <tableColumn id="6" xr3:uid="{82BA432B-D55B-4650-9B5C-447ADBA0F21F}" name="2020" dataDxfId="5"/>
    <tableColumn id="7" xr3:uid="{12DA8252-A460-406F-816A-AE58C17DDA5D}" name="2019" dataDxfId="4"/>
    <tableColumn id="8" xr3:uid="{1A0CAAEF-2CE9-4560-9C77-5A7305077C1E}" name="2018" dataDxfId="3"/>
    <tableColumn id="9" xr3:uid="{AC059034-ADFB-4F65-A41B-1EC69AF3C767}" name="2017" dataDxfId="2"/>
    <tableColumn id="10" xr3:uid="{A610E3F0-88AC-4C7F-BE9D-99E655887111}" name="2016" dataDxfId="1"/>
    <tableColumn id="11" xr3:uid="{6DCD2932-4A77-4CD3-B8A0-C6343A0010AD}" name="2015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5"/>
  <sheetViews>
    <sheetView zoomScale="70" zoomScaleNormal="70" workbookViewId="0">
      <selection activeCell="B86" sqref="B86"/>
    </sheetView>
  </sheetViews>
  <sheetFormatPr defaultColWidth="9" defaultRowHeight="14.4"/>
  <cols>
    <col min="1" max="1" width="64.88671875" customWidth="1"/>
    <col min="2" max="11" width="15.6640625" customWidth="1"/>
  </cols>
  <sheetData>
    <row r="1" spans="1:12" ht="53.1" customHeight="1">
      <c r="A1" s="356" t="s">
        <v>0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</row>
    <row r="2" spans="1:12" ht="32.1" customHeight="1">
      <c r="A2" s="245" t="s">
        <v>1</v>
      </c>
      <c r="B2" s="245">
        <v>2024</v>
      </c>
      <c r="C2" s="245">
        <v>2023</v>
      </c>
      <c r="D2" s="245">
        <v>2022</v>
      </c>
      <c r="E2" s="245">
        <v>2021</v>
      </c>
      <c r="F2" s="245">
        <v>2020</v>
      </c>
      <c r="G2" s="245">
        <v>2019</v>
      </c>
      <c r="H2" s="245">
        <v>2018</v>
      </c>
      <c r="I2" s="245">
        <v>2017</v>
      </c>
      <c r="J2" s="245">
        <v>2016</v>
      </c>
      <c r="K2" s="245">
        <v>2015</v>
      </c>
      <c r="L2" s="7"/>
    </row>
    <row r="3" spans="1:12" ht="15" customHeight="1">
      <c r="A3" s="4" t="s">
        <v>2</v>
      </c>
      <c r="B3" s="47">
        <v>865</v>
      </c>
      <c r="C3" s="5">
        <v>1423</v>
      </c>
      <c r="D3" s="5">
        <v>307</v>
      </c>
      <c r="E3" s="5">
        <v>387</v>
      </c>
      <c r="F3" s="5">
        <v>367</v>
      </c>
      <c r="G3" s="5">
        <v>248</v>
      </c>
      <c r="H3" s="5">
        <v>182</v>
      </c>
      <c r="I3" s="5">
        <v>52</v>
      </c>
      <c r="J3" s="5">
        <v>98</v>
      </c>
      <c r="K3" s="5">
        <v>80</v>
      </c>
    </row>
    <row r="4" spans="1:12" ht="15" customHeight="1">
      <c r="A4" s="4" t="s">
        <v>3</v>
      </c>
      <c r="B4" s="5"/>
      <c r="C4" s="5">
        <v>1415</v>
      </c>
      <c r="D4" s="5">
        <v>297</v>
      </c>
      <c r="E4" s="5">
        <v>218</v>
      </c>
      <c r="F4" s="5">
        <v>67</v>
      </c>
      <c r="G4" s="5">
        <v>100</v>
      </c>
      <c r="H4" s="5"/>
      <c r="I4" s="5">
        <v>29</v>
      </c>
      <c r="J4" s="5">
        <v>20</v>
      </c>
      <c r="K4" s="5"/>
    </row>
    <row r="5" spans="1:12" ht="15" customHeight="1">
      <c r="A5" s="4" t="s">
        <v>4</v>
      </c>
      <c r="B5" s="5">
        <v>83</v>
      </c>
      <c r="C5" s="5"/>
      <c r="D5" s="5"/>
      <c r="E5" s="5"/>
      <c r="F5" s="5"/>
      <c r="G5" s="5"/>
      <c r="H5" s="5"/>
      <c r="I5" s="5"/>
      <c r="J5" s="5"/>
      <c r="K5" s="5"/>
    </row>
    <row r="6" spans="1:12" ht="15" customHeight="1">
      <c r="A6" s="4" t="s">
        <v>5</v>
      </c>
      <c r="B6" s="5">
        <v>782</v>
      </c>
      <c r="C6" s="5"/>
      <c r="D6" s="5"/>
      <c r="E6" s="5"/>
      <c r="F6" s="5"/>
      <c r="G6" s="5"/>
      <c r="H6" s="5"/>
      <c r="I6" s="5"/>
      <c r="J6" s="5"/>
      <c r="K6" s="5"/>
    </row>
    <row r="7" spans="1:12" ht="15" customHeight="1">
      <c r="A7" s="4" t="s">
        <v>6</v>
      </c>
      <c r="B7" s="5"/>
      <c r="C7" s="5">
        <v>8</v>
      </c>
      <c r="D7" s="5">
        <v>10</v>
      </c>
      <c r="E7" s="5">
        <v>169</v>
      </c>
      <c r="F7" s="5">
        <v>300</v>
      </c>
      <c r="G7" s="5">
        <v>148</v>
      </c>
      <c r="H7" s="5"/>
      <c r="I7" s="5">
        <v>23</v>
      </c>
      <c r="J7" s="5">
        <v>78</v>
      </c>
      <c r="K7" s="5"/>
    </row>
    <row r="8" spans="1:12" ht="15" customHeight="1">
      <c r="A8" s="4" t="s">
        <v>7</v>
      </c>
      <c r="B8" s="5">
        <v>604</v>
      </c>
      <c r="C8" s="5">
        <v>747</v>
      </c>
      <c r="D8" s="5">
        <v>949</v>
      </c>
      <c r="E8" s="5">
        <v>474</v>
      </c>
      <c r="F8" s="5">
        <v>499</v>
      </c>
      <c r="G8" s="5">
        <v>334</v>
      </c>
      <c r="H8" s="5">
        <v>438</v>
      </c>
      <c r="I8" s="5">
        <v>278</v>
      </c>
      <c r="J8" s="5">
        <v>223</v>
      </c>
      <c r="K8" s="5">
        <v>190</v>
      </c>
    </row>
    <row r="9" spans="1:12" ht="15" customHeight="1">
      <c r="A9" s="4" t="s">
        <v>8</v>
      </c>
      <c r="B9" s="5">
        <v>292</v>
      </c>
      <c r="C9" s="5">
        <v>281</v>
      </c>
      <c r="D9" s="5">
        <v>765</v>
      </c>
      <c r="E9" s="5">
        <v>308</v>
      </c>
      <c r="F9" s="5">
        <v>330</v>
      </c>
      <c r="G9" s="5">
        <v>199</v>
      </c>
      <c r="H9" s="5"/>
      <c r="I9" s="5">
        <v>99</v>
      </c>
      <c r="J9" s="5">
        <v>106</v>
      </c>
      <c r="K9" s="5"/>
    </row>
    <row r="10" spans="1:12" ht="15" customHeight="1">
      <c r="A10" s="4" t="s">
        <v>9</v>
      </c>
      <c r="B10" s="5">
        <v>109</v>
      </c>
      <c r="C10" s="5">
        <v>281</v>
      </c>
      <c r="D10" s="5">
        <v>70</v>
      </c>
      <c r="E10" s="5">
        <v>62</v>
      </c>
      <c r="F10" s="5">
        <v>50</v>
      </c>
      <c r="G10" s="5">
        <v>36</v>
      </c>
      <c r="H10" s="5"/>
      <c r="I10" s="5"/>
      <c r="J10" s="5"/>
      <c r="K10" s="5"/>
    </row>
    <row r="11" spans="1:12" ht="15" customHeight="1">
      <c r="A11" s="4" t="s">
        <v>10</v>
      </c>
      <c r="B11" s="5"/>
      <c r="C11" s="5">
        <v>283</v>
      </c>
      <c r="D11" s="5">
        <v>72</v>
      </c>
      <c r="E11" s="5">
        <v>63</v>
      </c>
      <c r="F11" s="5">
        <v>51</v>
      </c>
      <c r="G11" s="5">
        <v>36</v>
      </c>
      <c r="H11" s="5"/>
      <c r="I11" s="5">
        <v>79</v>
      </c>
      <c r="J11" s="5">
        <v>33</v>
      </c>
      <c r="K11" s="5"/>
    </row>
    <row r="12" spans="1:12" ht="15" customHeight="1">
      <c r="A12" s="4" t="s">
        <v>11</v>
      </c>
      <c r="B12" s="5"/>
      <c r="C12" s="6">
        <v>-2</v>
      </c>
      <c r="D12" s="6">
        <v>-2</v>
      </c>
      <c r="E12" s="6">
        <v>-1</v>
      </c>
      <c r="F12" s="6">
        <v>-1</v>
      </c>
      <c r="G12" s="5">
        <v>0</v>
      </c>
      <c r="H12" s="5"/>
      <c r="I12" s="5">
        <v>0</v>
      </c>
      <c r="J12" s="5">
        <v>0</v>
      </c>
      <c r="K12" s="5"/>
    </row>
    <row r="13" spans="1:12" ht="15" customHeight="1">
      <c r="A13" s="4" t="s">
        <v>12</v>
      </c>
      <c r="B13" s="5">
        <v>97</v>
      </c>
      <c r="C13" s="5">
        <v>78</v>
      </c>
      <c r="D13" s="5">
        <v>11</v>
      </c>
      <c r="E13" s="5">
        <v>7</v>
      </c>
      <c r="F13" s="5">
        <v>29</v>
      </c>
      <c r="G13" s="5">
        <v>5</v>
      </c>
      <c r="H13" s="5"/>
      <c r="I13" s="5">
        <v>1</v>
      </c>
      <c r="J13" s="5">
        <v>1</v>
      </c>
      <c r="K13" s="5"/>
    </row>
    <row r="14" spans="1:12" ht="15" customHeight="1">
      <c r="A14" s="4" t="s">
        <v>13</v>
      </c>
      <c r="B14" s="5">
        <v>12</v>
      </c>
      <c r="C14" s="5">
        <v>9</v>
      </c>
      <c r="D14" s="5">
        <v>7</v>
      </c>
      <c r="E14" s="5"/>
      <c r="F14" s="5"/>
      <c r="G14" s="5"/>
      <c r="H14" s="5"/>
      <c r="I14" s="5">
        <v>23</v>
      </c>
      <c r="J14" s="5">
        <v>22</v>
      </c>
      <c r="K14" s="5"/>
    </row>
    <row r="15" spans="1:12" ht="15" customHeight="1">
      <c r="A15" s="4" t="s">
        <v>14</v>
      </c>
      <c r="B15" s="5">
        <v>36</v>
      </c>
      <c r="C15" s="5">
        <v>40</v>
      </c>
      <c r="D15" s="5">
        <v>39</v>
      </c>
      <c r="E15" s="5">
        <v>42</v>
      </c>
      <c r="F15" s="5">
        <v>36</v>
      </c>
      <c r="G15" s="5">
        <v>41</v>
      </c>
      <c r="H15" s="5"/>
      <c r="I15" s="5">
        <v>25</v>
      </c>
      <c r="J15" s="5">
        <v>9</v>
      </c>
      <c r="K15" s="5"/>
    </row>
    <row r="16" spans="1:12" ht="15" customHeight="1">
      <c r="A16" s="4" t="s">
        <v>15</v>
      </c>
      <c r="B16" s="5">
        <v>58</v>
      </c>
      <c r="C16" s="5">
        <v>58</v>
      </c>
      <c r="D16" s="5">
        <v>57</v>
      </c>
      <c r="E16" s="5">
        <v>55</v>
      </c>
      <c r="F16" s="5">
        <v>54</v>
      </c>
      <c r="G16" s="5">
        <v>53</v>
      </c>
      <c r="H16" s="5"/>
      <c r="I16" s="5">
        <v>51</v>
      </c>
      <c r="J16" s="5">
        <v>52</v>
      </c>
      <c r="K16" s="5"/>
    </row>
    <row r="17" spans="1:11" ht="15" customHeight="1">
      <c r="A17" s="4" t="s">
        <v>16</v>
      </c>
      <c r="B17" s="5">
        <v>235</v>
      </c>
      <c r="C17" s="5">
        <v>309</v>
      </c>
      <c r="D17" s="5">
        <v>242</v>
      </c>
      <c r="E17" s="5">
        <v>217</v>
      </c>
      <c r="F17" s="5">
        <v>220</v>
      </c>
      <c r="G17" s="5">
        <v>203</v>
      </c>
      <c r="H17" s="5">
        <v>200</v>
      </c>
      <c r="I17" s="5">
        <v>120</v>
      </c>
      <c r="J17" s="5">
        <v>118</v>
      </c>
      <c r="K17" s="5">
        <v>99</v>
      </c>
    </row>
    <row r="18" spans="1:11" ht="15" customHeight="1">
      <c r="A18" s="4" t="s">
        <v>17</v>
      </c>
      <c r="B18" s="5">
        <v>117</v>
      </c>
      <c r="C18" s="5">
        <v>106</v>
      </c>
      <c r="D18" s="5">
        <v>125</v>
      </c>
      <c r="E18" s="5">
        <v>144</v>
      </c>
      <c r="F18" s="5">
        <v>157</v>
      </c>
      <c r="G18" s="5">
        <v>120</v>
      </c>
      <c r="H18" s="5"/>
      <c r="I18" s="5">
        <v>86</v>
      </c>
      <c r="J18" s="5">
        <v>74</v>
      </c>
      <c r="K18" s="5"/>
    </row>
    <row r="19" spans="1:11" ht="15" customHeight="1">
      <c r="A19" s="4" t="s">
        <v>18</v>
      </c>
      <c r="B19" s="5">
        <v>4</v>
      </c>
      <c r="C19" s="5">
        <v>23</v>
      </c>
      <c r="D19" s="5">
        <v>24</v>
      </c>
      <c r="E19" s="5">
        <v>22</v>
      </c>
      <c r="F19" s="5">
        <v>13</v>
      </c>
      <c r="G19" s="5">
        <v>16</v>
      </c>
      <c r="H19" s="5"/>
      <c r="I19" s="5">
        <v>13</v>
      </c>
      <c r="J19" s="5">
        <v>15</v>
      </c>
      <c r="K19" s="5"/>
    </row>
    <row r="20" spans="1:11" ht="15" customHeight="1">
      <c r="A20" s="4" t="s">
        <v>19</v>
      </c>
      <c r="B20" s="5">
        <v>114</v>
      </c>
      <c r="C20" s="5">
        <v>180</v>
      </c>
      <c r="D20" s="5">
        <v>93</v>
      </c>
      <c r="E20" s="5">
        <v>51</v>
      </c>
      <c r="F20" s="5">
        <v>50</v>
      </c>
      <c r="G20" s="5">
        <v>67</v>
      </c>
      <c r="H20" s="5"/>
      <c r="I20" s="5">
        <v>21</v>
      </c>
      <c r="J20" s="5">
        <v>29</v>
      </c>
      <c r="K20" s="5"/>
    </row>
    <row r="21" spans="1:11" ht="15" customHeight="1">
      <c r="A21" s="4" t="s">
        <v>20</v>
      </c>
      <c r="B21" s="5">
        <v>244</v>
      </c>
      <c r="C21" s="5">
        <v>153</v>
      </c>
      <c r="D21" s="5">
        <v>188</v>
      </c>
      <c r="E21" s="5">
        <v>108</v>
      </c>
      <c r="F21" s="5">
        <v>71</v>
      </c>
      <c r="G21" s="5">
        <v>46</v>
      </c>
      <c r="H21" s="5">
        <v>77</v>
      </c>
      <c r="I21" s="5">
        <v>92</v>
      </c>
      <c r="J21" s="5">
        <v>115</v>
      </c>
      <c r="K21" s="5">
        <v>93</v>
      </c>
    </row>
    <row r="22" spans="1:11" ht="15" customHeight="1">
      <c r="A22" s="2" t="s">
        <v>21</v>
      </c>
      <c r="B22" s="3">
        <v>1948</v>
      </c>
      <c r="C22" s="3">
        <v>2632</v>
      </c>
      <c r="D22" s="3">
        <v>1686</v>
      </c>
      <c r="E22" s="3">
        <v>1186</v>
      </c>
      <c r="F22" s="3">
        <v>1157</v>
      </c>
      <c r="G22" s="3">
        <v>831</v>
      </c>
      <c r="H22" s="3">
        <v>897</v>
      </c>
      <c r="I22" s="3">
        <v>542</v>
      </c>
      <c r="J22" s="3">
        <v>554</v>
      </c>
      <c r="K22" s="3">
        <v>462</v>
      </c>
    </row>
    <row r="23" spans="1:11" ht="15" customHeight="1">
      <c r="A23" s="4" t="s">
        <v>22</v>
      </c>
      <c r="B23" s="5"/>
      <c r="C23" s="5"/>
      <c r="D23" s="5"/>
      <c r="E23" s="5"/>
      <c r="F23" s="5">
        <v>8137</v>
      </c>
      <c r="G23" s="5">
        <v>7763</v>
      </c>
      <c r="H23" s="5"/>
      <c r="I23" s="5"/>
      <c r="J23" s="5">
        <v>4754</v>
      </c>
      <c r="K23" s="5">
        <v>4523</v>
      </c>
    </row>
    <row r="24" spans="1:11" ht="15" customHeight="1">
      <c r="A24" s="4" t="s">
        <v>23</v>
      </c>
      <c r="B24" s="5"/>
      <c r="C24" s="5"/>
      <c r="D24" s="5"/>
      <c r="E24" s="5"/>
      <c r="F24" s="6">
        <v>-2039</v>
      </c>
      <c r="G24" s="6">
        <v>-1674</v>
      </c>
      <c r="H24" s="5"/>
      <c r="I24" s="5"/>
      <c r="J24" s="6">
        <v>-990</v>
      </c>
      <c r="K24" s="6">
        <v>-846</v>
      </c>
    </row>
    <row r="25" spans="1:11" ht="15" customHeight="1">
      <c r="A25" s="4" t="s">
        <v>24</v>
      </c>
      <c r="B25" s="5">
        <v>8061</v>
      </c>
      <c r="C25" s="5">
        <v>6557</v>
      </c>
      <c r="D25" s="5">
        <v>6360</v>
      </c>
      <c r="E25" s="5">
        <v>6203</v>
      </c>
      <c r="F25" s="5">
        <v>6098</v>
      </c>
      <c r="G25" s="5">
        <v>6089</v>
      </c>
      <c r="H25" s="5">
        <v>5356</v>
      </c>
      <c r="I25" s="5">
        <v>4378</v>
      </c>
      <c r="J25" s="5">
        <v>3764</v>
      </c>
      <c r="K25" s="5">
        <v>3679</v>
      </c>
    </row>
    <row r="26" spans="1:11" ht="15" customHeight="1">
      <c r="A26" s="4" t="s">
        <v>25</v>
      </c>
      <c r="B26" s="5">
        <v>863</v>
      </c>
      <c r="C26" s="5">
        <v>1206</v>
      </c>
      <c r="D26" s="5">
        <v>719</v>
      </c>
      <c r="E26" s="5">
        <v>396</v>
      </c>
      <c r="F26" s="5">
        <v>168</v>
      </c>
      <c r="G26" s="5">
        <v>350</v>
      </c>
      <c r="H26" s="5">
        <v>136</v>
      </c>
      <c r="I26" s="5">
        <v>64</v>
      </c>
      <c r="J26" s="5">
        <v>253</v>
      </c>
      <c r="K26" s="5">
        <v>27</v>
      </c>
    </row>
    <row r="27" spans="1:11" ht="15" customHeight="1">
      <c r="A27" s="4" t="s">
        <v>26</v>
      </c>
      <c r="B27" s="5">
        <v>166</v>
      </c>
      <c r="C27" s="5">
        <v>147</v>
      </c>
      <c r="D27" s="5">
        <v>147</v>
      </c>
      <c r="E27" s="5">
        <v>147</v>
      </c>
      <c r="F27" s="5">
        <v>150</v>
      </c>
      <c r="G27" s="5">
        <v>151</v>
      </c>
      <c r="H27" s="5">
        <v>122</v>
      </c>
      <c r="I27" s="5">
        <v>118</v>
      </c>
      <c r="J27" s="5">
        <v>116</v>
      </c>
      <c r="K27" s="5">
        <v>116</v>
      </c>
    </row>
    <row r="28" spans="1:11" ht="15" customHeight="1">
      <c r="A28" s="4" t="s">
        <v>27</v>
      </c>
      <c r="B28" s="5">
        <v>9483</v>
      </c>
      <c r="C28" s="5">
        <v>8182</v>
      </c>
      <c r="D28" s="5">
        <v>8007</v>
      </c>
      <c r="E28" s="5">
        <v>7846</v>
      </c>
      <c r="F28" s="5">
        <v>7819</v>
      </c>
      <c r="G28" s="5">
        <v>7262</v>
      </c>
      <c r="H28" s="5">
        <v>6730</v>
      </c>
      <c r="I28" s="5">
        <v>5369</v>
      </c>
      <c r="J28" s="5">
        <v>4385</v>
      </c>
      <c r="K28" s="5">
        <v>4380</v>
      </c>
    </row>
    <row r="29" spans="1:11" ht="15" customHeight="1">
      <c r="A29" s="4" t="s">
        <v>23</v>
      </c>
      <c r="B29" s="6">
        <v>-2451</v>
      </c>
      <c r="C29" s="6">
        <v>-2978</v>
      </c>
      <c r="D29" s="6">
        <v>-2513</v>
      </c>
      <c r="E29" s="6">
        <v>-2186</v>
      </c>
      <c r="F29" s="6">
        <v>-2039</v>
      </c>
      <c r="G29" s="6">
        <v>-1674</v>
      </c>
      <c r="H29" s="6">
        <v>-1632</v>
      </c>
      <c r="I29" s="6">
        <v>-1173</v>
      </c>
      <c r="J29" s="6">
        <v>-990</v>
      </c>
      <c r="K29" s="6">
        <v>-846</v>
      </c>
    </row>
    <row r="30" spans="1:11" ht="15" customHeight="1">
      <c r="A30" s="4" t="s">
        <v>28</v>
      </c>
      <c r="B30" s="5"/>
      <c r="C30" s="5"/>
      <c r="D30" s="5"/>
      <c r="E30" s="5"/>
      <c r="F30" s="5"/>
      <c r="G30" s="5"/>
      <c r="H30" s="5"/>
      <c r="I30" s="5"/>
      <c r="J30" s="5"/>
      <c r="K30" s="5">
        <v>2</v>
      </c>
    </row>
    <row r="31" spans="1:11" ht="15" customHeight="1">
      <c r="A31" s="4" t="s">
        <v>29</v>
      </c>
      <c r="B31" s="5"/>
      <c r="C31" s="5"/>
      <c r="D31" s="5"/>
      <c r="E31" s="5"/>
      <c r="F31" s="5">
        <v>980</v>
      </c>
      <c r="G31" s="5">
        <v>922</v>
      </c>
      <c r="H31" s="5"/>
      <c r="I31" s="5"/>
      <c r="J31" s="5"/>
      <c r="K31" s="5"/>
    </row>
    <row r="32" spans="1:11" ht="15" customHeight="1">
      <c r="A32" s="4" t="s">
        <v>30</v>
      </c>
      <c r="B32" s="5"/>
      <c r="C32" s="5"/>
      <c r="D32" s="5"/>
      <c r="E32" s="5"/>
      <c r="F32" s="6">
        <v>-207</v>
      </c>
      <c r="G32" s="6">
        <v>-127</v>
      </c>
      <c r="H32" s="5"/>
      <c r="I32" s="5"/>
      <c r="J32" s="5"/>
      <c r="K32" s="5"/>
    </row>
    <row r="33" spans="1:11" ht="15" customHeight="1">
      <c r="A33" s="4" t="s">
        <v>31</v>
      </c>
      <c r="B33" s="5">
        <v>744</v>
      </c>
      <c r="C33" s="5">
        <v>775</v>
      </c>
      <c r="D33" s="5">
        <v>817</v>
      </c>
      <c r="E33" s="5">
        <v>784</v>
      </c>
      <c r="F33" s="5">
        <v>773</v>
      </c>
      <c r="G33" s="5">
        <v>795</v>
      </c>
      <c r="H33" s="5"/>
      <c r="I33" s="5"/>
      <c r="J33" s="5"/>
      <c r="K33" s="5"/>
    </row>
    <row r="34" spans="1:11" ht="15" customHeight="1">
      <c r="A34" s="4" t="s">
        <v>32</v>
      </c>
      <c r="B34" s="5">
        <v>10</v>
      </c>
      <c r="C34" s="5">
        <v>111</v>
      </c>
      <c r="D34" s="5">
        <v>41</v>
      </c>
      <c r="E34" s="5">
        <v>3</v>
      </c>
      <c r="F34" s="5">
        <v>20</v>
      </c>
      <c r="G34" s="5">
        <v>21</v>
      </c>
      <c r="H34" s="5">
        <v>57</v>
      </c>
      <c r="I34" s="5">
        <v>29</v>
      </c>
      <c r="J34" s="5">
        <v>29</v>
      </c>
      <c r="K34" s="5">
        <v>27</v>
      </c>
    </row>
    <row r="35" spans="1:11" ht="15" customHeight="1">
      <c r="A35" s="4" t="s">
        <v>33</v>
      </c>
      <c r="B35" s="5">
        <v>688</v>
      </c>
      <c r="C35" s="5">
        <v>583</v>
      </c>
      <c r="D35" s="5">
        <v>605</v>
      </c>
      <c r="E35" s="5">
        <v>599</v>
      </c>
      <c r="F35" s="5">
        <v>599</v>
      </c>
      <c r="G35" s="5">
        <v>604</v>
      </c>
      <c r="H35" s="5">
        <v>164</v>
      </c>
      <c r="I35" s="5">
        <v>55</v>
      </c>
      <c r="J35" s="5">
        <v>11</v>
      </c>
      <c r="K35" s="5">
        <v>140</v>
      </c>
    </row>
    <row r="36" spans="1:11" ht="15" customHeight="1">
      <c r="A36" s="4" t="s">
        <v>34</v>
      </c>
      <c r="B36" s="6">
        <v>-351</v>
      </c>
      <c r="C36" s="6">
        <v>-270</v>
      </c>
      <c r="D36" s="6">
        <v>-264</v>
      </c>
      <c r="E36" s="6">
        <v>-192</v>
      </c>
      <c r="F36" s="6">
        <v>-126</v>
      </c>
      <c r="G36" s="6">
        <v>-58</v>
      </c>
      <c r="H36" s="6">
        <v>-21</v>
      </c>
      <c r="I36" s="6">
        <v>-12</v>
      </c>
      <c r="J36" s="6">
        <v>-7</v>
      </c>
      <c r="K36" s="6">
        <v>-79</v>
      </c>
    </row>
    <row r="37" spans="1:11" ht="15" customHeight="1">
      <c r="A37" s="4" t="s">
        <v>35</v>
      </c>
      <c r="B37" s="5">
        <v>93</v>
      </c>
      <c r="C37" s="5">
        <v>88</v>
      </c>
      <c r="D37" s="5">
        <v>87</v>
      </c>
      <c r="E37" s="5">
        <v>82</v>
      </c>
      <c r="F37" s="5">
        <v>66</v>
      </c>
      <c r="G37" s="5">
        <v>60</v>
      </c>
      <c r="H37" s="5">
        <v>50</v>
      </c>
      <c r="I37" s="5">
        <v>49</v>
      </c>
      <c r="J37" s="5">
        <v>41</v>
      </c>
      <c r="K37" s="5">
        <v>37</v>
      </c>
    </row>
    <row r="38" spans="1:11" ht="15" customHeight="1">
      <c r="A38" s="4" t="s">
        <v>36</v>
      </c>
      <c r="B38" s="6">
        <v>-36</v>
      </c>
      <c r="C38" s="6">
        <v>-31</v>
      </c>
      <c r="D38" s="6">
        <v>-27</v>
      </c>
      <c r="E38" s="6">
        <v>-23</v>
      </c>
      <c r="F38" s="6">
        <v>-19</v>
      </c>
      <c r="G38" s="6">
        <v>-16</v>
      </c>
      <c r="H38" s="6">
        <v>-14</v>
      </c>
      <c r="I38" s="6">
        <v>-11</v>
      </c>
      <c r="J38" s="6">
        <v>-9</v>
      </c>
      <c r="K38" s="6">
        <v>-7</v>
      </c>
    </row>
    <row r="39" spans="1:11" ht="15" customHeight="1">
      <c r="A39" s="4" t="s">
        <v>37</v>
      </c>
      <c r="B39" s="5">
        <v>287</v>
      </c>
      <c r="C39" s="5">
        <v>167</v>
      </c>
      <c r="D39" s="5">
        <v>170</v>
      </c>
      <c r="E39" s="5">
        <v>158</v>
      </c>
      <c r="F39" s="5">
        <v>137</v>
      </c>
      <c r="G39" s="5">
        <v>124</v>
      </c>
      <c r="H39" s="5">
        <v>206</v>
      </c>
      <c r="I39" s="5">
        <v>165</v>
      </c>
      <c r="J39" s="5">
        <v>164</v>
      </c>
      <c r="K39" s="5">
        <v>155</v>
      </c>
    </row>
    <row r="40" spans="1:11" ht="15" customHeight="1">
      <c r="A40" s="4" t="s">
        <v>38</v>
      </c>
      <c r="B40" s="6">
        <v>-45</v>
      </c>
      <c r="C40" s="6">
        <v>-36</v>
      </c>
      <c r="D40" s="6">
        <v>-32</v>
      </c>
      <c r="E40" s="6">
        <v>-27</v>
      </c>
      <c r="F40" s="6">
        <v>-22</v>
      </c>
      <c r="G40" s="6">
        <v>-18</v>
      </c>
      <c r="H40" s="6">
        <v>-34</v>
      </c>
      <c r="I40" s="6">
        <v>-26</v>
      </c>
      <c r="J40" s="6">
        <v>-18</v>
      </c>
      <c r="K40" s="6">
        <v>-13</v>
      </c>
    </row>
    <row r="41" spans="1:11" ht="15" customHeight="1">
      <c r="A41" s="4" t="s">
        <v>39</v>
      </c>
      <c r="B41" s="5">
        <v>45</v>
      </c>
      <c r="C41" s="5">
        <v>109</v>
      </c>
      <c r="D41" s="5">
        <v>182</v>
      </c>
      <c r="E41" s="5">
        <v>127</v>
      </c>
      <c r="F41" s="5">
        <v>67</v>
      </c>
      <c r="G41" s="5">
        <v>25</v>
      </c>
      <c r="H41" s="5">
        <v>47</v>
      </c>
      <c r="I41" s="5">
        <v>129</v>
      </c>
      <c r="J41" s="5">
        <v>61</v>
      </c>
      <c r="K41" s="5">
        <v>46</v>
      </c>
    </row>
    <row r="42" spans="1:11" ht="15" customHeight="1">
      <c r="A42" s="4" t="s">
        <v>40</v>
      </c>
      <c r="B42" s="5">
        <v>62</v>
      </c>
      <c r="C42" s="5">
        <v>58</v>
      </c>
      <c r="D42" s="5">
        <v>55</v>
      </c>
      <c r="E42" s="5">
        <v>67</v>
      </c>
      <c r="F42" s="5">
        <v>56</v>
      </c>
      <c r="G42" s="5">
        <v>53</v>
      </c>
      <c r="H42" s="5">
        <v>55</v>
      </c>
      <c r="I42" s="5">
        <v>55</v>
      </c>
      <c r="J42" s="5">
        <v>53</v>
      </c>
      <c r="K42" s="5">
        <v>51</v>
      </c>
    </row>
    <row r="43" spans="1:11" ht="15" customHeight="1">
      <c r="A43" s="4" t="s">
        <v>41</v>
      </c>
      <c r="B43" s="6">
        <v>-44</v>
      </c>
      <c r="C43" s="6">
        <v>-39</v>
      </c>
      <c r="D43" s="6">
        <v>-35</v>
      </c>
      <c r="E43" s="6">
        <v>-45</v>
      </c>
      <c r="F43" s="6">
        <v>-40</v>
      </c>
      <c r="G43" s="6">
        <v>-35</v>
      </c>
      <c r="H43" s="6">
        <v>-37</v>
      </c>
      <c r="I43" s="6">
        <v>-32</v>
      </c>
      <c r="J43" s="6">
        <v>-26</v>
      </c>
      <c r="K43" s="6">
        <v>-21</v>
      </c>
    </row>
    <row r="44" spans="1:11" ht="15" customHeight="1">
      <c r="A44" s="4" t="s">
        <v>42</v>
      </c>
      <c r="B44" s="5">
        <v>35</v>
      </c>
      <c r="C44" s="5">
        <v>35</v>
      </c>
      <c r="D44" s="5">
        <v>35</v>
      </c>
      <c r="E44" s="5">
        <v>35</v>
      </c>
      <c r="F44" s="5">
        <v>35</v>
      </c>
      <c r="G44" s="5">
        <v>35</v>
      </c>
      <c r="H44" s="5"/>
      <c r="I44" s="5"/>
      <c r="J44" s="5"/>
      <c r="K44" s="5"/>
    </row>
    <row r="45" spans="1:11" ht="15" customHeight="1">
      <c r="A45" s="4" t="s">
        <v>20</v>
      </c>
      <c r="B45" s="5">
        <v>412</v>
      </c>
      <c r="C45" s="5">
        <v>199</v>
      </c>
      <c r="D45" s="5">
        <v>295</v>
      </c>
      <c r="E45" s="5">
        <v>222</v>
      </c>
      <c r="F45" s="5">
        <v>177</v>
      </c>
      <c r="G45" s="5">
        <v>140</v>
      </c>
      <c r="H45" s="5">
        <v>82</v>
      </c>
      <c r="I45" s="5">
        <v>79</v>
      </c>
      <c r="J45" s="5">
        <v>154</v>
      </c>
      <c r="K45" s="5">
        <v>127</v>
      </c>
    </row>
    <row r="46" spans="1:11" ht="15" customHeight="1">
      <c r="A46" s="4" t="s">
        <v>43</v>
      </c>
      <c r="B46" s="5"/>
      <c r="C46" s="5"/>
      <c r="D46" s="5"/>
      <c r="E46" s="5"/>
      <c r="F46" s="5"/>
      <c r="G46" s="5"/>
      <c r="H46" s="5"/>
      <c r="I46" s="5">
        <v>644</v>
      </c>
      <c r="J46" s="5">
        <v>667</v>
      </c>
      <c r="K46" s="5">
        <v>689</v>
      </c>
    </row>
    <row r="47" spans="1:11" ht="15" customHeight="1">
      <c r="A47" s="4" t="s">
        <v>44</v>
      </c>
      <c r="B47" s="5">
        <v>26</v>
      </c>
      <c r="C47" s="5">
        <v>16</v>
      </c>
      <c r="D47" s="5">
        <v>20</v>
      </c>
      <c r="E47" s="5">
        <v>17</v>
      </c>
      <c r="F47" s="5">
        <v>19</v>
      </c>
      <c r="G47" s="5">
        <v>24</v>
      </c>
      <c r="H47" s="5">
        <v>59</v>
      </c>
      <c r="I47" s="5">
        <v>74</v>
      </c>
      <c r="J47" s="5">
        <v>16</v>
      </c>
      <c r="K47" s="5">
        <v>18</v>
      </c>
    </row>
    <row r="48" spans="1:11" ht="15" customHeight="1">
      <c r="A48" s="4" t="s">
        <v>45</v>
      </c>
      <c r="B48" s="5"/>
      <c r="C48" s="5"/>
      <c r="D48" s="5"/>
      <c r="E48" s="5"/>
      <c r="F48" s="5"/>
      <c r="G48" s="5"/>
      <c r="H48" s="5">
        <v>473</v>
      </c>
      <c r="I48" s="5">
        <v>401</v>
      </c>
      <c r="J48" s="5">
        <v>299</v>
      </c>
      <c r="K48" s="5">
        <v>341</v>
      </c>
    </row>
    <row r="49" spans="1:11" ht="15" customHeight="1">
      <c r="A49" s="4" t="s">
        <v>46</v>
      </c>
      <c r="B49" s="5"/>
      <c r="C49" s="5"/>
      <c r="D49" s="5"/>
      <c r="E49" s="5"/>
      <c r="F49" s="5"/>
      <c r="G49" s="5"/>
      <c r="H49" s="5"/>
      <c r="I49" s="5"/>
      <c r="J49" s="5"/>
      <c r="K49" s="5">
        <v>5</v>
      </c>
    </row>
    <row r="50" spans="1:11" ht="15" customHeight="1">
      <c r="A50" s="4" t="s">
        <v>47</v>
      </c>
      <c r="B50" s="5"/>
      <c r="C50" s="5"/>
      <c r="D50" s="5"/>
      <c r="E50" s="5"/>
      <c r="F50" s="5"/>
      <c r="G50" s="5"/>
      <c r="H50" s="5"/>
      <c r="I50" s="5"/>
      <c r="J50" s="5">
        <v>359</v>
      </c>
      <c r="K50" s="5">
        <v>456</v>
      </c>
    </row>
    <row r="51" spans="1:11" ht="15" customHeight="1">
      <c r="A51" s="4" t="s">
        <v>48</v>
      </c>
      <c r="B51" s="5"/>
      <c r="C51" s="5"/>
      <c r="D51" s="5"/>
      <c r="E51" s="5"/>
      <c r="F51" s="5"/>
      <c r="G51" s="5"/>
      <c r="H51" s="5"/>
      <c r="I51" s="5"/>
      <c r="J51" s="6">
        <v>-60</v>
      </c>
      <c r="K51" s="6">
        <v>-120</v>
      </c>
    </row>
    <row r="52" spans="1:11" ht="15" customHeight="1">
      <c r="A52" s="4" t="s">
        <v>49</v>
      </c>
      <c r="B52" s="5"/>
      <c r="C52" s="5"/>
      <c r="D52" s="5"/>
      <c r="E52" s="5"/>
      <c r="F52" s="5"/>
      <c r="G52" s="5"/>
      <c r="H52" s="5">
        <v>35</v>
      </c>
      <c r="I52" s="5">
        <v>35</v>
      </c>
      <c r="J52" s="5">
        <v>23</v>
      </c>
      <c r="K52" s="5">
        <v>30</v>
      </c>
    </row>
    <row r="53" spans="1:11" ht="15" customHeight="1">
      <c r="A53" s="4" t="s">
        <v>50</v>
      </c>
      <c r="B53" s="5">
        <v>132</v>
      </c>
      <c r="C53" s="5">
        <v>110</v>
      </c>
      <c r="D53" s="5">
        <v>49</v>
      </c>
      <c r="E53" s="5">
        <v>47</v>
      </c>
      <c r="F53" s="5">
        <v>37</v>
      </c>
      <c r="G53" s="5">
        <v>53</v>
      </c>
      <c r="H53" s="5">
        <v>66</v>
      </c>
      <c r="I53" s="5">
        <v>68</v>
      </c>
      <c r="J53" s="5">
        <v>20</v>
      </c>
      <c r="K53" s="5">
        <v>24</v>
      </c>
    </row>
    <row r="54" spans="1:11" ht="15" customHeight="1">
      <c r="A54" s="4" t="s">
        <v>51</v>
      </c>
      <c r="B54" s="5">
        <v>1096</v>
      </c>
      <c r="C54" s="5">
        <v>455</v>
      </c>
      <c r="D54" s="5">
        <v>437</v>
      </c>
      <c r="E54" s="5">
        <v>145</v>
      </c>
      <c r="F54" s="5">
        <v>134</v>
      </c>
      <c r="G54" s="5">
        <v>132</v>
      </c>
      <c r="H54" s="5">
        <v>142</v>
      </c>
      <c r="I54" s="5">
        <v>184</v>
      </c>
      <c r="J54" s="5">
        <v>18</v>
      </c>
      <c r="K54" s="5">
        <v>10</v>
      </c>
    </row>
    <row r="55" spans="1:11" ht="15" customHeight="1">
      <c r="A55" s="4" t="s">
        <v>52</v>
      </c>
      <c r="B55" s="5"/>
      <c r="C55" s="5"/>
      <c r="D55" s="5"/>
      <c r="E55" s="5"/>
      <c r="F55" s="5"/>
      <c r="G55" s="5"/>
      <c r="H55" s="5"/>
      <c r="I55" s="5"/>
      <c r="J55" s="5">
        <v>5</v>
      </c>
      <c r="K55" s="5">
        <v>13</v>
      </c>
    </row>
    <row r="56" spans="1:11" ht="15" customHeight="1">
      <c r="A56" s="4" t="s">
        <v>53</v>
      </c>
      <c r="B56" s="5">
        <v>380</v>
      </c>
      <c r="C56" s="5">
        <v>269</v>
      </c>
      <c r="D56" s="5">
        <v>310</v>
      </c>
      <c r="E56" s="5">
        <v>349</v>
      </c>
      <c r="F56" s="5">
        <v>387</v>
      </c>
      <c r="G56" s="5">
        <v>423</v>
      </c>
      <c r="H56" s="5">
        <v>459</v>
      </c>
      <c r="I56" s="5">
        <v>493</v>
      </c>
      <c r="J56" s="5">
        <v>542</v>
      </c>
      <c r="K56" s="5"/>
    </row>
    <row r="57" spans="1:11" ht="15" customHeight="1">
      <c r="A57" s="4" t="s">
        <v>54</v>
      </c>
      <c r="B57" s="5">
        <v>118</v>
      </c>
      <c r="C57" s="5">
        <v>118</v>
      </c>
      <c r="D57" s="5">
        <v>127</v>
      </c>
      <c r="E57" s="5">
        <v>120</v>
      </c>
      <c r="F57" s="5">
        <v>129</v>
      </c>
      <c r="G57" s="5">
        <v>95</v>
      </c>
      <c r="H57" s="5">
        <v>0</v>
      </c>
      <c r="I57" s="5"/>
      <c r="J57" s="5"/>
      <c r="K57" s="5"/>
    </row>
    <row r="58" spans="1:11" ht="15" customHeight="1">
      <c r="A58" s="4" t="s">
        <v>13</v>
      </c>
      <c r="B58" s="5">
        <v>13</v>
      </c>
      <c r="C58" s="5">
        <v>25</v>
      </c>
      <c r="D58" s="5">
        <v>34</v>
      </c>
      <c r="E58" s="5"/>
      <c r="F58" s="5"/>
      <c r="G58" s="5"/>
      <c r="H58" s="5"/>
      <c r="I58" s="5"/>
      <c r="J58" s="5"/>
      <c r="K58" s="5"/>
    </row>
    <row r="59" spans="1:11" ht="15" customHeight="1">
      <c r="A59" s="2" t="s">
        <v>55</v>
      </c>
      <c r="B59" s="3">
        <v>10982</v>
      </c>
      <c r="C59" s="3">
        <v>8524</v>
      </c>
      <c r="D59" s="3">
        <v>8449</v>
      </c>
      <c r="E59" s="3">
        <v>7887</v>
      </c>
      <c r="F59" s="3">
        <v>7754</v>
      </c>
      <c r="G59" s="3">
        <v>7751</v>
      </c>
      <c r="H59" s="3">
        <v>6672</v>
      </c>
      <c r="I59" s="3">
        <v>6356</v>
      </c>
      <c r="J59" s="3">
        <v>5508</v>
      </c>
      <c r="K59" s="3">
        <v>4931</v>
      </c>
    </row>
    <row r="60" spans="1:11" ht="15" customHeight="1">
      <c r="A60" s="2" t="s">
        <v>56</v>
      </c>
      <c r="B60" s="3">
        <v>12930</v>
      </c>
      <c r="C60" s="3">
        <v>11156</v>
      </c>
      <c r="D60" s="3">
        <v>10135</v>
      </c>
      <c r="E60" s="3">
        <v>9073</v>
      </c>
      <c r="F60" s="3">
        <v>8911</v>
      </c>
      <c r="G60" s="3">
        <v>8582</v>
      </c>
      <c r="H60" s="3">
        <v>7569</v>
      </c>
      <c r="I60" s="3">
        <v>6898</v>
      </c>
      <c r="J60" s="3">
        <v>6062</v>
      </c>
      <c r="K60" s="3">
        <v>5393</v>
      </c>
    </row>
    <row r="61" spans="1:11" ht="15" customHeight="1">
      <c r="A61" s="4" t="s">
        <v>57</v>
      </c>
      <c r="B61" s="5">
        <v>751</v>
      </c>
      <c r="C61" s="5">
        <v>717</v>
      </c>
      <c r="D61" s="5">
        <v>1249</v>
      </c>
      <c r="E61" s="5">
        <v>624</v>
      </c>
      <c r="F61" s="5">
        <v>470</v>
      </c>
      <c r="G61" s="5">
        <v>301</v>
      </c>
      <c r="H61" s="5">
        <v>244</v>
      </c>
      <c r="I61" s="5">
        <v>216</v>
      </c>
      <c r="J61" s="5">
        <v>217</v>
      </c>
      <c r="K61" s="5">
        <v>181</v>
      </c>
    </row>
    <row r="62" spans="1:11" ht="15" customHeight="1">
      <c r="A62" s="4" t="s">
        <v>58</v>
      </c>
      <c r="B62" s="5">
        <v>163</v>
      </c>
      <c r="C62" s="5">
        <v>183</v>
      </c>
      <c r="D62" s="5">
        <v>117</v>
      </c>
      <c r="E62" s="5">
        <v>69</v>
      </c>
      <c r="F62" s="5">
        <v>78</v>
      </c>
      <c r="G62" s="5">
        <v>63</v>
      </c>
      <c r="H62" s="5"/>
      <c r="I62" s="5">
        <v>38</v>
      </c>
      <c r="J62" s="5">
        <v>70</v>
      </c>
      <c r="K62" s="5"/>
    </row>
    <row r="63" spans="1:11" ht="15" customHeight="1">
      <c r="A63" s="4" t="s">
        <v>59</v>
      </c>
      <c r="B63" s="5">
        <v>427</v>
      </c>
      <c r="C63" s="5">
        <v>420</v>
      </c>
      <c r="D63" s="5">
        <v>1025</v>
      </c>
      <c r="E63" s="5">
        <v>436</v>
      </c>
      <c r="F63" s="5">
        <v>308</v>
      </c>
      <c r="G63" s="5">
        <v>137</v>
      </c>
      <c r="H63" s="5"/>
      <c r="I63" s="5">
        <v>103</v>
      </c>
      <c r="J63" s="5">
        <v>90</v>
      </c>
      <c r="K63" s="5"/>
    </row>
    <row r="64" spans="1:11" ht="15" customHeight="1">
      <c r="A64" s="4" t="s">
        <v>60</v>
      </c>
      <c r="B64" s="5">
        <v>91</v>
      </c>
      <c r="C64" s="5">
        <v>72</v>
      </c>
      <c r="D64" s="5">
        <v>68</v>
      </c>
      <c r="E64" s="5">
        <v>64</v>
      </c>
      <c r="F64" s="5">
        <v>54</v>
      </c>
      <c r="G64" s="5">
        <v>50</v>
      </c>
      <c r="H64" s="5"/>
      <c r="I64" s="5">
        <v>44</v>
      </c>
      <c r="J64" s="5">
        <v>37</v>
      </c>
      <c r="K64" s="5"/>
    </row>
    <row r="65" spans="1:11" ht="15" customHeight="1">
      <c r="A65" s="4" t="s">
        <v>61</v>
      </c>
      <c r="B65" s="5">
        <v>0</v>
      </c>
      <c r="C65" s="5">
        <v>1</v>
      </c>
      <c r="D65" s="5">
        <v>5</v>
      </c>
      <c r="E65" s="5">
        <v>31</v>
      </c>
      <c r="F65" s="5">
        <v>7</v>
      </c>
      <c r="G65" s="5">
        <v>32</v>
      </c>
      <c r="H65" s="5"/>
      <c r="I65" s="5">
        <v>11</v>
      </c>
      <c r="J65" s="5">
        <v>6</v>
      </c>
      <c r="K65" s="5"/>
    </row>
    <row r="66" spans="1:11" ht="15" customHeight="1">
      <c r="A66" s="4" t="s">
        <v>62</v>
      </c>
      <c r="B66" s="5">
        <v>70</v>
      </c>
      <c r="C66" s="5">
        <v>41</v>
      </c>
      <c r="D66" s="5">
        <v>34</v>
      </c>
      <c r="E66" s="5">
        <v>24</v>
      </c>
      <c r="F66" s="5">
        <v>23</v>
      </c>
      <c r="G66" s="5">
        <v>19</v>
      </c>
      <c r="H66" s="5"/>
      <c r="I66" s="5">
        <v>19</v>
      </c>
      <c r="J66" s="5">
        <v>13</v>
      </c>
      <c r="K66" s="5"/>
    </row>
    <row r="67" spans="1:11" ht="15" customHeight="1">
      <c r="A67" s="4" t="s">
        <v>63</v>
      </c>
      <c r="B67" s="5">
        <v>213</v>
      </c>
      <c r="C67" s="5">
        <v>96</v>
      </c>
      <c r="D67" s="5">
        <v>158</v>
      </c>
      <c r="E67" s="5">
        <v>153</v>
      </c>
      <c r="F67" s="5">
        <v>135</v>
      </c>
      <c r="G67" s="5">
        <v>60</v>
      </c>
      <c r="H67" s="5">
        <v>62</v>
      </c>
      <c r="I67" s="5">
        <v>58</v>
      </c>
      <c r="J67" s="5">
        <v>57</v>
      </c>
      <c r="K67" s="5">
        <v>2</v>
      </c>
    </row>
    <row r="68" spans="1:11" ht="15" customHeight="1">
      <c r="A68" s="4" t="s">
        <v>64</v>
      </c>
      <c r="B68" s="5"/>
      <c r="C68" s="5">
        <v>0</v>
      </c>
      <c r="D68" s="5">
        <v>117</v>
      </c>
      <c r="E68" s="5">
        <v>117</v>
      </c>
      <c r="F68" s="5">
        <v>117</v>
      </c>
      <c r="G68" s="5">
        <v>42</v>
      </c>
      <c r="H68" s="5"/>
      <c r="I68" s="5"/>
      <c r="J68" s="5"/>
      <c r="K68" s="5"/>
    </row>
    <row r="69" spans="1:11" ht="15" customHeight="1">
      <c r="A69" s="4" t="s">
        <v>65</v>
      </c>
      <c r="B69" s="5"/>
      <c r="C69" s="5">
        <v>7</v>
      </c>
      <c r="D69" s="5">
        <v>7</v>
      </c>
      <c r="E69" s="5">
        <v>6</v>
      </c>
      <c r="F69" s="5">
        <v>6</v>
      </c>
      <c r="G69" s="5">
        <v>6</v>
      </c>
      <c r="H69" s="5"/>
      <c r="I69" s="5">
        <v>1</v>
      </c>
      <c r="J69" s="5">
        <v>1</v>
      </c>
      <c r="K69" s="5"/>
    </row>
    <row r="70" spans="1:11" ht="15" customHeight="1">
      <c r="A70" s="4" t="s">
        <v>66</v>
      </c>
      <c r="B70" s="5">
        <v>4</v>
      </c>
      <c r="C70" s="5">
        <v>5</v>
      </c>
      <c r="D70" s="5">
        <v>7</v>
      </c>
      <c r="E70" s="5">
        <v>6</v>
      </c>
      <c r="F70" s="5">
        <v>4</v>
      </c>
      <c r="G70" s="5">
        <v>4</v>
      </c>
      <c r="H70" s="5"/>
      <c r="I70" s="5"/>
      <c r="J70" s="5"/>
      <c r="K70" s="5"/>
    </row>
    <row r="71" spans="1:11" ht="15" customHeight="1">
      <c r="A71" s="4" t="s">
        <v>67</v>
      </c>
      <c r="B71" s="5">
        <v>178</v>
      </c>
      <c r="C71" s="5">
        <v>66</v>
      </c>
      <c r="D71" s="5">
        <v>11</v>
      </c>
      <c r="E71" s="5"/>
      <c r="F71" s="5"/>
      <c r="G71" s="5"/>
      <c r="H71" s="5"/>
      <c r="I71" s="5"/>
      <c r="J71" s="5"/>
      <c r="K71" s="5"/>
    </row>
    <row r="72" spans="1:11" ht="15" customHeight="1">
      <c r="A72" s="4" t="s">
        <v>68</v>
      </c>
      <c r="B72" s="5">
        <v>31</v>
      </c>
      <c r="C72" s="5">
        <v>18</v>
      </c>
      <c r="D72" s="5">
        <v>16</v>
      </c>
      <c r="E72" s="5">
        <v>24</v>
      </c>
      <c r="F72" s="5">
        <v>8</v>
      </c>
      <c r="G72" s="5">
        <v>8</v>
      </c>
      <c r="H72" s="5"/>
      <c r="I72" s="5"/>
      <c r="J72" s="5"/>
      <c r="K72" s="5"/>
    </row>
    <row r="73" spans="1:11" ht="15" customHeight="1">
      <c r="A73" s="4" t="s">
        <v>69</v>
      </c>
      <c r="B73" s="5">
        <v>147</v>
      </c>
      <c r="C73" s="5">
        <v>178</v>
      </c>
      <c r="D73" s="5">
        <v>600</v>
      </c>
      <c r="E73" s="5">
        <v>252</v>
      </c>
      <c r="F73" s="5">
        <v>91</v>
      </c>
      <c r="G73" s="5">
        <v>143</v>
      </c>
      <c r="H73" s="5">
        <v>90</v>
      </c>
      <c r="I73" s="5">
        <v>86</v>
      </c>
      <c r="J73" s="5">
        <v>48</v>
      </c>
      <c r="K73" s="5">
        <v>27</v>
      </c>
    </row>
    <row r="74" spans="1:11" ht="15" customHeight="1">
      <c r="A74" s="4" t="s">
        <v>70</v>
      </c>
      <c r="B74" s="5">
        <v>85</v>
      </c>
      <c r="C74" s="5">
        <v>67</v>
      </c>
      <c r="D74" s="5">
        <v>72</v>
      </c>
      <c r="E74" s="5">
        <v>50</v>
      </c>
      <c r="F74" s="5">
        <v>37</v>
      </c>
      <c r="G74" s="5">
        <v>41</v>
      </c>
      <c r="H74" s="5">
        <v>54</v>
      </c>
      <c r="I74" s="5">
        <v>37</v>
      </c>
      <c r="J74" s="5">
        <v>26</v>
      </c>
      <c r="K74" s="5">
        <v>22</v>
      </c>
    </row>
    <row r="75" spans="1:11" ht="15" customHeight="1">
      <c r="A75" s="4" t="s">
        <v>71</v>
      </c>
      <c r="B75" s="47">
        <v>157</v>
      </c>
      <c r="C75" s="5">
        <v>590</v>
      </c>
      <c r="D75" s="5">
        <v>133</v>
      </c>
      <c r="E75" s="5">
        <v>126</v>
      </c>
      <c r="F75" s="5">
        <v>417</v>
      </c>
      <c r="G75" s="5">
        <v>857</v>
      </c>
      <c r="H75" s="5">
        <v>456</v>
      </c>
      <c r="I75" s="5">
        <v>239</v>
      </c>
      <c r="J75" s="5">
        <v>200</v>
      </c>
      <c r="K75" s="5">
        <v>339</v>
      </c>
    </row>
    <row r="76" spans="1:11" ht="15" customHeight="1">
      <c r="A76" s="4" t="s">
        <v>72</v>
      </c>
      <c r="B76" s="5">
        <v>0</v>
      </c>
      <c r="C76" s="5">
        <v>399</v>
      </c>
      <c r="D76" s="5"/>
      <c r="E76" s="5"/>
      <c r="F76" s="5"/>
      <c r="G76" s="5"/>
      <c r="H76" s="5"/>
      <c r="I76" s="5"/>
      <c r="J76" s="5"/>
      <c r="K76" s="5"/>
    </row>
    <row r="77" spans="1:11" ht="15" customHeight="1">
      <c r="A77" s="2" t="s">
        <v>73</v>
      </c>
      <c r="B77" s="3">
        <v>1353</v>
      </c>
      <c r="C77" s="3">
        <v>2047</v>
      </c>
      <c r="D77" s="3">
        <v>2212</v>
      </c>
      <c r="E77" s="3">
        <v>1205</v>
      </c>
      <c r="F77" s="3">
        <v>1150</v>
      </c>
      <c r="G77" s="3">
        <v>1402</v>
      </c>
      <c r="H77" s="3">
        <v>906</v>
      </c>
      <c r="I77" s="3">
        <v>636</v>
      </c>
      <c r="J77" s="3">
        <v>548</v>
      </c>
      <c r="K77" s="3">
        <v>571</v>
      </c>
    </row>
    <row r="78" spans="1:11" ht="15" customHeight="1">
      <c r="A78" s="4" t="s">
        <v>69</v>
      </c>
      <c r="B78" s="5">
        <v>494</v>
      </c>
      <c r="C78" s="5">
        <v>422</v>
      </c>
      <c r="D78" s="5">
        <v>624</v>
      </c>
      <c r="E78" s="5">
        <v>352</v>
      </c>
      <c r="F78" s="5">
        <v>212</v>
      </c>
      <c r="G78" s="5">
        <v>107</v>
      </c>
      <c r="H78" s="5">
        <v>114</v>
      </c>
      <c r="I78" s="5">
        <v>56</v>
      </c>
      <c r="J78" s="5">
        <v>44</v>
      </c>
      <c r="K78" s="5">
        <v>26</v>
      </c>
    </row>
    <row r="79" spans="1:11" ht="15" customHeight="1">
      <c r="A79" s="4" t="s">
        <v>71</v>
      </c>
      <c r="B79" s="47">
        <v>4819</v>
      </c>
      <c r="C79" s="5">
        <v>4126</v>
      </c>
      <c r="D79" s="5">
        <v>3593</v>
      </c>
      <c r="E79" s="5">
        <v>3234</v>
      </c>
      <c r="F79" s="5">
        <v>3135</v>
      </c>
      <c r="G79" s="5">
        <v>2556</v>
      </c>
      <c r="H79" s="5">
        <v>2191</v>
      </c>
      <c r="I79" s="5">
        <v>1907</v>
      </c>
      <c r="J79" s="5">
        <v>1308</v>
      </c>
      <c r="K79" s="5">
        <v>1276</v>
      </c>
    </row>
    <row r="80" spans="1:11" ht="15" customHeight="1">
      <c r="A80" s="4" t="s">
        <v>63</v>
      </c>
      <c r="B80" s="5">
        <v>323</v>
      </c>
      <c r="C80" s="5">
        <v>206</v>
      </c>
      <c r="D80" s="5">
        <v>245</v>
      </c>
      <c r="E80" s="5">
        <v>291</v>
      </c>
      <c r="F80" s="5">
        <v>277</v>
      </c>
      <c r="G80" s="5">
        <v>383</v>
      </c>
      <c r="H80" s="5">
        <v>587</v>
      </c>
      <c r="I80" s="5">
        <v>581</v>
      </c>
      <c r="J80" s="5">
        <v>632</v>
      </c>
      <c r="K80" s="5">
        <v>97</v>
      </c>
    </row>
    <row r="81" spans="1:11" ht="15" customHeight="1">
      <c r="A81" s="4" t="s">
        <v>64</v>
      </c>
      <c r="B81" s="5"/>
      <c r="C81" s="5"/>
      <c r="D81" s="5"/>
      <c r="E81" s="5"/>
      <c r="F81" s="5">
        <v>192</v>
      </c>
      <c r="G81" s="5">
        <v>299</v>
      </c>
      <c r="H81" s="5"/>
      <c r="I81" s="5"/>
      <c r="J81" s="5"/>
      <c r="K81" s="5"/>
    </row>
    <row r="82" spans="1:11" ht="15" customHeight="1">
      <c r="A82" s="4" t="s">
        <v>66</v>
      </c>
      <c r="B82" s="5">
        <v>29</v>
      </c>
      <c r="C82" s="5">
        <v>8</v>
      </c>
      <c r="D82" s="5">
        <v>34</v>
      </c>
      <c r="E82" s="5">
        <v>36</v>
      </c>
      <c r="F82" s="5">
        <v>44</v>
      </c>
      <c r="G82" s="5">
        <v>43</v>
      </c>
      <c r="H82" s="5"/>
      <c r="I82" s="5"/>
      <c r="J82" s="5"/>
      <c r="K82" s="5"/>
    </row>
    <row r="83" spans="1:11" ht="15" customHeight="1">
      <c r="A83" s="4" t="s">
        <v>74</v>
      </c>
      <c r="B83" s="5">
        <v>294</v>
      </c>
      <c r="C83" s="5">
        <v>198</v>
      </c>
      <c r="D83" s="5">
        <v>211</v>
      </c>
      <c r="E83" s="5">
        <v>255</v>
      </c>
      <c r="F83" s="5"/>
      <c r="G83" s="5"/>
      <c r="H83" s="5"/>
      <c r="I83" s="5"/>
      <c r="J83" s="5"/>
      <c r="K83" s="5"/>
    </row>
    <row r="84" spans="1:11" ht="15" customHeight="1">
      <c r="A84" s="4" t="s">
        <v>68</v>
      </c>
      <c r="B84" s="5"/>
      <c r="C84" s="5"/>
      <c r="D84" s="5"/>
      <c r="E84" s="5"/>
      <c r="F84" s="5">
        <v>41</v>
      </c>
      <c r="G84" s="5">
        <v>41</v>
      </c>
      <c r="H84" s="5"/>
      <c r="I84" s="5"/>
      <c r="J84" s="5"/>
      <c r="K84" s="5"/>
    </row>
    <row r="85" spans="1:11" ht="15" customHeight="1">
      <c r="A85" s="4" t="s">
        <v>70</v>
      </c>
      <c r="B85" s="5">
        <v>373</v>
      </c>
      <c r="C85" s="5">
        <v>352</v>
      </c>
      <c r="D85" s="5">
        <v>325</v>
      </c>
      <c r="E85" s="5">
        <v>411</v>
      </c>
      <c r="F85" s="5">
        <v>464</v>
      </c>
      <c r="G85" s="5">
        <v>416</v>
      </c>
      <c r="H85" s="5">
        <v>291</v>
      </c>
      <c r="I85" s="5">
        <v>265</v>
      </c>
      <c r="J85" s="5">
        <v>231</v>
      </c>
      <c r="K85" s="5">
        <v>210</v>
      </c>
    </row>
    <row r="86" spans="1:11" ht="15" customHeight="1">
      <c r="A86" s="4" t="s">
        <v>65</v>
      </c>
      <c r="B86" s="5">
        <v>134</v>
      </c>
      <c r="C86" s="5">
        <v>140</v>
      </c>
      <c r="D86" s="5">
        <v>146</v>
      </c>
      <c r="E86" s="5">
        <v>137</v>
      </c>
      <c r="F86" s="5">
        <v>143</v>
      </c>
      <c r="G86" s="5">
        <v>105</v>
      </c>
      <c r="H86" s="5">
        <v>17</v>
      </c>
      <c r="I86" s="5">
        <v>17</v>
      </c>
      <c r="J86" s="5">
        <v>19</v>
      </c>
      <c r="K86" s="5">
        <v>21</v>
      </c>
    </row>
    <row r="87" spans="1:11" ht="15" customHeight="1">
      <c r="A87" s="4" t="s">
        <v>75</v>
      </c>
      <c r="B87" s="5">
        <v>863</v>
      </c>
      <c r="C87" s="5">
        <v>677</v>
      </c>
      <c r="D87" s="5">
        <v>530</v>
      </c>
      <c r="E87" s="5">
        <v>584</v>
      </c>
      <c r="F87" s="5">
        <v>601</v>
      </c>
      <c r="G87" s="5">
        <v>512</v>
      </c>
      <c r="H87" s="5">
        <v>410</v>
      </c>
      <c r="I87" s="5">
        <v>374</v>
      </c>
      <c r="J87" s="5">
        <v>379</v>
      </c>
      <c r="K87" s="5">
        <v>376</v>
      </c>
    </row>
    <row r="88" spans="1:11" ht="15" customHeight="1">
      <c r="A88" s="2" t="s">
        <v>76</v>
      </c>
      <c r="B88" s="3">
        <v>7006</v>
      </c>
      <c r="C88" s="3">
        <v>5923</v>
      </c>
      <c r="D88" s="3">
        <v>5463</v>
      </c>
      <c r="E88" s="3">
        <v>5009</v>
      </c>
      <c r="F88" s="3">
        <v>4832</v>
      </c>
      <c r="G88" s="3">
        <v>4079</v>
      </c>
      <c r="H88" s="3">
        <v>3610</v>
      </c>
      <c r="I88" s="3">
        <v>3200</v>
      </c>
      <c r="J88" s="3">
        <v>2613</v>
      </c>
      <c r="K88" s="3">
        <v>2006</v>
      </c>
    </row>
    <row r="89" spans="1:11" ht="15" customHeight="1">
      <c r="A89" s="2" t="s">
        <v>77</v>
      </c>
      <c r="B89" s="3">
        <v>8359</v>
      </c>
      <c r="C89" s="3">
        <v>7970</v>
      </c>
      <c r="D89" s="3">
        <v>7675</v>
      </c>
      <c r="E89" s="3">
        <v>6214</v>
      </c>
      <c r="F89" s="3">
        <v>5982</v>
      </c>
      <c r="G89" s="3">
        <v>5481</v>
      </c>
      <c r="H89" s="3">
        <v>4516</v>
      </c>
      <c r="I89" s="3">
        <v>3836</v>
      </c>
      <c r="J89" s="3">
        <v>3161</v>
      </c>
      <c r="K89" s="3">
        <v>2577</v>
      </c>
    </row>
    <row r="90" spans="1:11" ht="15" customHeight="1">
      <c r="A90" s="4" t="s">
        <v>78</v>
      </c>
      <c r="B90" s="5">
        <v>4301</v>
      </c>
      <c r="C90" s="5">
        <v>3524</v>
      </c>
      <c r="D90" s="5">
        <v>3498</v>
      </c>
      <c r="E90" s="5">
        <v>3631</v>
      </c>
      <c r="F90" s="5">
        <v>3465</v>
      </c>
      <c r="G90" s="5">
        <v>3441</v>
      </c>
      <c r="H90" s="5">
        <v>3200</v>
      </c>
      <c r="I90" s="5">
        <v>3262</v>
      </c>
      <c r="J90" s="5">
        <v>2918</v>
      </c>
      <c r="K90" s="5">
        <v>2744</v>
      </c>
    </row>
    <row r="91" spans="1:11" ht="15" customHeight="1">
      <c r="A91" s="4" t="s">
        <v>79</v>
      </c>
      <c r="B91" s="5">
        <v>3848</v>
      </c>
      <c r="C91" s="5">
        <v>2921</v>
      </c>
      <c r="D91" s="5">
        <v>2895</v>
      </c>
      <c r="E91" s="5">
        <v>2878</v>
      </c>
      <c r="F91" s="5">
        <v>2512</v>
      </c>
      <c r="G91" s="5">
        <v>2488</v>
      </c>
      <c r="H91" s="5">
        <v>2393</v>
      </c>
      <c r="I91" s="5">
        <v>2455</v>
      </c>
      <c r="J91" s="5">
        <v>2258</v>
      </c>
      <c r="K91" s="5"/>
    </row>
    <row r="92" spans="1:11" ht="15" customHeight="1">
      <c r="A92" s="4" t="s">
        <v>80</v>
      </c>
      <c r="B92" s="5">
        <v>453</v>
      </c>
      <c r="C92" s="5">
        <v>603</v>
      </c>
      <c r="D92" s="5">
        <v>603</v>
      </c>
      <c r="E92" s="5">
        <v>753</v>
      </c>
      <c r="F92" s="5">
        <v>953</v>
      </c>
      <c r="G92" s="5">
        <v>953</v>
      </c>
      <c r="H92" s="5">
        <v>807</v>
      </c>
      <c r="I92" s="5">
        <v>807</v>
      </c>
      <c r="J92" s="5">
        <v>660</v>
      </c>
      <c r="K92" s="5"/>
    </row>
    <row r="93" spans="1:11" ht="15" customHeight="1">
      <c r="A93" s="4" t="s">
        <v>81</v>
      </c>
      <c r="B93" s="5">
        <v>349</v>
      </c>
      <c r="C93" s="5">
        <v>70</v>
      </c>
      <c r="D93" s="6">
        <v>-209</v>
      </c>
      <c r="E93" s="6">
        <v>-119</v>
      </c>
      <c r="F93" s="6">
        <v>-91</v>
      </c>
      <c r="G93" s="6">
        <v>-30</v>
      </c>
      <c r="H93" s="5">
        <v>32</v>
      </c>
      <c r="I93" s="6">
        <v>-67</v>
      </c>
      <c r="J93" s="5">
        <v>49</v>
      </c>
      <c r="K93" s="5">
        <v>74</v>
      </c>
    </row>
    <row r="94" spans="1:11" ht="15" customHeight="1">
      <c r="A94" s="4" t="s">
        <v>82</v>
      </c>
      <c r="B94" s="5">
        <v>108</v>
      </c>
      <c r="C94" s="5">
        <v>48</v>
      </c>
      <c r="D94" s="6">
        <v>-264</v>
      </c>
      <c r="E94" s="6">
        <v>-84</v>
      </c>
      <c r="F94" s="6">
        <v>-48</v>
      </c>
      <c r="G94" s="6">
        <v>-10</v>
      </c>
      <c r="H94" s="5">
        <v>7</v>
      </c>
      <c r="I94" s="6">
        <v>-39</v>
      </c>
      <c r="J94" s="5">
        <v>22</v>
      </c>
      <c r="K94" s="5"/>
    </row>
    <row r="95" spans="1:11" ht="15" customHeight="1">
      <c r="A95" s="4" t="s">
        <v>83</v>
      </c>
      <c r="B95" s="5">
        <v>240</v>
      </c>
      <c r="C95" s="5">
        <v>22</v>
      </c>
      <c r="D95" s="5">
        <v>53</v>
      </c>
      <c r="E95" s="6">
        <v>-28</v>
      </c>
      <c r="F95" s="6">
        <v>-34</v>
      </c>
      <c r="G95" s="6">
        <v>-16</v>
      </c>
      <c r="H95" s="5">
        <v>23</v>
      </c>
      <c r="I95" s="6">
        <v>-27</v>
      </c>
      <c r="J95" s="5">
        <v>26</v>
      </c>
      <c r="K95" s="5"/>
    </row>
    <row r="96" spans="1:11" ht="15" customHeight="1">
      <c r="A96" s="4" t="s">
        <v>84</v>
      </c>
      <c r="B96" s="6">
        <v>-9</v>
      </c>
      <c r="C96" s="6">
        <v>-10</v>
      </c>
      <c r="D96" s="6">
        <v>-8</v>
      </c>
      <c r="E96" s="6">
        <v>-17</v>
      </c>
      <c r="F96" s="6">
        <v>-20</v>
      </c>
      <c r="G96" s="6">
        <v>-15</v>
      </c>
      <c r="H96" s="6">
        <v>-9</v>
      </c>
      <c r="I96" s="6">
        <v>-11</v>
      </c>
      <c r="J96" s="6">
        <v>-10</v>
      </c>
      <c r="K96" s="5"/>
    </row>
    <row r="97" spans="1:11" ht="15" customHeight="1">
      <c r="A97" s="4" t="s">
        <v>85</v>
      </c>
      <c r="B97" s="5">
        <v>10</v>
      </c>
      <c r="C97" s="5">
        <v>10</v>
      </c>
      <c r="D97" s="5">
        <v>10</v>
      </c>
      <c r="E97" s="5">
        <v>10</v>
      </c>
      <c r="F97" s="5">
        <v>11</v>
      </c>
      <c r="G97" s="5">
        <v>11</v>
      </c>
      <c r="H97" s="5">
        <v>11</v>
      </c>
      <c r="I97" s="5">
        <v>10</v>
      </c>
      <c r="J97" s="5">
        <v>11</v>
      </c>
      <c r="K97" s="5"/>
    </row>
    <row r="98" spans="1:11" ht="15" customHeight="1">
      <c r="A98" s="4" t="s">
        <v>86</v>
      </c>
      <c r="B98" s="6">
        <v>-74</v>
      </c>
      <c r="C98" s="6">
        <v>-404</v>
      </c>
      <c r="D98" s="6">
        <v>-835</v>
      </c>
      <c r="E98" s="6">
        <v>-671</v>
      </c>
      <c r="F98" s="6">
        <v>-474</v>
      </c>
      <c r="G98" s="6">
        <v>-347</v>
      </c>
      <c r="H98" s="6">
        <v>-222</v>
      </c>
      <c r="I98" s="6">
        <v>-181</v>
      </c>
      <c r="J98" s="6">
        <v>-124</v>
      </c>
      <c r="K98" s="6">
        <v>-70</v>
      </c>
    </row>
    <row r="99" spans="1:11" ht="15" customHeight="1">
      <c r="A99" s="8" t="s">
        <v>87</v>
      </c>
      <c r="B99" s="9">
        <v>4576</v>
      </c>
      <c r="C99" s="9">
        <v>3190</v>
      </c>
      <c r="D99" s="9">
        <v>2454</v>
      </c>
      <c r="E99" s="9">
        <v>2841</v>
      </c>
      <c r="F99" s="9">
        <v>2900</v>
      </c>
      <c r="G99" s="9">
        <v>3064</v>
      </c>
      <c r="H99" s="9">
        <v>3010</v>
      </c>
      <c r="I99" s="9">
        <v>3014</v>
      </c>
      <c r="J99" s="9">
        <v>2843</v>
      </c>
      <c r="K99" s="9">
        <v>2748</v>
      </c>
    </row>
    <row r="100" spans="1:11" ht="15" customHeight="1">
      <c r="A100" s="4" t="s">
        <v>88</v>
      </c>
      <c r="B100" s="6">
        <v>-5</v>
      </c>
      <c r="C100" s="6">
        <v>-4</v>
      </c>
      <c r="D100" s="5">
        <v>6</v>
      </c>
      <c r="E100" s="5">
        <v>18</v>
      </c>
      <c r="F100" s="5">
        <v>29</v>
      </c>
      <c r="G100" s="5">
        <v>37</v>
      </c>
      <c r="H100" s="5">
        <v>43</v>
      </c>
      <c r="I100" s="5">
        <v>48</v>
      </c>
      <c r="J100" s="5">
        <v>58</v>
      </c>
      <c r="K100" s="5">
        <v>68</v>
      </c>
    </row>
    <row r="101" spans="1:11" ht="15" customHeight="1">
      <c r="A101" s="8" t="s">
        <v>88</v>
      </c>
      <c r="B101" s="10">
        <v>-5</v>
      </c>
      <c r="C101" s="10">
        <v>-4</v>
      </c>
      <c r="D101" s="9">
        <v>6</v>
      </c>
      <c r="E101" s="9">
        <v>18</v>
      </c>
      <c r="F101" s="9">
        <v>29</v>
      </c>
      <c r="G101" s="9">
        <v>37</v>
      </c>
      <c r="H101" s="9"/>
      <c r="I101" s="9"/>
      <c r="J101" s="9"/>
      <c r="K101" s="9"/>
    </row>
    <row r="102" spans="1:11" ht="15" customHeight="1">
      <c r="A102" s="2" t="s">
        <v>89</v>
      </c>
      <c r="B102" s="3">
        <v>4571</v>
      </c>
      <c r="C102" s="3">
        <v>3186</v>
      </c>
      <c r="D102" s="3">
        <v>2460</v>
      </c>
      <c r="E102" s="3">
        <v>2859</v>
      </c>
      <c r="F102" s="3">
        <v>2929</v>
      </c>
      <c r="G102" s="3">
        <v>3101</v>
      </c>
      <c r="H102" s="3">
        <v>3053</v>
      </c>
      <c r="I102" s="3">
        <v>3062</v>
      </c>
      <c r="J102" s="3">
        <v>2901</v>
      </c>
      <c r="K102" s="3">
        <v>2816</v>
      </c>
    </row>
    <row r="103" spans="1:11" ht="15" customHeight="1">
      <c r="A103" s="11" t="s">
        <v>90</v>
      </c>
      <c r="B103" s="12">
        <v>12930</v>
      </c>
      <c r="C103" s="12">
        <v>11156</v>
      </c>
      <c r="D103" s="12">
        <v>10135</v>
      </c>
      <c r="E103" s="12">
        <v>9073</v>
      </c>
      <c r="F103" s="12">
        <v>8911</v>
      </c>
      <c r="G103" s="12">
        <v>8582</v>
      </c>
      <c r="H103" s="12">
        <v>7569</v>
      </c>
      <c r="I103" s="12">
        <v>6898</v>
      </c>
      <c r="J103" s="12">
        <v>6062</v>
      </c>
      <c r="K103" s="12">
        <v>5393</v>
      </c>
    </row>
    <row r="104" spans="1:11" ht="1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5"/>
      <c r="K104" s="15"/>
    </row>
    <row r="105" spans="1:11" ht="15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5"/>
      <c r="K105" s="15"/>
    </row>
    <row r="106" spans="1:11" ht="15" customHeight="1">
      <c r="A106" s="13"/>
      <c r="B106" s="15"/>
      <c r="C106" s="16"/>
      <c r="D106" s="16"/>
      <c r="E106" s="16"/>
      <c r="F106" s="16"/>
      <c r="G106" s="17"/>
      <c r="H106" s="17"/>
      <c r="I106" s="16"/>
      <c r="J106" s="17"/>
      <c r="K106" s="17"/>
    </row>
    <row r="107" spans="1:11" ht="15" customHeight="1">
      <c r="A107" s="13"/>
      <c r="B107" s="15"/>
      <c r="C107" s="16"/>
      <c r="D107" s="16"/>
      <c r="E107" s="16"/>
      <c r="F107" s="16"/>
      <c r="G107" s="17"/>
      <c r="H107" s="17"/>
      <c r="I107" s="16"/>
      <c r="J107" s="17"/>
      <c r="K107" s="17"/>
    </row>
    <row r="108" spans="1:11" ht="15" customHeight="1">
      <c r="A108" s="13"/>
      <c r="B108" s="15"/>
      <c r="C108" s="16"/>
      <c r="D108" s="16"/>
      <c r="E108" s="16"/>
      <c r="F108" s="16"/>
      <c r="G108" s="17"/>
      <c r="H108" s="17"/>
      <c r="I108" s="16"/>
      <c r="J108" s="17"/>
      <c r="K108" s="17"/>
    </row>
    <row r="109" spans="1:11" ht="15" customHeight="1">
      <c r="A109" s="13"/>
      <c r="B109" s="15"/>
      <c r="C109" s="16"/>
      <c r="D109" s="16"/>
      <c r="E109" s="16"/>
      <c r="F109" s="16"/>
      <c r="G109" s="17"/>
      <c r="H109" s="17"/>
      <c r="I109" s="16"/>
      <c r="J109" s="17"/>
      <c r="K109" s="17"/>
    </row>
    <row r="110" spans="1:11" ht="15" customHeight="1">
      <c r="A110" s="13"/>
      <c r="B110" s="15"/>
      <c r="C110" s="16"/>
      <c r="D110" s="16"/>
      <c r="E110" s="16"/>
      <c r="F110" s="16"/>
      <c r="G110" s="17"/>
      <c r="H110" s="17"/>
      <c r="I110" s="16"/>
      <c r="J110" s="17"/>
      <c r="K110" s="17"/>
    </row>
    <row r="111" spans="1:11" ht="15" customHeight="1">
      <c r="A111" s="13"/>
      <c r="B111" s="14"/>
      <c r="C111" s="18"/>
      <c r="D111" s="18"/>
      <c r="E111" s="18"/>
      <c r="F111" s="18"/>
      <c r="G111" s="17"/>
      <c r="H111" s="17"/>
      <c r="I111" s="17"/>
      <c r="J111" s="17"/>
      <c r="K111" s="17"/>
    </row>
    <row r="112" spans="1:11" ht="15" customHeight="1">
      <c r="A112" s="13"/>
      <c r="B112" s="17"/>
      <c r="C112" s="14"/>
      <c r="D112" s="14"/>
      <c r="E112" s="14"/>
      <c r="F112" s="14"/>
      <c r="G112" s="17"/>
      <c r="H112" s="17"/>
      <c r="I112" s="15"/>
      <c r="J112" s="17"/>
      <c r="K112" s="17"/>
    </row>
    <row r="113" spans="1:11" ht="15" customHeight="1">
      <c r="A113" s="13"/>
      <c r="B113" s="17"/>
      <c r="C113" s="17"/>
      <c r="D113" s="17"/>
      <c r="E113" s="17"/>
      <c r="F113" s="17"/>
      <c r="G113" s="17"/>
      <c r="H113" s="17"/>
      <c r="I113" s="16"/>
      <c r="J113" s="17"/>
      <c r="K113" s="17"/>
    </row>
    <row r="114" spans="1:11" ht="15" customHeight="1">
      <c r="A114" s="13"/>
      <c r="B114" s="17"/>
      <c r="C114" s="14"/>
      <c r="D114" s="14"/>
      <c r="E114" s="14"/>
      <c r="F114" s="14"/>
      <c r="G114" s="17"/>
      <c r="H114" s="17"/>
      <c r="I114" s="14"/>
      <c r="J114" s="14"/>
      <c r="K114" s="17"/>
    </row>
    <row r="115" spans="1:11" ht="15" customHeight="1">
      <c r="A115" s="13"/>
      <c r="B115" s="15"/>
      <c r="C115" s="18"/>
      <c r="D115" s="16"/>
      <c r="E115" s="16"/>
      <c r="F115" s="18"/>
      <c r="G115" s="17"/>
      <c r="H115" s="17"/>
      <c r="I115" s="18"/>
      <c r="J115" s="16"/>
      <c r="K115" s="17"/>
    </row>
    <row r="116" spans="1:11" ht="15" customHeight="1">
      <c r="A116" s="13"/>
      <c r="B116" s="14"/>
      <c r="C116" s="16"/>
      <c r="D116" s="18"/>
      <c r="E116" s="16"/>
      <c r="F116" s="16"/>
      <c r="G116" s="17"/>
      <c r="H116" s="17"/>
      <c r="I116" s="18"/>
      <c r="J116" s="18"/>
      <c r="K116" s="17"/>
    </row>
    <row r="117" spans="1:11" ht="15" customHeight="1">
      <c r="A117" s="13"/>
      <c r="B117" s="14"/>
      <c r="C117" s="18"/>
      <c r="D117" s="16"/>
      <c r="E117" s="18"/>
      <c r="F117" s="16"/>
      <c r="G117" s="17"/>
      <c r="H117" s="17"/>
      <c r="I117" s="18"/>
      <c r="J117" s="18"/>
      <c r="K117" s="17"/>
    </row>
    <row r="118" spans="1:11" ht="15" customHeight="1">
      <c r="A118" s="13"/>
      <c r="B118" s="14"/>
      <c r="C118" s="18"/>
      <c r="D118" s="18"/>
      <c r="E118" s="16"/>
      <c r="F118" s="18"/>
      <c r="G118" s="17"/>
      <c r="H118" s="17"/>
      <c r="I118" s="18"/>
      <c r="J118" s="18"/>
      <c r="K118" s="17"/>
    </row>
    <row r="119" spans="1:11" ht="15" customHeight="1">
      <c r="A119" s="13"/>
      <c r="B119" s="14"/>
      <c r="C119" s="18"/>
      <c r="D119" s="18"/>
      <c r="E119" s="18"/>
      <c r="F119" s="16"/>
      <c r="G119" s="17"/>
      <c r="H119" s="17"/>
      <c r="I119" s="16"/>
      <c r="J119" s="18"/>
      <c r="K119" s="17"/>
    </row>
    <row r="120" spans="1:11" ht="15" customHeight="1">
      <c r="A120" s="13"/>
      <c r="B120" s="14"/>
      <c r="C120" s="18"/>
      <c r="D120" s="18"/>
      <c r="E120" s="18"/>
      <c r="F120" s="18"/>
      <c r="G120" s="17"/>
      <c r="H120" s="17"/>
      <c r="I120" s="18"/>
      <c r="J120" s="18"/>
      <c r="K120" s="17"/>
    </row>
    <row r="121" spans="1:11" ht="15" customHeight="1">
      <c r="A121" s="13"/>
      <c r="B121" s="14"/>
      <c r="C121" s="14"/>
      <c r="D121" s="14"/>
      <c r="E121" s="17"/>
      <c r="F121" s="17"/>
      <c r="G121" s="17"/>
      <c r="H121" s="17"/>
      <c r="I121" s="17"/>
      <c r="J121" s="17"/>
      <c r="K121" s="17"/>
    </row>
    <row r="122" spans="1:11" ht="15" customHeight="1">
      <c r="A122" s="13"/>
      <c r="B122" s="14"/>
      <c r="C122" s="14"/>
      <c r="D122" s="14"/>
      <c r="E122" s="17"/>
      <c r="F122" s="17"/>
      <c r="G122" s="17"/>
      <c r="H122" s="17"/>
      <c r="I122" s="17"/>
      <c r="J122" s="17"/>
      <c r="K122" s="17"/>
    </row>
    <row r="123" spans="1:11" ht="15" customHeight="1">
      <c r="A123" s="13"/>
      <c r="B123" s="14"/>
      <c r="C123" s="14"/>
      <c r="D123" s="14"/>
      <c r="E123" s="14"/>
      <c r="F123" s="14"/>
      <c r="G123" s="14"/>
      <c r="H123" s="17"/>
      <c r="I123" s="17"/>
      <c r="J123" s="17"/>
      <c r="K123" s="17"/>
    </row>
    <row r="124" spans="1:11" ht="15" customHeight="1">
      <c r="A124" s="13"/>
      <c r="B124" s="15"/>
      <c r="C124" s="15"/>
      <c r="D124" s="15"/>
      <c r="E124" s="15"/>
      <c r="F124" s="15"/>
      <c r="G124" s="15"/>
      <c r="H124" s="15"/>
      <c r="I124" s="15"/>
      <c r="J124" s="17"/>
      <c r="K124" s="17"/>
    </row>
    <row r="125" spans="1:11" ht="15" customHeight="1">
      <c r="A125" s="13"/>
      <c r="B125" s="17"/>
      <c r="C125" s="17"/>
      <c r="D125" s="17"/>
      <c r="E125" s="17"/>
      <c r="F125" s="17"/>
      <c r="G125" s="17"/>
      <c r="H125" s="17"/>
      <c r="I125" s="15"/>
      <c r="J125" s="15"/>
      <c r="K125" s="15"/>
    </row>
    <row r="126" spans="1:11" ht="15" customHeight="1">
      <c r="A126" s="13"/>
      <c r="B126" s="15"/>
      <c r="C126" s="15"/>
      <c r="D126" s="15"/>
      <c r="E126" s="15"/>
      <c r="F126" s="15"/>
      <c r="G126" s="15"/>
      <c r="H126" s="15"/>
      <c r="I126" s="17"/>
      <c r="J126" s="15"/>
      <c r="K126" s="15"/>
    </row>
    <row r="127" spans="1:11" ht="15" customHeight="1">
      <c r="A127" s="13"/>
      <c r="B127" s="15"/>
      <c r="C127" s="15"/>
      <c r="D127" s="15"/>
      <c r="E127" s="15"/>
      <c r="F127" s="15"/>
      <c r="G127" s="15"/>
      <c r="H127" s="15"/>
      <c r="I127" s="15"/>
      <c r="J127" s="17"/>
      <c r="K127" s="17"/>
    </row>
    <row r="128" spans="1:11" ht="15" customHeight="1">
      <c r="A128" s="13"/>
      <c r="B128" s="15"/>
      <c r="C128" s="15"/>
      <c r="D128" s="15"/>
      <c r="E128" s="15"/>
      <c r="F128" s="15"/>
      <c r="G128" s="15"/>
      <c r="H128" s="15"/>
      <c r="I128" s="17"/>
      <c r="J128" s="17"/>
      <c r="K128" s="17"/>
    </row>
    <row r="129" spans="1:11" ht="15" customHeight="1">
      <c r="A129" s="13"/>
      <c r="B129" s="15"/>
      <c r="C129" s="15"/>
      <c r="D129" s="15"/>
      <c r="E129" s="15"/>
      <c r="F129" s="15"/>
      <c r="G129" s="15"/>
      <c r="H129" s="15"/>
      <c r="I129" s="15"/>
      <c r="J129" s="17"/>
      <c r="K129" s="17"/>
    </row>
    <row r="130" spans="1:11" ht="15" customHeight="1">
      <c r="A130" s="13"/>
      <c r="B130" s="15"/>
      <c r="C130" s="15"/>
      <c r="D130" s="15"/>
      <c r="E130" s="15"/>
      <c r="F130" s="15"/>
      <c r="G130" s="15"/>
      <c r="H130" s="15"/>
      <c r="I130" s="17"/>
      <c r="J130" s="17"/>
      <c r="K130" s="17"/>
    </row>
    <row r="131" spans="1:11" ht="15" customHeight="1">
      <c r="A131" s="13"/>
      <c r="B131" s="17"/>
      <c r="C131" s="15"/>
      <c r="D131" s="15"/>
      <c r="E131" s="15"/>
      <c r="F131" s="15"/>
      <c r="G131" s="15"/>
      <c r="H131" s="15"/>
      <c r="I131" s="15"/>
      <c r="J131" s="17"/>
      <c r="K131" s="17"/>
    </row>
    <row r="132" spans="1:11" ht="15" customHeight="1">
      <c r="A132" s="13"/>
      <c r="B132" s="17"/>
      <c r="C132" s="15"/>
      <c r="D132" s="15"/>
      <c r="E132" s="15"/>
      <c r="F132" s="15"/>
      <c r="G132" s="15"/>
      <c r="H132" s="15"/>
      <c r="I132" s="17"/>
      <c r="J132" s="17"/>
      <c r="K132" s="17"/>
    </row>
    <row r="133" spans="1:11" ht="15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5"/>
      <c r="K133" s="15"/>
    </row>
    <row r="134" spans="1:11" ht="1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5"/>
      <c r="K134" s="15"/>
    </row>
    <row r="135" spans="1:11" ht="15" customHeight="1">
      <c r="A135" s="13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</sheetData>
  <mergeCells count="1">
    <mergeCell ref="A1:K1"/>
  </mergeCells>
  <phoneticPr fontId="23" type="noConversion"/>
  <pageMargins left="0.5" right="0.5" top="1" bottom="1" header="0.5" footer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75"/>
  <sheetViews>
    <sheetView zoomScale="70" zoomScaleNormal="70" workbookViewId="0">
      <selection activeCell="B14" sqref="B14"/>
    </sheetView>
  </sheetViews>
  <sheetFormatPr defaultColWidth="9" defaultRowHeight="14.4"/>
  <cols>
    <col min="1" max="1" width="85.6640625" customWidth="1"/>
    <col min="2" max="11" width="15.6640625" customWidth="1"/>
  </cols>
  <sheetData>
    <row r="1" spans="1:11" ht="45.9" customHeight="1">
      <c r="A1" s="357" t="s">
        <v>91</v>
      </c>
      <c r="B1" s="357"/>
      <c r="C1" s="357"/>
      <c r="D1" s="357"/>
      <c r="E1" s="357"/>
      <c r="F1" s="357"/>
      <c r="G1" s="358"/>
      <c r="H1" s="358"/>
      <c r="I1" s="358"/>
      <c r="J1" s="358"/>
      <c r="K1" s="358"/>
    </row>
    <row r="2" spans="1:11" ht="32.1" customHeight="1">
      <c r="A2" s="1" t="s">
        <v>1</v>
      </c>
      <c r="B2" s="1">
        <v>2024</v>
      </c>
      <c r="C2" s="1">
        <v>2023</v>
      </c>
      <c r="D2" s="1">
        <v>2022</v>
      </c>
      <c r="E2" s="1">
        <v>2021</v>
      </c>
      <c r="F2" s="1">
        <v>2020</v>
      </c>
      <c r="G2" s="1">
        <v>2019</v>
      </c>
      <c r="H2" s="1">
        <v>2018</v>
      </c>
      <c r="I2" s="1">
        <v>2017</v>
      </c>
      <c r="J2" s="1">
        <v>2016</v>
      </c>
      <c r="K2" s="1">
        <v>2015</v>
      </c>
    </row>
    <row r="3" spans="1:11" ht="15" customHeight="1">
      <c r="A3" s="4" t="s">
        <v>92</v>
      </c>
      <c r="B3" s="5">
        <v>701</v>
      </c>
      <c r="C3" s="5">
        <v>737</v>
      </c>
      <c r="D3" s="5">
        <v>128</v>
      </c>
      <c r="E3" s="5">
        <v>87</v>
      </c>
      <c r="F3" s="5">
        <v>130</v>
      </c>
      <c r="G3" s="5">
        <v>119</v>
      </c>
      <c r="H3" s="5">
        <v>258</v>
      </c>
      <c r="I3" s="5">
        <v>134</v>
      </c>
      <c r="J3" s="5">
        <v>102</v>
      </c>
      <c r="K3" s="5">
        <v>86</v>
      </c>
    </row>
    <row r="4" spans="1:11" ht="15" customHeight="1">
      <c r="A4" s="4" t="s">
        <v>93</v>
      </c>
      <c r="B4" s="5">
        <v>503</v>
      </c>
      <c r="C4" s="5">
        <v>574</v>
      </c>
      <c r="D4" s="5">
        <v>553</v>
      </c>
      <c r="E4" s="5">
        <v>539</v>
      </c>
      <c r="F4" s="5">
        <v>478</v>
      </c>
      <c r="G4" s="5">
        <v>473</v>
      </c>
      <c r="H4" s="5">
        <v>335</v>
      </c>
      <c r="I4" s="5">
        <v>271</v>
      </c>
      <c r="J4" s="5">
        <v>216</v>
      </c>
      <c r="K4" s="5">
        <v>215</v>
      </c>
    </row>
    <row r="5" spans="1:11" ht="15" customHeight="1">
      <c r="A5" s="4" t="s">
        <v>94</v>
      </c>
      <c r="B5" s="5"/>
      <c r="C5" s="5"/>
      <c r="D5" s="5"/>
      <c r="E5" s="5"/>
      <c r="F5" s="5"/>
      <c r="G5" s="5">
        <v>-24</v>
      </c>
      <c r="H5" s="5">
        <v>-159</v>
      </c>
      <c r="I5" s="5"/>
      <c r="J5" s="5"/>
      <c r="K5" s="5"/>
    </row>
    <row r="6" spans="1:11" ht="15" customHeight="1">
      <c r="A6" s="4" t="s">
        <v>95</v>
      </c>
      <c r="B6" s="5"/>
      <c r="C6" s="5"/>
      <c r="D6" s="5"/>
      <c r="E6" s="5"/>
      <c r="F6" s="5">
        <v>26</v>
      </c>
      <c r="G6" s="5">
        <v>401</v>
      </c>
      <c r="H6" s="5"/>
      <c r="I6" s="5">
        <v>83</v>
      </c>
      <c r="J6" s="5">
        <v>6</v>
      </c>
      <c r="K6" s="5"/>
    </row>
    <row r="7" spans="1:11" ht="15" customHeight="1">
      <c r="A7" s="4" t="s">
        <v>96</v>
      </c>
      <c r="B7" s="5">
        <v>221</v>
      </c>
      <c r="C7" s="5">
        <v>166</v>
      </c>
      <c r="D7" s="5">
        <v>156</v>
      </c>
      <c r="E7" s="5">
        <v>174</v>
      </c>
      <c r="F7" s="5">
        <v>197</v>
      </c>
      <c r="G7" s="5">
        <v>156</v>
      </c>
      <c r="H7" s="5">
        <v>123</v>
      </c>
      <c r="I7" s="5">
        <v>108</v>
      </c>
      <c r="J7" s="5">
        <v>86</v>
      </c>
      <c r="K7" s="5">
        <v>94</v>
      </c>
    </row>
    <row r="8" spans="1:11" ht="15" customHeight="1">
      <c r="A8" s="4" t="s">
        <v>97</v>
      </c>
      <c r="B8" s="5">
        <v>-238</v>
      </c>
      <c r="C8" s="5">
        <v>-321</v>
      </c>
      <c r="D8" s="5">
        <v>429</v>
      </c>
      <c r="E8" s="5">
        <v>220</v>
      </c>
      <c r="F8" s="5">
        <v>15</v>
      </c>
      <c r="G8" s="5">
        <v>-118</v>
      </c>
      <c r="H8" s="5">
        <v>67</v>
      </c>
      <c r="I8" s="5">
        <v>41</v>
      </c>
      <c r="J8" s="5">
        <v>-12</v>
      </c>
      <c r="K8" s="5">
        <v>1</v>
      </c>
    </row>
    <row r="9" spans="1:11" ht="15" customHeight="1">
      <c r="A9" s="4" t="s">
        <v>98</v>
      </c>
      <c r="B9" s="5"/>
      <c r="C9" s="5"/>
      <c r="D9" s="5"/>
      <c r="E9" s="5"/>
      <c r="F9" s="5"/>
      <c r="G9" s="5"/>
      <c r="H9" s="5"/>
      <c r="I9" s="5"/>
      <c r="J9" s="5">
        <v>-4</v>
      </c>
      <c r="K9" s="5">
        <v>17</v>
      </c>
    </row>
    <row r="10" spans="1:11" ht="15" customHeight="1">
      <c r="A10" s="4" t="s">
        <v>99</v>
      </c>
      <c r="B10" s="5">
        <v>44</v>
      </c>
      <c r="C10" s="5">
        <v>13</v>
      </c>
      <c r="D10" s="5">
        <v>39</v>
      </c>
      <c r="E10" s="5">
        <v>9</v>
      </c>
      <c r="F10" s="5">
        <v>13</v>
      </c>
      <c r="G10" s="5">
        <v>21</v>
      </c>
      <c r="H10" s="5">
        <v>6</v>
      </c>
      <c r="I10" s="5">
        <v>-21</v>
      </c>
      <c r="J10" s="5">
        <v>-13</v>
      </c>
      <c r="K10" s="5">
        <v>-17</v>
      </c>
    </row>
    <row r="11" spans="1:11" ht="15" customHeight="1">
      <c r="A11" s="4" t="s">
        <v>100</v>
      </c>
      <c r="B11" s="5"/>
      <c r="C11" s="5"/>
      <c r="D11" s="5"/>
      <c r="E11" s="5"/>
      <c r="F11" s="5"/>
      <c r="G11" s="5"/>
      <c r="H11" s="5"/>
      <c r="I11" s="5">
        <v>22</v>
      </c>
      <c r="J11" s="5">
        <v>21</v>
      </c>
      <c r="K11" s="5">
        <v>19</v>
      </c>
    </row>
    <row r="12" spans="1:11" ht="15" customHeight="1">
      <c r="A12" s="4" t="s">
        <v>101</v>
      </c>
      <c r="B12" s="5">
        <v>-163</v>
      </c>
      <c r="C12" s="5">
        <v>-111</v>
      </c>
      <c r="D12" s="5">
        <v>-89</v>
      </c>
      <c r="E12" s="5">
        <v>-111</v>
      </c>
      <c r="F12" s="5">
        <v>-132</v>
      </c>
      <c r="G12" s="5">
        <v>-110</v>
      </c>
      <c r="H12" s="5">
        <v>-96</v>
      </c>
      <c r="I12" s="5">
        <v>-81</v>
      </c>
      <c r="J12" s="5">
        <v>-73</v>
      </c>
      <c r="K12" s="5">
        <v>-80</v>
      </c>
    </row>
    <row r="13" spans="1:11" ht="15" customHeight="1">
      <c r="A13" s="4" t="s">
        <v>102</v>
      </c>
      <c r="B13" s="5">
        <v>-38</v>
      </c>
      <c r="C13" s="5">
        <v>-214</v>
      </c>
      <c r="D13" s="5">
        <v>-37</v>
      </c>
      <c r="E13" s="5">
        <v>7</v>
      </c>
      <c r="F13" s="5">
        <v>-41</v>
      </c>
      <c r="G13" s="5"/>
      <c r="H13" s="5"/>
      <c r="I13" s="5"/>
      <c r="J13" s="5"/>
      <c r="K13" s="5">
        <v>-1</v>
      </c>
    </row>
    <row r="14" spans="1:11" ht="15" customHeight="1">
      <c r="A14" s="4" t="s">
        <v>103</v>
      </c>
      <c r="B14" s="5"/>
      <c r="C14" s="5"/>
      <c r="D14" s="5"/>
      <c r="E14" s="5"/>
      <c r="F14" s="5">
        <v>-24</v>
      </c>
      <c r="G14" s="5"/>
      <c r="H14" s="5"/>
      <c r="I14" s="5"/>
      <c r="J14" s="5"/>
      <c r="K14" s="5"/>
    </row>
    <row r="15" spans="1:11" ht="15" customHeight="1">
      <c r="A15" s="4" t="s">
        <v>104</v>
      </c>
      <c r="B15" s="5"/>
      <c r="C15" s="5"/>
      <c r="D15" s="5"/>
      <c r="E15" s="5"/>
      <c r="F15" s="5">
        <v>-5</v>
      </c>
      <c r="G15" s="5"/>
      <c r="H15" s="5"/>
      <c r="I15" s="5"/>
      <c r="J15" s="5"/>
      <c r="K15" s="5"/>
    </row>
    <row r="16" spans="1:11" ht="15" customHeight="1">
      <c r="A16" s="4" t="s">
        <v>105</v>
      </c>
      <c r="B16" s="5"/>
      <c r="C16" s="5"/>
      <c r="D16" s="5"/>
      <c r="E16" s="5"/>
      <c r="F16" s="5">
        <v>-3</v>
      </c>
      <c r="G16" s="5"/>
      <c r="H16" s="5"/>
      <c r="I16" s="5"/>
      <c r="J16" s="5"/>
      <c r="K16" s="5"/>
    </row>
    <row r="17" spans="1:11" ht="15" customHeight="1">
      <c r="A17" s="4" t="s">
        <v>106</v>
      </c>
      <c r="B17" s="5"/>
      <c r="C17" s="5"/>
      <c r="D17" s="5"/>
      <c r="E17" s="5"/>
      <c r="F17" s="5">
        <v>-13</v>
      </c>
      <c r="G17" s="5"/>
      <c r="H17" s="5"/>
      <c r="I17" s="5"/>
      <c r="J17" s="5"/>
      <c r="K17" s="5"/>
    </row>
    <row r="18" spans="1:11" ht="15" customHeight="1">
      <c r="A18" s="4" t="s">
        <v>107</v>
      </c>
      <c r="B18" s="5">
        <v>15</v>
      </c>
      <c r="C18" s="5">
        <v>-29</v>
      </c>
      <c r="D18" s="5">
        <v>-13</v>
      </c>
      <c r="E18" s="5">
        <v>-30</v>
      </c>
      <c r="F18" s="5">
        <v>-45</v>
      </c>
      <c r="G18" s="5">
        <v>-67</v>
      </c>
      <c r="H18" s="5">
        <v>-22</v>
      </c>
      <c r="I18" s="5">
        <v>-16</v>
      </c>
      <c r="J18" s="5">
        <v>-25</v>
      </c>
      <c r="K18" s="5">
        <v>-5</v>
      </c>
    </row>
    <row r="19" spans="1:11" ht="15" customHeight="1">
      <c r="A19" s="4" t="s">
        <v>108</v>
      </c>
      <c r="B19" s="5">
        <v>198</v>
      </c>
      <c r="C19" s="5">
        <v>204</v>
      </c>
      <c r="D19" s="5">
        <v>13</v>
      </c>
      <c r="E19" s="5">
        <v>60</v>
      </c>
      <c r="F19" s="5">
        <v>82</v>
      </c>
      <c r="G19" s="5">
        <v>-6</v>
      </c>
      <c r="H19" s="5">
        <v>90</v>
      </c>
      <c r="I19" s="5">
        <v>-41</v>
      </c>
      <c r="J19" s="5">
        <v>30</v>
      </c>
      <c r="K19" s="5">
        <v>66</v>
      </c>
    </row>
    <row r="20" spans="1:11" ht="15" customHeight="1">
      <c r="A20" s="4" t="s">
        <v>109</v>
      </c>
      <c r="B20" s="5">
        <v>173</v>
      </c>
      <c r="C20" s="5">
        <v>-226</v>
      </c>
      <c r="D20" s="5">
        <v>179</v>
      </c>
      <c r="E20" s="5">
        <v>100</v>
      </c>
      <c r="F20" s="5">
        <v>26</v>
      </c>
      <c r="G20" s="5">
        <v>69</v>
      </c>
      <c r="H20" s="5">
        <v>-43</v>
      </c>
      <c r="I20" s="5">
        <v>-40</v>
      </c>
      <c r="J20" s="5">
        <v>20</v>
      </c>
      <c r="K20" s="5">
        <v>11</v>
      </c>
    </row>
    <row r="21" spans="1:11" ht="15" customHeight="1">
      <c r="A21" s="4" t="s">
        <v>110</v>
      </c>
      <c r="B21" s="5">
        <v>13</v>
      </c>
      <c r="C21" s="5">
        <v>249</v>
      </c>
      <c r="D21" s="5">
        <v>-213</v>
      </c>
      <c r="E21" s="5">
        <v>-43</v>
      </c>
      <c r="F21" s="5">
        <v>-14</v>
      </c>
      <c r="G21" s="5">
        <v>29</v>
      </c>
      <c r="H21" s="5">
        <v>21</v>
      </c>
      <c r="I21" s="5">
        <v>-5</v>
      </c>
      <c r="J21" s="5">
        <v>-31</v>
      </c>
      <c r="K21" s="5">
        <v>8</v>
      </c>
    </row>
    <row r="22" spans="1:11" ht="15" customHeight="1">
      <c r="A22" s="4" t="s">
        <v>7</v>
      </c>
      <c r="B22" s="5">
        <v>194</v>
      </c>
      <c r="C22" s="5"/>
      <c r="D22" s="5"/>
      <c r="E22" s="5"/>
      <c r="F22" s="5">
        <v>-23</v>
      </c>
      <c r="G22" s="5"/>
      <c r="H22" s="5"/>
      <c r="I22" s="5">
        <v>-26</v>
      </c>
      <c r="J22" s="5">
        <v>17</v>
      </c>
      <c r="K22" s="5">
        <v>11</v>
      </c>
    </row>
    <row r="23" spans="1:11" ht="15" customHeight="1">
      <c r="A23" s="4" t="s">
        <v>16</v>
      </c>
      <c r="B23" s="5">
        <v>77</v>
      </c>
      <c r="C23" s="5"/>
      <c r="D23" s="5"/>
      <c r="E23" s="5"/>
      <c r="F23" s="5">
        <v>-31</v>
      </c>
      <c r="G23" s="5"/>
      <c r="H23" s="5"/>
      <c r="I23" s="5">
        <v>4</v>
      </c>
      <c r="J23" s="5">
        <v>5</v>
      </c>
      <c r="K23" s="5">
        <v>13</v>
      </c>
    </row>
    <row r="24" spans="1:11" ht="15" customHeight="1">
      <c r="A24" s="4" t="s">
        <v>57</v>
      </c>
      <c r="B24" s="5">
        <v>-58</v>
      </c>
      <c r="C24" s="5"/>
      <c r="D24" s="5"/>
      <c r="E24" s="5"/>
      <c r="F24" s="5">
        <v>89</v>
      </c>
      <c r="G24" s="5"/>
      <c r="H24" s="5"/>
      <c r="I24" s="5">
        <v>-14</v>
      </c>
      <c r="J24" s="5">
        <v>-7</v>
      </c>
      <c r="K24" s="5"/>
    </row>
    <row r="25" spans="1:11" ht="15" customHeight="1">
      <c r="A25" s="4" t="s">
        <v>63</v>
      </c>
      <c r="B25" s="5">
        <v>-5</v>
      </c>
      <c r="C25" s="5"/>
      <c r="D25" s="5"/>
      <c r="E25" s="5"/>
      <c r="F25" s="5">
        <v>-5</v>
      </c>
      <c r="G25" s="5"/>
      <c r="H25" s="5"/>
      <c r="I25" s="5"/>
      <c r="J25" s="5"/>
      <c r="K25" s="5">
        <v>-1</v>
      </c>
    </row>
    <row r="26" spans="1:11" ht="15" customHeight="1">
      <c r="A26" s="4" t="s">
        <v>70</v>
      </c>
      <c r="B26" s="5">
        <v>-35</v>
      </c>
      <c r="C26" s="5"/>
      <c r="D26" s="5"/>
      <c r="E26" s="5"/>
      <c r="F26" s="5">
        <v>-4</v>
      </c>
      <c r="G26" s="5"/>
      <c r="H26" s="5"/>
      <c r="I26" s="5">
        <v>-4</v>
      </c>
      <c r="J26" s="5">
        <v>5</v>
      </c>
      <c r="K26" s="5">
        <v>-7</v>
      </c>
    </row>
    <row r="27" spans="1:11" ht="15" customHeight="1">
      <c r="A27" s="4" t="s">
        <v>111</v>
      </c>
      <c r="B27" s="5">
        <v>120</v>
      </c>
      <c r="C27" s="5">
        <v>36</v>
      </c>
      <c r="D27" s="5">
        <v>16</v>
      </c>
      <c r="E27" s="5">
        <v>11</v>
      </c>
      <c r="F27" s="5">
        <v>11</v>
      </c>
      <c r="G27" s="5">
        <v>12</v>
      </c>
      <c r="H27" s="5">
        <v>30</v>
      </c>
      <c r="I27" s="5">
        <v>27</v>
      </c>
      <c r="J27" s="5">
        <v>24</v>
      </c>
      <c r="K27" s="5"/>
    </row>
    <row r="28" spans="1:11" ht="15" customHeight="1">
      <c r="A28" s="4" t="s">
        <v>112</v>
      </c>
      <c r="B28" s="5">
        <v>-76</v>
      </c>
      <c r="C28" s="5">
        <v>-65</v>
      </c>
      <c r="D28" s="5">
        <v>-32</v>
      </c>
      <c r="E28" s="5">
        <v>-9</v>
      </c>
      <c r="F28" s="5">
        <v>3</v>
      </c>
      <c r="G28" s="5">
        <v>-2</v>
      </c>
      <c r="H28" s="5">
        <v>-19</v>
      </c>
      <c r="I28" s="5">
        <v>-31</v>
      </c>
      <c r="J28" s="5">
        <v>-25</v>
      </c>
      <c r="K28" s="5"/>
    </row>
    <row r="29" spans="1:11" ht="15" customHeight="1">
      <c r="A29" s="4" t="s">
        <v>113</v>
      </c>
      <c r="B29" s="5"/>
      <c r="C29" s="5"/>
      <c r="D29" s="5"/>
      <c r="E29" s="5"/>
      <c r="F29" s="5"/>
      <c r="G29" s="5"/>
      <c r="H29" s="5"/>
      <c r="I29" s="5"/>
      <c r="J29" s="5">
        <v>53</v>
      </c>
      <c r="K29" s="5"/>
    </row>
    <row r="30" spans="1:11" ht="15" customHeight="1">
      <c r="A30" s="4" t="s">
        <v>114</v>
      </c>
      <c r="B30" s="5"/>
      <c r="C30" s="5">
        <v>-126</v>
      </c>
      <c r="D30" s="5">
        <v>-126</v>
      </c>
      <c r="E30" s="5">
        <v>-126</v>
      </c>
      <c r="F30" s="5">
        <v>-50</v>
      </c>
      <c r="G30" s="5">
        <v>-181</v>
      </c>
      <c r="H30" s="5">
        <v>-51</v>
      </c>
      <c r="I30" s="5">
        <v>-51</v>
      </c>
      <c r="J30" s="5"/>
      <c r="K30" s="5"/>
    </row>
    <row r="31" spans="1:11" ht="15" customHeight="1">
      <c r="A31" s="4" t="s">
        <v>115</v>
      </c>
      <c r="B31" s="5">
        <v>29</v>
      </c>
      <c r="C31" s="5">
        <v>6</v>
      </c>
      <c r="D31" s="5">
        <v>15</v>
      </c>
      <c r="E31" s="5">
        <v>9</v>
      </c>
      <c r="F31" s="5"/>
      <c r="G31" s="5">
        <v>5</v>
      </c>
      <c r="H31" s="5">
        <v>-10</v>
      </c>
      <c r="I31" s="5">
        <v>-28</v>
      </c>
      <c r="J31" s="5"/>
      <c r="K31" s="5"/>
    </row>
    <row r="32" spans="1:11" ht="15" customHeight="1">
      <c r="A32" s="4" t="s">
        <v>116</v>
      </c>
      <c r="B32" s="5">
        <v>-76</v>
      </c>
      <c r="C32" s="5">
        <v>-71</v>
      </c>
      <c r="D32" s="5">
        <v>-83</v>
      </c>
      <c r="E32" s="5">
        <v>-88</v>
      </c>
      <c r="F32" s="5">
        <v>-88</v>
      </c>
      <c r="G32" s="5">
        <v>-57</v>
      </c>
      <c r="H32" s="5">
        <v>-80</v>
      </c>
      <c r="I32" s="5"/>
      <c r="J32" s="5"/>
      <c r="K32" s="5"/>
    </row>
    <row r="33" spans="1:11" ht="15" customHeight="1">
      <c r="A33" s="4" t="s">
        <v>117</v>
      </c>
      <c r="B33" s="5"/>
      <c r="C33" s="5"/>
      <c r="D33" s="5"/>
      <c r="E33" s="5">
        <v>58</v>
      </c>
      <c r="F33" s="5"/>
      <c r="G33" s="5"/>
      <c r="H33" s="5"/>
      <c r="I33" s="5"/>
      <c r="J33" s="5"/>
      <c r="K33" s="5"/>
    </row>
    <row r="34" spans="1:11" ht="15" customHeight="1">
      <c r="A34" s="4" t="s">
        <v>118</v>
      </c>
      <c r="B34" s="5">
        <v>27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 ht="15" customHeight="1">
      <c r="A35" s="4" t="s">
        <v>119</v>
      </c>
      <c r="B35" s="5">
        <v>-309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 ht="15" customHeight="1">
      <c r="A36" s="2" t="s">
        <v>120</v>
      </c>
      <c r="B36" s="3">
        <v>1144</v>
      </c>
      <c r="C36" s="3">
        <v>822</v>
      </c>
      <c r="D36" s="3">
        <v>935</v>
      </c>
      <c r="E36" s="3">
        <v>867</v>
      </c>
      <c r="F36" s="3">
        <v>611</v>
      </c>
      <c r="G36" s="3">
        <v>720</v>
      </c>
      <c r="H36" s="3">
        <v>450</v>
      </c>
      <c r="I36" s="3">
        <v>372</v>
      </c>
      <c r="J36" s="3">
        <v>375</v>
      </c>
      <c r="K36" s="3">
        <v>419</v>
      </c>
    </row>
    <row r="37" spans="1:11" ht="15" customHeight="1">
      <c r="A37" s="4" t="s">
        <v>121</v>
      </c>
      <c r="B37" s="5">
        <v>-1070</v>
      </c>
      <c r="C37" s="5">
        <v>-723</v>
      </c>
      <c r="D37" s="5">
        <v>-682</v>
      </c>
      <c r="E37" s="5">
        <v>-622</v>
      </c>
      <c r="F37" s="5">
        <v>-306</v>
      </c>
      <c r="G37" s="5">
        <v>-635</v>
      </c>
      <c r="H37" s="5">
        <v>-355</v>
      </c>
      <c r="I37" s="5">
        <v>-218</v>
      </c>
      <c r="J37" s="5">
        <v>-313</v>
      </c>
      <c r="K37" s="5">
        <v>-140</v>
      </c>
    </row>
    <row r="38" spans="1:11" ht="15" customHeight="1">
      <c r="A38" s="4" t="s">
        <v>122</v>
      </c>
      <c r="B38" s="5"/>
      <c r="C38" s="5"/>
      <c r="D38" s="5"/>
      <c r="E38" s="5"/>
      <c r="F38" s="5"/>
      <c r="G38" s="5">
        <v>90</v>
      </c>
      <c r="H38" s="5">
        <v>126</v>
      </c>
      <c r="I38" s="5"/>
      <c r="J38" s="5"/>
      <c r="K38" s="5"/>
    </row>
    <row r="39" spans="1:11" ht="15" customHeight="1">
      <c r="A39" s="4" t="s">
        <v>123</v>
      </c>
      <c r="B39" s="5">
        <v>-5</v>
      </c>
      <c r="C39" s="5"/>
      <c r="D39" s="5">
        <v>-5</v>
      </c>
      <c r="E39" s="5">
        <v>7</v>
      </c>
      <c r="F39" s="5">
        <v>-2</v>
      </c>
      <c r="G39" s="5">
        <v>19</v>
      </c>
      <c r="H39" s="5"/>
      <c r="I39" s="5">
        <v>17</v>
      </c>
      <c r="J39" s="5">
        <v>21</v>
      </c>
      <c r="K39" s="5">
        <v>18</v>
      </c>
    </row>
    <row r="40" spans="1:11" ht="15" customHeight="1">
      <c r="A40" s="4" t="s">
        <v>124</v>
      </c>
      <c r="B40" s="5"/>
      <c r="C40" s="5"/>
      <c r="D40" s="5"/>
      <c r="E40" s="5"/>
      <c r="F40" s="5">
        <v>-12</v>
      </c>
      <c r="G40" s="5">
        <v>2</v>
      </c>
      <c r="H40" s="5">
        <v>24</v>
      </c>
      <c r="I40" s="5">
        <v>-54</v>
      </c>
      <c r="J40" s="5">
        <v>39</v>
      </c>
      <c r="K40" s="5">
        <v>-14</v>
      </c>
    </row>
    <row r="41" spans="1:11" ht="15" customHeight="1">
      <c r="A41" s="4" t="s">
        <v>125</v>
      </c>
      <c r="B41" s="5"/>
      <c r="C41" s="5"/>
      <c r="D41" s="5">
        <v>50</v>
      </c>
      <c r="E41" s="5">
        <v>50</v>
      </c>
      <c r="F41" s="5">
        <v>50</v>
      </c>
      <c r="G41" s="5">
        <v>50</v>
      </c>
      <c r="H41" s="5">
        <v>50</v>
      </c>
      <c r="I41" s="5">
        <v>50</v>
      </c>
      <c r="J41" s="5"/>
      <c r="K41" s="5"/>
    </row>
    <row r="42" spans="1:11" ht="15" customHeight="1">
      <c r="A42" s="4" t="s">
        <v>126</v>
      </c>
      <c r="B42" s="5"/>
      <c r="C42" s="5"/>
      <c r="D42" s="5"/>
      <c r="E42" s="5"/>
      <c r="F42" s="5"/>
      <c r="G42" s="5"/>
      <c r="H42" s="5"/>
      <c r="I42" s="5">
        <v>-70</v>
      </c>
      <c r="J42" s="5"/>
      <c r="K42" s="5"/>
    </row>
    <row r="43" spans="1:11" ht="15" customHeight="1">
      <c r="A43" s="4" t="s">
        <v>127</v>
      </c>
      <c r="B43" s="5">
        <v>-908</v>
      </c>
      <c r="C43" s="5">
        <v>-134</v>
      </c>
      <c r="D43" s="5"/>
      <c r="E43" s="5"/>
      <c r="F43" s="5">
        <v>-79</v>
      </c>
      <c r="G43" s="5">
        <v>-392</v>
      </c>
      <c r="H43" s="5">
        <v>-399</v>
      </c>
      <c r="I43" s="5">
        <v>-839</v>
      </c>
      <c r="J43" s="5"/>
      <c r="K43" s="5"/>
    </row>
    <row r="44" spans="1:11" ht="15" customHeight="1">
      <c r="A44" s="4" t="s">
        <v>125</v>
      </c>
      <c r="B44" s="5">
        <v>50</v>
      </c>
      <c r="C44" s="5">
        <v>50</v>
      </c>
      <c r="D44" s="5"/>
      <c r="E44" s="5"/>
      <c r="F44" s="5"/>
      <c r="G44" s="5"/>
      <c r="H44" s="5"/>
      <c r="I44" s="5"/>
      <c r="J44" s="5"/>
      <c r="K44" s="5"/>
    </row>
    <row r="45" spans="1:11" ht="15" customHeight="1">
      <c r="A45" s="4" t="s">
        <v>128</v>
      </c>
      <c r="B45" s="5">
        <v>-316</v>
      </c>
      <c r="C45" s="5"/>
      <c r="D45" s="5">
        <v>-273</v>
      </c>
      <c r="E45" s="5"/>
      <c r="F45" s="5"/>
      <c r="G45" s="5"/>
      <c r="H45" s="5"/>
      <c r="I45" s="5"/>
      <c r="J45" s="5"/>
      <c r="K45" s="5"/>
    </row>
    <row r="46" spans="1:11" ht="15" customHeight="1">
      <c r="A46" s="4" t="s">
        <v>129</v>
      </c>
      <c r="B46" s="5">
        <v>333</v>
      </c>
      <c r="C46" s="5"/>
      <c r="D46" s="5"/>
      <c r="E46" s="5"/>
      <c r="F46" s="5"/>
      <c r="G46" s="5"/>
      <c r="H46" s="5"/>
      <c r="I46" s="5"/>
      <c r="J46" s="5"/>
      <c r="K46" s="5"/>
    </row>
    <row r="47" spans="1:11" ht="15" customHeight="1">
      <c r="A47" s="2" t="s">
        <v>130</v>
      </c>
      <c r="B47" s="3">
        <v>-1916</v>
      </c>
      <c r="C47" s="3">
        <v>-807</v>
      </c>
      <c r="D47" s="3">
        <v>-910</v>
      </c>
      <c r="E47" s="3">
        <v>-565</v>
      </c>
      <c r="F47" s="3">
        <v>-349</v>
      </c>
      <c r="G47" s="3">
        <v>-866</v>
      </c>
      <c r="H47" s="3">
        <v>-554</v>
      </c>
      <c r="I47" s="3">
        <v>-1114</v>
      </c>
      <c r="J47" s="3">
        <v>-253</v>
      </c>
      <c r="K47" s="3">
        <v>-136</v>
      </c>
    </row>
    <row r="48" spans="1:11" ht="15" customHeight="1">
      <c r="A48" s="4" t="s">
        <v>131</v>
      </c>
      <c r="B48" s="5">
        <v>1050</v>
      </c>
      <c r="C48" s="5">
        <v>1200</v>
      </c>
      <c r="D48" s="5">
        <v>447</v>
      </c>
      <c r="E48" s="5">
        <v>236</v>
      </c>
      <c r="F48" s="5">
        <v>578</v>
      </c>
      <c r="G48" s="5">
        <v>900</v>
      </c>
      <c r="H48" s="5">
        <v>705</v>
      </c>
      <c r="I48" s="5">
        <v>1098</v>
      </c>
      <c r="J48" s="5">
        <v>164</v>
      </c>
      <c r="K48" s="5">
        <v>220</v>
      </c>
    </row>
    <row r="49" spans="1:11" ht="15" customHeight="1">
      <c r="A49" s="4" t="s">
        <v>132</v>
      </c>
      <c r="B49" s="5">
        <v>-781</v>
      </c>
      <c r="C49" s="5">
        <v>-145</v>
      </c>
      <c r="D49" s="5">
        <v>-71</v>
      </c>
      <c r="E49" s="5">
        <v>-341</v>
      </c>
      <c r="F49" s="5">
        <v>-444</v>
      </c>
      <c r="G49" s="5">
        <v>-633</v>
      </c>
      <c r="H49" s="5">
        <v>-195</v>
      </c>
      <c r="I49" s="5">
        <v>-507</v>
      </c>
      <c r="J49" s="5">
        <v>-260</v>
      </c>
      <c r="K49" s="5">
        <v>-267</v>
      </c>
    </row>
    <row r="50" spans="1:11" ht="15" customHeight="1">
      <c r="A50" s="4" t="s">
        <v>133</v>
      </c>
      <c r="B50" s="5">
        <v>-9</v>
      </c>
      <c r="C50" s="5">
        <v>-6</v>
      </c>
      <c r="D50" s="5">
        <v>-4</v>
      </c>
      <c r="E50" s="5">
        <v>-8</v>
      </c>
      <c r="F50" s="5">
        <v>-9</v>
      </c>
      <c r="G50" s="5">
        <v>-7</v>
      </c>
      <c r="H50" s="5">
        <v>-6</v>
      </c>
      <c r="I50" s="5">
        <v>-10</v>
      </c>
      <c r="J50" s="5"/>
      <c r="K50" s="5">
        <v>-1</v>
      </c>
    </row>
    <row r="51" spans="1:11" ht="15" customHeight="1">
      <c r="A51" s="4" t="s">
        <v>134</v>
      </c>
      <c r="B51" s="5">
        <v>26</v>
      </c>
      <c r="C51" s="5">
        <v>8</v>
      </c>
      <c r="D51" s="5">
        <v>16</v>
      </c>
      <c r="E51" s="5">
        <v>21</v>
      </c>
      <c r="F51" s="5">
        <v>18</v>
      </c>
      <c r="G51" s="5">
        <v>23</v>
      </c>
      <c r="H51" s="5">
        <v>14</v>
      </c>
      <c r="I51" s="5">
        <v>17</v>
      </c>
      <c r="J51" s="5"/>
      <c r="K51" s="5">
        <v>2</v>
      </c>
    </row>
    <row r="52" spans="1:11" ht="15" customHeight="1">
      <c r="A52" s="4" t="s">
        <v>135</v>
      </c>
      <c r="B52" s="5"/>
      <c r="C52" s="5"/>
      <c r="D52" s="5"/>
      <c r="E52" s="5"/>
      <c r="F52" s="5"/>
      <c r="G52" s="5">
        <v>300</v>
      </c>
      <c r="H52" s="5"/>
      <c r="I52" s="5">
        <v>150</v>
      </c>
      <c r="J52" s="5">
        <v>200</v>
      </c>
      <c r="K52" s="5"/>
    </row>
    <row r="53" spans="1:11" ht="15" customHeight="1">
      <c r="A53" s="4" t="s">
        <v>136</v>
      </c>
      <c r="B53" s="5">
        <v>-27</v>
      </c>
      <c r="C53" s="5"/>
      <c r="D53" s="5"/>
      <c r="E53" s="5">
        <v>-12</v>
      </c>
      <c r="F53" s="5"/>
      <c r="G53" s="5">
        <v>-12</v>
      </c>
      <c r="H53" s="5"/>
      <c r="I53" s="5">
        <v>-11</v>
      </c>
      <c r="J53" s="5">
        <v>-6</v>
      </c>
      <c r="K53" s="5"/>
    </row>
    <row r="54" spans="1:11" ht="15" customHeight="1">
      <c r="A54" s="4" t="s">
        <v>137</v>
      </c>
      <c r="B54" s="5">
        <v>-3</v>
      </c>
      <c r="C54" s="5">
        <v>-3</v>
      </c>
      <c r="D54" s="5">
        <v>-2</v>
      </c>
      <c r="E54" s="5"/>
      <c r="F54" s="5"/>
      <c r="G54" s="5"/>
      <c r="H54" s="5"/>
      <c r="I54" s="5"/>
      <c r="J54" s="5"/>
      <c r="K54" s="5">
        <v>-13</v>
      </c>
    </row>
    <row r="55" spans="1:11" ht="15" customHeight="1">
      <c r="A55" s="4" t="s">
        <v>138</v>
      </c>
      <c r="B55" s="5"/>
      <c r="C55" s="5"/>
      <c r="D55" s="5"/>
      <c r="E55" s="5"/>
      <c r="F55" s="5">
        <v>-194</v>
      </c>
      <c r="G55" s="5">
        <v>-190</v>
      </c>
      <c r="H55" s="5"/>
      <c r="I55" s="5"/>
      <c r="J55" s="5"/>
      <c r="K55" s="5"/>
    </row>
    <row r="56" spans="1:11" ht="15" customHeight="1">
      <c r="A56" s="4" t="s">
        <v>139</v>
      </c>
      <c r="B56" s="5"/>
      <c r="C56" s="5"/>
      <c r="D56" s="5"/>
      <c r="E56" s="5"/>
      <c r="F56" s="5">
        <v>-48</v>
      </c>
      <c r="G56" s="5">
        <v>-48</v>
      </c>
      <c r="H56" s="5"/>
      <c r="I56" s="5">
        <v>-35</v>
      </c>
      <c r="J56" s="5">
        <v>-23</v>
      </c>
      <c r="K56" s="5">
        <v>-22</v>
      </c>
    </row>
    <row r="57" spans="1:11" ht="15" customHeight="1">
      <c r="A57" s="4" t="s">
        <v>140</v>
      </c>
      <c r="B57" s="5">
        <v>-280</v>
      </c>
      <c r="C57" s="5">
        <v>-290</v>
      </c>
      <c r="D57" s="5">
        <v>-296</v>
      </c>
      <c r="E57" s="5">
        <v>-219</v>
      </c>
      <c r="F57" s="5">
        <v>-242</v>
      </c>
      <c r="G57" s="5">
        <v>-238</v>
      </c>
      <c r="H57" s="5">
        <v>-217</v>
      </c>
      <c r="I57" s="5">
        <v>-159</v>
      </c>
      <c r="J57" s="5">
        <v>-143</v>
      </c>
      <c r="K57" s="5">
        <v>-106</v>
      </c>
    </row>
    <row r="58" spans="1:11" ht="15" customHeight="1">
      <c r="A58" s="4" t="s">
        <v>141</v>
      </c>
      <c r="B58" s="5">
        <v>-56</v>
      </c>
      <c r="C58" s="5">
        <v>-41</v>
      </c>
      <c r="D58" s="5">
        <v>-21</v>
      </c>
      <c r="E58" s="5">
        <v>-10</v>
      </c>
      <c r="F58" s="5">
        <v>-5</v>
      </c>
      <c r="G58" s="5">
        <v>-13</v>
      </c>
      <c r="H58" s="5">
        <v>-5</v>
      </c>
      <c r="I58" s="5">
        <v>-6</v>
      </c>
      <c r="J58" s="5">
        <v>-3</v>
      </c>
      <c r="K58" s="5">
        <v>-9</v>
      </c>
    </row>
    <row r="59" spans="1:11" ht="15" customHeight="1">
      <c r="A59" s="4" t="s">
        <v>142</v>
      </c>
      <c r="B59" s="5">
        <v>-13</v>
      </c>
      <c r="C59" s="5">
        <v>-13</v>
      </c>
      <c r="D59" s="5">
        <v>-15</v>
      </c>
      <c r="E59" s="5">
        <v>-21</v>
      </c>
      <c r="F59" s="5">
        <v>-22</v>
      </c>
      <c r="G59" s="5">
        <v>-19</v>
      </c>
      <c r="H59" s="5">
        <v>-19</v>
      </c>
      <c r="I59" s="5">
        <v>-10</v>
      </c>
      <c r="J59" s="5">
        <v>-8</v>
      </c>
      <c r="K59" s="5">
        <v>-9</v>
      </c>
    </row>
    <row r="60" spans="1:11" ht="15" customHeight="1">
      <c r="A60" s="4" t="s">
        <v>143</v>
      </c>
      <c r="B60" s="5"/>
      <c r="C60" s="5"/>
      <c r="D60" s="5"/>
      <c r="E60" s="5"/>
      <c r="F60" s="5">
        <v>-10</v>
      </c>
      <c r="G60" s="5">
        <v>-74</v>
      </c>
      <c r="H60" s="5">
        <v>-76</v>
      </c>
      <c r="I60" s="5"/>
      <c r="J60" s="5">
        <v>-22</v>
      </c>
      <c r="K60" s="5">
        <v>-121</v>
      </c>
    </row>
    <row r="61" spans="1:11" ht="15" customHeight="1">
      <c r="A61" s="4" t="s">
        <v>144</v>
      </c>
      <c r="B61" s="5">
        <v>460</v>
      </c>
      <c r="C61" s="5"/>
      <c r="D61" s="5"/>
      <c r="E61" s="5">
        <v>288</v>
      </c>
      <c r="F61" s="5"/>
      <c r="G61" s="5"/>
      <c r="H61" s="5"/>
      <c r="I61" s="5">
        <v>183</v>
      </c>
      <c r="J61" s="5"/>
      <c r="K61" s="5"/>
    </row>
    <row r="62" spans="1:11" ht="15" customHeight="1">
      <c r="A62" s="4" t="s">
        <v>107</v>
      </c>
      <c r="B62" s="5">
        <v>-8</v>
      </c>
      <c r="C62" s="5"/>
      <c r="D62" s="5"/>
      <c r="E62" s="5">
        <v>-3</v>
      </c>
      <c r="F62" s="5">
        <v>-2</v>
      </c>
      <c r="G62" s="5">
        <v>-9</v>
      </c>
      <c r="H62" s="5">
        <v>-1</v>
      </c>
      <c r="I62" s="5">
        <v>-1</v>
      </c>
      <c r="J62" s="5">
        <v>-1</v>
      </c>
      <c r="K62" s="5"/>
    </row>
    <row r="63" spans="1:11" ht="15" customHeight="1">
      <c r="A63" s="4" t="s">
        <v>145</v>
      </c>
      <c r="B63" s="5"/>
      <c r="C63" s="5"/>
      <c r="D63" s="5"/>
      <c r="E63" s="5"/>
      <c r="F63" s="5"/>
      <c r="G63" s="5"/>
      <c r="H63" s="5"/>
      <c r="I63" s="5"/>
      <c r="J63" s="5"/>
      <c r="K63" s="5">
        <v>46</v>
      </c>
    </row>
    <row r="64" spans="1:11" ht="15" customHeight="1">
      <c r="A64" s="4" t="s">
        <v>146</v>
      </c>
      <c r="B64" s="5"/>
      <c r="C64" s="5"/>
      <c r="D64" s="5"/>
      <c r="E64" s="5"/>
      <c r="F64" s="5"/>
      <c r="G64" s="5"/>
      <c r="H64" s="5"/>
      <c r="I64" s="5">
        <v>-12</v>
      </c>
      <c r="J64" s="5"/>
      <c r="K64" s="5"/>
    </row>
    <row r="65" spans="1:11" ht="15" customHeight="1">
      <c r="A65" s="4" t="s">
        <v>147</v>
      </c>
      <c r="B65" s="5"/>
      <c r="C65" s="5"/>
      <c r="D65" s="5"/>
      <c r="E65" s="5"/>
      <c r="F65" s="5"/>
      <c r="G65" s="5"/>
      <c r="H65" s="5">
        <v>33</v>
      </c>
      <c r="I65" s="5"/>
      <c r="J65" s="5"/>
      <c r="K65" s="5"/>
    </row>
    <row r="66" spans="1:11" ht="15" customHeight="1">
      <c r="A66" s="4" t="s">
        <v>148</v>
      </c>
      <c r="B66" s="5">
        <v>-7</v>
      </c>
      <c r="C66" s="5">
        <v>-6</v>
      </c>
      <c r="D66" s="5">
        <v>-6</v>
      </c>
      <c r="E66" s="5">
        <v>-6</v>
      </c>
      <c r="F66" s="5">
        <v>-6</v>
      </c>
      <c r="G66" s="5"/>
      <c r="H66" s="5"/>
      <c r="I66" s="5"/>
      <c r="J66" s="5"/>
      <c r="K66" s="5"/>
    </row>
    <row r="67" spans="1:11" ht="15" customHeight="1">
      <c r="A67" s="4" t="s">
        <v>137</v>
      </c>
      <c r="B67" s="5"/>
      <c r="C67" s="5"/>
      <c r="D67" s="5"/>
      <c r="E67" s="5"/>
      <c r="F67" s="5">
        <v>-2</v>
      </c>
      <c r="G67" s="5"/>
      <c r="H67" s="5"/>
      <c r="I67" s="5"/>
      <c r="J67" s="5"/>
      <c r="K67" s="5"/>
    </row>
    <row r="68" spans="1:11" ht="15" customHeight="1">
      <c r="A68" s="4" t="s">
        <v>149</v>
      </c>
      <c r="B68" s="5">
        <v>-150</v>
      </c>
      <c r="C68" s="5"/>
      <c r="D68" s="5">
        <v>-150</v>
      </c>
      <c r="E68" s="5">
        <v>-200</v>
      </c>
      <c r="F68" s="5"/>
      <c r="G68" s="5"/>
      <c r="H68" s="5"/>
      <c r="I68" s="5"/>
      <c r="J68" s="5"/>
      <c r="K68" s="5"/>
    </row>
    <row r="69" spans="1:11" ht="15" customHeight="1">
      <c r="A69" s="4" t="s">
        <v>150</v>
      </c>
      <c r="B69" s="5"/>
      <c r="C69" s="5">
        <v>399</v>
      </c>
      <c r="D69" s="5"/>
      <c r="E69" s="5"/>
      <c r="F69" s="5"/>
      <c r="G69" s="5"/>
      <c r="H69" s="5"/>
      <c r="I69" s="5"/>
      <c r="J69" s="5"/>
      <c r="K69" s="5"/>
    </row>
    <row r="70" spans="1:11" ht="15" customHeight="1">
      <c r="A70" s="2" t="s">
        <v>151</v>
      </c>
      <c r="B70" s="3">
        <v>202</v>
      </c>
      <c r="C70" s="3">
        <v>1103</v>
      </c>
      <c r="D70" s="3">
        <v>-102</v>
      </c>
      <c r="E70" s="3">
        <v>-275</v>
      </c>
      <c r="F70" s="3">
        <v>-146</v>
      </c>
      <c r="G70" s="3">
        <v>218</v>
      </c>
      <c r="H70" s="3">
        <v>233</v>
      </c>
      <c r="I70" s="3">
        <v>697</v>
      </c>
      <c r="J70" s="3">
        <v>-102</v>
      </c>
      <c r="K70" s="3">
        <v>-280</v>
      </c>
    </row>
    <row r="71" spans="1:11" ht="15" customHeight="1">
      <c r="A71" s="4" t="s">
        <v>152</v>
      </c>
      <c r="B71" s="5">
        <v>17</v>
      </c>
      <c r="C71" s="5">
        <v>-2</v>
      </c>
      <c r="D71" s="5">
        <v>-3</v>
      </c>
      <c r="E71" s="5">
        <v>-7</v>
      </c>
      <c r="F71" s="5">
        <v>3</v>
      </c>
      <c r="G71" s="5">
        <v>-6</v>
      </c>
      <c r="H71" s="5">
        <v>1</v>
      </c>
      <c r="I71" s="5">
        <v>-1</v>
      </c>
      <c r="J71" s="5">
        <v>-2</v>
      </c>
      <c r="K71" s="5">
        <v>6</v>
      </c>
    </row>
    <row r="72" spans="1:11" ht="15" customHeight="1">
      <c r="A72" s="4" t="s">
        <v>153</v>
      </c>
      <c r="B72" s="5">
        <v>-5</v>
      </c>
      <c r="C72" s="5"/>
      <c r="D72" s="5"/>
      <c r="E72" s="5"/>
      <c r="F72" s="5"/>
      <c r="G72" s="5"/>
      <c r="H72" s="5"/>
      <c r="I72" s="5"/>
      <c r="J72" s="5"/>
      <c r="K72" s="5"/>
    </row>
    <row r="73" spans="1:11" ht="15" customHeight="1">
      <c r="A73" s="4" t="s">
        <v>154</v>
      </c>
      <c r="B73" s="5">
        <v>1423</v>
      </c>
      <c r="C73" s="5">
        <v>307</v>
      </c>
      <c r="D73" s="5">
        <v>387</v>
      </c>
      <c r="E73" s="5">
        <v>367</v>
      </c>
      <c r="F73" s="5">
        <v>248</v>
      </c>
      <c r="G73" s="5">
        <v>182</v>
      </c>
      <c r="H73" s="5">
        <v>52</v>
      </c>
      <c r="I73" s="5">
        <v>98</v>
      </c>
      <c r="J73" s="5">
        <v>80</v>
      </c>
      <c r="K73" s="5">
        <v>71</v>
      </c>
    </row>
    <row r="74" spans="1:11" ht="15" customHeight="1">
      <c r="A74" s="4" t="s">
        <v>155</v>
      </c>
      <c r="B74" s="5">
        <v>865</v>
      </c>
      <c r="C74" s="5">
        <v>1423</v>
      </c>
      <c r="D74" s="5">
        <v>307</v>
      </c>
      <c r="E74" s="5">
        <v>387</v>
      </c>
      <c r="F74" s="5">
        <v>367</v>
      </c>
      <c r="G74" s="5">
        <v>248</v>
      </c>
      <c r="H74" s="5">
        <v>182</v>
      </c>
      <c r="I74" s="5">
        <v>52</v>
      </c>
      <c r="J74" s="5">
        <v>98</v>
      </c>
      <c r="K74" s="5">
        <v>80</v>
      </c>
    </row>
    <row r="75" spans="1:11" ht="15" customHeight="1">
      <c r="A75" s="4" t="s">
        <v>156</v>
      </c>
      <c r="B75" s="5">
        <v>-558</v>
      </c>
      <c r="C75" s="5">
        <v>1116</v>
      </c>
      <c r="D75" s="5">
        <v>-80</v>
      </c>
      <c r="E75" s="5">
        <v>20</v>
      </c>
      <c r="F75" s="5">
        <v>119</v>
      </c>
      <c r="G75" s="5">
        <v>66</v>
      </c>
      <c r="H75" s="5">
        <v>130</v>
      </c>
      <c r="I75" s="5">
        <v>-46</v>
      </c>
      <c r="J75" s="5">
        <v>18</v>
      </c>
      <c r="K75" s="5">
        <v>9</v>
      </c>
    </row>
  </sheetData>
  <mergeCells count="1">
    <mergeCell ref="A1:K1"/>
  </mergeCells>
  <phoneticPr fontId="23" type="noConversion"/>
  <pageMargins left="0.5" right="0.5" top="1" bottom="1" header="0.5" footer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1"/>
  <sheetViews>
    <sheetView zoomScale="70" zoomScaleNormal="70" workbookViewId="0">
      <selection activeCell="A112" sqref="A112"/>
    </sheetView>
  </sheetViews>
  <sheetFormatPr defaultColWidth="9.109375" defaultRowHeight="13.5" customHeight="1"/>
  <cols>
    <col min="1" max="1" width="60.6640625" customWidth="1"/>
    <col min="2" max="2" width="17.6640625" customWidth="1"/>
    <col min="3" max="3" width="14" customWidth="1"/>
    <col min="4" max="4" width="15.33203125" customWidth="1"/>
    <col min="5" max="5" width="15.6640625" customWidth="1"/>
    <col min="6" max="6" width="15.88671875" customWidth="1"/>
    <col min="7" max="7" width="12.6640625" customWidth="1"/>
    <col min="8" max="8" width="11.33203125" customWidth="1"/>
    <col min="9" max="9" width="13.6640625" customWidth="1"/>
    <col min="10" max="10" width="12.33203125" customWidth="1"/>
    <col min="11" max="11" width="14.109375" customWidth="1"/>
  </cols>
  <sheetData>
    <row r="1" spans="1:11" ht="53.1" customHeight="1">
      <c r="A1" s="357" t="s">
        <v>157</v>
      </c>
      <c r="B1" s="357"/>
      <c r="C1" s="357"/>
      <c r="D1" s="357"/>
      <c r="E1" s="357"/>
      <c r="F1" s="357"/>
      <c r="G1" s="358"/>
      <c r="H1" s="358"/>
      <c r="I1" s="358"/>
      <c r="J1" s="358"/>
      <c r="K1" s="358"/>
    </row>
    <row r="2" spans="1:11" ht="17.399999999999999">
      <c r="A2" s="1" t="s">
        <v>1</v>
      </c>
      <c r="B2" s="1">
        <v>2024</v>
      </c>
      <c r="C2" s="1">
        <v>2023</v>
      </c>
      <c r="D2" s="1">
        <v>2022</v>
      </c>
      <c r="E2" s="1">
        <v>2021</v>
      </c>
      <c r="F2" s="1">
        <v>2020</v>
      </c>
      <c r="G2" s="1">
        <v>2019</v>
      </c>
      <c r="H2" s="1">
        <v>2018</v>
      </c>
      <c r="I2" s="1">
        <v>2017</v>
      </c>
      <c r="J2" s="1">
        <v>2016</v>
      </c>
      <c r="K2" s="1">
        <v>2015</v>
      </c>
    </row>
    <row r="3" spans="1:11" ht="14.4">
      <c r="A3" s="2" t="s">
        <v>158</v>
      </c>
      <c r="B3" s="3">
        <v>3677</v>
      </c>
      <c r="C3" s="3">
        <v>4068</v>
      </c>
      <c r="D3" s="3">
        <v>2712</v>
      </c>
      <c r="E3" s="3">
        <v>1757</v>
      </c>
      <c r="F3" s="3">
        <v>1791</v>
      </c>
      <c r="G3" s="3">
        <v>1713</v>
      </c>
      <c r="H3" s="3">
        <v>1272</v>
      </c>
      <c r="I3" s="3">
        <v>1046</v>
      </c>
      <c r="J3" s="3">
        <v>1214</v>
      </c>
      <c r="K3" s="3">
        <v>1241</v>
      </c>
    </row>
    <row r="4" spans="1:11" ht="14.4">
      <c r="A4" s="2" t="s">
        <v>159</v>
      </c>
      <c r="B4" s="3">
        <v>99</v>
      </c>
      <c r="C4" s="3">
        <v>214</v>
      </c>
      <c r="D4" s="3">
        <v>217</v>
      </c>
      <c r="E4" s="3">
        <v>233</v>
      </c>
      <c r="F4" s="3">
        <v>146</v>
      </c>
      <c r="G4" s="3">
        <v>250</v>
      </c>
      <c r="H4" s="3">
        <v>145</v>
      </c>
      <c r="I4" s="3">
        <v>100</v>
      </c>
      <c r="J4" s="3"/>
      <c r="K4" s="3"/>
    </row>
    <row r="5" spans="1:11" ht="14.4">
      <c r="A5" s="2" t="s">
        <v>160</v>
      </c>
      <c r="B5" s="3">
        <v>3776</v>
      </c>
      <c r="C5" s="3">
        <v>4282</v>
      </c>
      <c r="D5" s="3">
        <v>2929</v>
      </c>
      <c r="E5" s="3">
        <v>1990</v>
      </c>
      <c r="F5" s="3">
        <v>1937</v>
      </c>
      <c r="G5" s="3">
        <v>1963</v>
      </c>
      <c r="H5" s="3">
        <v>1417</v>
      </c>
      <c r="I5" s="3">
        <v>1146</v>
      </c>
      <c r="J5" s="3">
        <v>1214</v>
      </c>
      <c r="K5" s="3">
        <v>1241</v>
      </c>
    </row>
    <row r="6" spans="1:11" ht="14.4">
      <c r="A6" s="97" t="s">
        <v>161</v>
      </c>
      <c r="B6" s="96">
        <v>1787</v>
      </c>
      <c r="C6" s="96">
        <v>2166</v>
      </c>
      <c r="D6" s="96">
        <v>1578</v>
      </c>
      <c r="E6" s="96">
        <v>667</v>
      </c>
      <c r="F6" s="96">
        <v>584</v>
      </c>
      <c r="G6" s="96">
        <v>418</v>
      </c>
      <c r="H6" s="96">
        <v>434</v>
      </c>
      <c r="I6" s="96">
        <v>318</v>
      </c>
      <c r="J6" s="96">
        <v>420</v>
      </c>
      <c r="K6" s="96">
        <v>479</v>
      </c>
    </row>
    <row r="7" spans="1:11" ht="14.4">
      <c r="A7" s="2" t="s">
        <v>162</v>
      </c>
      <c r="B7" s="3">
        <v>1989</v>
      </c>
      <c r="C7" s="3">
        <v>2116</v>
      </c>
      <c r="D7" s="3">
        <v>1351</v>
      </c>
      <c r="E7" s="3">
        <v>1323</v>
      </c>
      <c r="F7" s="3">
        <v>1353</v>
      </c>
      <c r="G7" s="3">
        <v>1545</v>
      </c>
      <c r="H7" s="3">
        <v>983</v>
      </c>
      <c r="I7" s="3">
        <v>828</v>
      </c>
      <c r="J7" s="3">
        <v>794</v>
      </c>
      <c r="K7" s="3">
        <v>762</v>
      </c>
    </row>
    <row r="8" spans="1:11" s="135" customFormat="1" ht="14.4">
      <c r="A8" s="93" t="s">
        <v>163</v>
      </c>
      <c r="B8" s="94">
        <v>209</v>
      </c>
      <c r="C8" s="94">
        <v>159</v>
      </c>
      <c r="D8" s="94">
        <v>154</v>
      </c>
      <c r="E8" s="94">
        <v>151</v>
      </c>
      <c r="F8" s="94">
        <v>160</v>
      </c>
      <c r="G8" s="94">
        <v>140</v>
      </c>
      <c r="H8" s="94">
        <v>124</v>
      </c>
      <c r="I8" s="94">
        <v>114</v>
      </c>
      <c r="J8" s="94">
        <v>102</v>
      </c>
      <c r="K8" s="94">
        <v>96</v>
      </c>
    </row>
    <row r="9" spans="1:11" ht="14.4">
      <c r="A9" s="4" t="s">
        <v>164</v>
      </c>
      <c r="B9" s="5">
        <v>41</v>
      </c>
      <c r="C9" s="5">
        <v>12</v>
      </c>
      <c r="D9" s="5">
        <v>25</v>
      </c>
      <c r="E9" s="5">
        <v>16</v>
      </c>
      <c r="F9" s="5">
        <v>9</v>
      </c>
      <c r="G9" s="5">
        <v>16</v>
      </c>
      <c r="H9" s="5">
        <v>14</v>
      </c>
      <c r="I9" s="5">
        <v>11</v>
      </c>
      <c r="J9" s="5">
        <v>11</v>
      </c>
      <c r="K9" s="5">
        <v>-1</v>
      </c>
    </row>
    <row r="10" spans="1:11" ht="14.4">
      <c r="A10" s="4" t="s">
        <v>165</v>
      </c>
      <c r="B10" s="5">
        <v>213</v>
      </c>
      <c r="C10" s="5">
        <v>167</v>
      </c>
      <c r="D10" s="5">
        <v>159</v>
      </c>
      <c r="E10" s="5">
        <v>160</v>
      </c>
      <c r="F10" s="5">
        <v>162</v>
      </c>
      <c r="G10" s="5">
        <v>151</v>
      </c>
      <c r="H10" s="5">
        <v>131</v>
      </c>
      <c r="I10" s="5">
        <v>118</v>
      </c>
      <c r="J10" s="5">
        <v>113</v>
      </c>
      <c r="K10" s="5">
        <v>121</v>
      </c>
    </row>
    <row r="11" spans="1:11" ht="14.4">
      <c r="A11" s="93" t="s">
        <v>166</v>
      </c>
      <c r="B11" s="94">
        <v>254</v>
      </c>
      <c r="C11" s="94">
        <v>179</v>
      </c>
      <c r="D11" s="94">
        <v>184</v>
      </c>
      <c r="E11" s="94">
        <v>176</v>
      </c>
      <c r="F11" s="94">
        <v>171</v>
      </c>
      <c r="G11" s="94">
        <v>167</v>
      </c>
      <c r="H11" s="94">
        <v>145</v>
      </c>
      <c r="I11" s="94">
        <v>129</v>
      </c>
      <c r="J11" s="94">
        <v>124</v>
      </c>
      <c r="K11" s="94">
        <v>120</v>
      </c>
    </row>
    <row r="12" spans="1:11" ht="14.4">
      <c r="A12" s="4" t="s">
        <v>167</v>
      </c>
      <c r="B12" s="5"/>
      <c r="C12" s="5"/>
      <c r="D12" s="5"/>
      <c r="E12" s="5"/>
      <c r="F12" s="5"/>
      <c r="G12" s="5"/>
      <c r="H12" s="5"/>
      <c r="I12" s="5"/>
      <c r="J12" s="5">
        <v>73</v>
      </c>
      <c r="K12" s="5"/>
    </row>
    <row r="13" spans="1:11" ht="14.4">
      <c r="A13" s="4" t="s">
        <v>95</v>
      </c>
      <c r="B13" s="5"/>
      <c r="C13" s="5"/>
      <c r="D13" s="5"/>
      <c r="E13" s="5"/>
      <c r="F13" s="5">
        <v>26</v>
      </c>
      <c r="G13" s="5">
        <v>401</v>
      </c>
      <c r="H13" s="5"/>
      <c r="I13" s="5">
        <v>83</v>
      </c>
      <c r="J13" s="5">
        <v>6</v>
      </c>
      <c r="K13" s="5"/>
    </row>
    <row r="14" spans="1:11" ht="14.4">
      <c r="A14" s="93" t="s">
        <v>168</v>
      </c>
      <c r="B14" s="94">
        <v>400</v>
      </c>
      <c r="C14" s="94">
        <v>489</v>
      </c>
      <c r="D14" s="94">
        <v>462</v>
      </c>
      <c r="E14" s="94">
        <v>445</v>
      </c>
      <c r="F14" s="94">
        <v>383</v>
      </c>
      <c r="G14" s="94">
        <v>356</v>
      </c>
      <c r="H14" s="94">
        <v>309</v>
      </c>
      <c r="I14" s="94">
        <v>249</v>
      </c>
      <c r="J14" s="94">
        <v>198</v>
      </c>
      <c r="K14" s="94">
        <v>186</v>
      </c>
    </row>
    <row r="15" spans="1:11" ht="14.4">
      <c r="A15" s="93" t="s">
        <v>169</v>
      </c>
      <c r="B15" s="94">
        <v>4</v>
      </c>
      <c r="C15" s="94">
        <v>4</v>
      </c>
      <c r="D15" s="94">
        <v>9</v>
      </c>
      <c r="E15" s="94">
        <v>4</v>
      </c>
      <c r="F15" s="94">
        <v>7</v>
      </c>
      <c r="G15" s="94">
        <v>101</v>
      </c>
      <c r="H15" s="94">
        <v>19</v>
      </c>
      <c r="I15" s="94">
        <v>10</v>
      </c>
      <c r="J15" s="94">
        <v>7</v>
      </c>
      <c r="K15" s="94">
        <v>6</v>
      </c>
    </row>
    <row r="16" spans="1:11" ht="14.4">
      <c r="A16" s="93" t="s">
        <v>170</v>
      </c>
      <c r="B16" s="94">
        <v>5</v>
      </c>
      <c r="C16" s="94">
        <v>4</v>
      </c>
      <c r="D16" s="94">
        <v>6</v>
      </c>
      <c r="E16" s="94">
        <v>5</v>
      </c>
      <c r="F16" s="94">
        <v>5</v>
      </c>
      <c r="G16" s="94">
        <v>4</v>
      </c>
      <c r="H16" s="94">
        <v>5</v>
      </c>
      <c r="I16" s="94">
        <v>6</v>
      </c>
      <c r="J16" s="94">
        <v>5</v>
      </c>
      <c r="K16" s="94">
        <v>6</v>
      </c>
    </row>
    <row r="17" spans="1:11" ht="14.4">
      <c r="A17" s="93" t="s">
        <v>171</v>
      </c>
      <c r="B17" s="94">
        <v>84</v>
      </c>
      <c r="C17" s="94">
        <v>66</v>
      </c>
      <c r="D17" s="94">
        <v>67</v>
      </c>
      <c r="E17" s="94">
        <v>71</v>
      </c>
      <c r="F17" s="94">
        <v>69</v>
      </c>
      <c r="G17" s="94"/>
      <c r="H17" s="94"/>
      <c r="I17" s="94"/>
      <c r="J17" s="94"/>
      <c r="K17" s="94"/>
    </row>
    <row r="18" spans="1:11" ht="14.4">
      <c r="A18" s="93" t="s">
        <v>172</v>
      </c>
      <c r="B18" s="94">
        <v>93</v>
      </c>
      <c r="C18" s="94">
        <v>74</v>
      </c>
      <c r="D18" s="94">
        <v>82</v>
      </c>
      <c r="E18" s="94">
        <v>80</v>
      </c>
      <c r="F18" s="94">
        <v>81</v>
      </c>
      <c r="G18" s="94">
        <v>105</v>
      </c>
      <c r="H18" s="94">
        <v>24</v>
      </c>
      <c r="I18" s="94">
        <v>5</v>
      </c>
      <c r="J18" s="94">
        <v>4</v>
      </c>
      <c r="K18" s="94">
        <v>12</v>
      </c>
    </row>
    <row r="19" spans="1:11" ht="14.4">
      <c r="A19" s="93" t="s">
        <v>173</v>
      </c>
      <c r="B19" s="94">
        <v>10</v>
      </c>
      <c r="C19" s="94">
        <v>10</v>
      </c>
      <c r="D19" s="94">
        <v>9</v>
      </c>
      <c r="E19" s="94">
        <v>9</v>
      </c>
      <c r="F19" s="94">
        <v>9</v>
      </c>
      <c r="G19" s="94">
        <v>8</v>
      </c>
      <c r="H19" s="94"/>
      <c r="I19" s="94"/>
      <c r="J19" s="94"/>
      <c r="K19" s="94"/>
    </row>
    <row r="20" spans="1:11" ht="14.4">
      <c r="A20" s="95" t="s">
        <v>93</v>
      </c>
      <c r="B20" s="96">
        <v>503</v>
      </c>
      <c r="C20" s="96">
        <v>574</v>
      </c>
      <c r="D20" s="96">
        <v>553</v>
      </c>
      <c r="E20" s="96">
        <v>539</v>
      </c>
      <c r="F20" s="96">
        <v>478</v>
      </c>
      <c r="G20" s="96">
        <v>473</v>
      </c>
      <c r="H20" s="96">
        <v>335</v>
      </c>
      <c r="I20" s="96">
        <v>271</v>
      </c>
      <c r="J20" s="96">
        <v>216</v>
      </c>
      <c r="K20" s="96">
        <v>215</v>
      </c>
    </row>
    <row r="21" spans="1:11" ht="14.4">
      <c r="A21" s="4" t="s">
        <v>174</v>
      </c>
      <c r="B21" s="5"/>
      <c r="C21" s="5"/>
      <c r="D21" s="5"/>
      <c r="E21" s="5"/>
      <c r="F21" s="5"/>
      <c r="G21" s="5"/>
      <c r="H21" s="5"/>
      <c r="I21" s="5"/>
      <c r="J21" s="5">
        <v>1</v>
      </c>
      <c r="K21" s="5">
        <v>2</v>
      </c>
    </row>
    <row r="22" spans="1:11" ht="14.4">
      <c r="A22" s="4" t="s">
        <v>106</v>
      </c>
      <c r="B22" s="5"/>
      <c r="C22" s="5">
        <v>1</v>
      </c>
      <c r="D22" s="5"/>
      <c r="E22" s="5">
        <v>5</v>
      </c>
      <c r="F22" s="5">
        <v>5</v>
      </c>
      <c r="G22" s="5">
        <v>4</v>
      </c>
      <c r="H22" s="5">
        <v>2</v>
      </c>
      <c r="I22" s="5">
        <v>1</v>
      </c>
      <c r="J22" s="5">
        <v>1</v>
      </c>
      <c r="K22" s="5">
        <v>3</v>
      </c>
    </row>
    <row r="23" spans="1:11" ht="14.4">
      <c r="A23" s="4" t="s">
        <v>175</v>
      </c>
      <c r="B23" s="5"/>
      <c r="C23" s="5"/>
      <c r="D23" s="5"/>
      <c r="E23" s="5"/>
      <c r="F23" s="5"/>
      <c r="G23" s="5"/>
      <c r="H23" s="5"/>
      <c r="I23" s="5">
        <v>8</v>
      </c>
      <c r="J23" s="5">
        <v>8</v>
      </c>
      <c r="K23" s="5">
        <v>8</v>
      </c>
    </row>
    <row r="24" spans="1:11" ht="14.4">
      <c r="A24" s="4" t="s">
        <v>176</v>
      </c>
      <c r="B24" s="5"/>
      <c r="C24" s="5"/>
      <c r="D24" s="5"/>
      <c r="E24" s="5"/>
      <c r="F24" s="5"/>
      <c r="G24" s="5"/>
      <c r="H24" s="5"/>
      <c r="I24" s="5">
        <v>81</v>
      </c>
      <c r="J24" s="5">
        <v>78</v>
      </c>
      <c r="K24" s="5">
        <v>77</v>
      </c>
    </row>
    <row r="25" spans="1:11" ht="14.4">
      <c r="A25" s="93" t="s">
        <v>177</v>
      </c>
      <c r="B25" s="94">
        <v>201</v>
      </c>
      <c r="C25" s="94">
        <v>153</v>
      </c>
      <c r="D25" s="94">
        <v>143</v>
      </c>
      <c r="E25" s="94">
        <v>114</v>
      </c>
      <c r="F25" s="94">
        <v>106</v>
      </c>
      <c r="G25" s="94">
        <v>116</v>
      </c>
      <c r="H25" s="94">
        <v>96</v>
      </c>
      <c r="I25" s="94">
        <v>89</v>
      </c>
      <c r="J25" s="94">
        <v>86</v>
      </c>
      <c r="K25" s="94">
        <v>85</v>
      </c>
    </row>
    <row r="26" spans="1:11" ht="14.4">
      <c r="A26" s="4" t="s">
        <v>178</v>
      </c>
      <c r="B26" s="5">
        <v>29</v>
      </c>
      <c r="C26" s="5">
        <v>6</v>
      </c>
      <c r="D26" s="5">
        <v>15</v>
      </c>
      <c r="E26" s="5">
        <v>9</v>
      </c>
      <c r="F26" s="5"/>
      <c r="G26" s="5">
        <v>5</v>
      </c>
      <c r="H26" s="5">
        <v>-10</v>
      </c>
      <c r="I26" s="5">
        <v>-28</v>
      </c>
      <c r="J26" s="5">
        <v>-6</v>
      </c>
      <c r="K26" s="5">
        <v>15</v>
      </c>
    </row>
    <row r="27" spans="1:11" ht="14.4">
      <c r="A27" s="4" t="s">
        <v>117</v>
      </c>
      <c r="B27" s="5"/>
      <c r="C27" s="5"/>
      <c r="D27" s="5"/>
      <c r="E27" s="5">
        <v>58</v>
      </c>
      <c r="F27" s="5"/>
      <c r="G27" s="5"/>
      <c r="H27" s="5"/>
      <c r="I27" s="5"/>
      <c r="J27" s="5"/>
      <c r="K27" s="5"/>
    </row>
    <row r="28" spans="1:11" ht="14.4">
      <c r="A28" s="4" t="s">
        <v>118</v>
      </c>
      <c r="B28" s="5">
        <v>27</v>
      </c>
      <c r="C28" s="5"/>
      <c r="D28" s="5"/>
      <c r="E28" s="5"/>
      <c r="F28" s="5"/>
      <c r="G28" s="5"/>
      <c r="H28" s="5"/>
      <c r="I28" s="5"/>
      <c r="J28" s="5"/>
      <c r="K28" s="5"/>
    </row>
    <row r="29" spans="1:11" ht="14.4">
      <c r="A29" s="4" t="s">
        <v>179</v>
      </c>
      <c r="B29" s="5">
        <v>1223</v>
      </c>
      <c r="C29" s="5">
        <v>1071</v>
      </c>
      <c r="D29" s="5">
        <v>1049</v>
      </c>
      <c r="E29" s="5">
        <v>1047</v>
      </c>
      <c r="F29" s="5">
        <v>941</v>
      </c>
      <c r="G29" s="5">
        <v>1302</v>
      </c>
      <c r="H29" s="5">
        <v>690</v>
      </c>
      <c r="I29" s="5">
        <v>658</v>
      </c>
      <c r="J29" s="5">
        <v>601</v>
      </c>
      <c r="K29" s="5">
        <v>531</v>
      </c>
    </row>
    <row r="30" spans="1:11" ht="14.4">
      <c r="A30" s="19" t="s">
        <v>180</v>
      </c>
      <c r="B30" s="5">
        <v>766</v>
      </c>
      <c r="C30" s="5">
        <v>1045</v>
      </c>
      <c r="D30" s="5">
        <v>302</v>
      </c>
      <c r="E30" s="5">
        <v>276</v>
      </c>
      <c r="F30" s="5">
        <v>412</v>
      </c>
      <c r="G30" s="5">
        <v>243</v>
      </c>
      <c r="H30" s="5">
        <v>293</v>
      </c>
      <c r="I30" s="5">
        <v>170</v>
      </c>
      <c r="J30" s="5">
        <v>193</v>
      </c>
      <c r="K30" s="5">
        <v>231</v>
      </c>
    </row>
    <row r="31" spans="1:11" ht="14.4">
      <c r="A31" s="4" t="s">
        <v>119</v>
      </c>
      <c r="B31" s="5">
        <v>309</v>
      </c>
      <c r="C31" s="5"/>
      <c r="D31" s="5"/>
      <c r="E31" s="5"/>
      <c r="F31" s="5"/>
      <c r="G31" s="5"/>
      <c r="H31" s="5"/>
      <c r="I31" s="5"/>
      <c r="J31" s="5"/>
      <c r="K31" s="5"/>
    </row>
    <row r="32" spans="1:11" ht="14.4">
      <c r="A32" s="4" t="s">
        <v>181</v>
      </c>
      <c r="B32" s="5"/>
      <c r="C32" s="5">
        <v>-1</v>
      </c>
      <c r="D32" s="5">
        <v>-18</v>
      </c>
      <c r="E32" s="5"/>
      <c r="F32" s="5"/>
      <c r="G32" s="5"/>
      <c r="H32" s="5"/>
      <c r="I32" s="5"/>
      <c r="J32" s="5"/>
      <c r="K32" s="5"/>
    </row>
    <row r="33" spans="1:11" ht="14.4">
      <c r="A33" s="4" t="s">
        <v>182</v>
      </c>
      <c r="B33" s="5">
        <v>-11</v>
      </c>
      <c r="C33" s="5"/>
      <c r="D33" s="5">
        <v>-6</v>
      </c>
      <c r="E33" s="5"/>
      <c r="F33" s="5"/>
      <c r="G33" s="5"/>
      <c r="H33" s="5"/>
      <c r="I33" s="5"/>
      <c r="J33" s="5"/>
      <c r="K33" s="5"/>
    </row>
    <row r="34" spans="1:11" ht="14.4">
      <c r="A34" s="4" t="s">
        <v>183</v>
      </c>
      <c r="B34" s="5">
        <v>-18</v>
      </c>
      <c r="C34" s="5"/>
      <c r="D34" s="5">
        <v>-13</v>
      </c>
      <c r="E34" s="5"/>
      <c r="F34" s="5"/>
      <c r="G34" s="5"/>
      <c r="H34" s="5"/>
      <c r="I34" s="5"/>
      <c r="J34" s="5"/>
      <c r="K34" s="5"/>
    </row>
    <row r="35" spans="1:11" ht="14.4">
      <c r="A35" s="4" t="s">
        <v>184</v>
      </c>
      <c r="B35" s="5"/>
      <c r="C35" s="5">
        <v>3</v>
      </c>
      <c r="D35" s="5"/>
      <c r="E35" s="5"/>
      <c r="F35" s="5"/>
      <c r="G35" s="5"/>
      <c r="H35" s="5"/>
      <c r="I35" s="5"/>
      <c r="J35" s="5"/>
      <c r="K35" s="5"/>
    </row>
    <row r="36" spans="1:11" ht="14.4">
      <c r="A36" s="4" t="s">
        <v>185</v>
      </c>
      <c r="B36" s="5">
        <v>-2</v>
      </c>
      <c r="C36" s="5">
        <v>-5</v>
      </c>
      <c r="D36" s="5"/>
      <c r="E36" s="5"/>
      <c r="F36" s="5"/>
      <c r="G36" s="5"/>
      <c r="H36" s="5"/>
      <c r="I36" s="5"/>
      <c r="J36" s="5"/>
      <c r="K36" s="5"/>
    </row>
    <row r="37" spans="1:11" ht="14.4">
      <c r="A37" s="4" t="s">
        <v>186</v>
      </c>
      <c r="B37" s="5">
        <v>-31</v>
      </c>
      <c r="C37" s="5">
        <v>-3</v>
      </c>
      <c r="D37" s="5">
        <v>-37</v>
      </c>
      <c r="E37" s="5"/>
      <c r="F37" s="5"/>
      <c r="G37" s="5"/>
      <c r="H37" s="5"/>
      <c r="I37" s="5"/>
      <c r="J37" s="5"/>
      <c r="K37" s="5"/>
    </row>
    <row r="38" spans="1:11" ht="14.4">
      <c r="A38" s="4" t="s">
        <v>187</v>
      </c>
      <c r="B38" s="5"/>
      <c r="C38" s="5"/>
      <c r="D38" s="5"/>
      <c r="E38" s="5">
        <v>36</v>
      </c>
      <c r="F38" s="5"/>
      <c r="G38" s="5">
        <v>24</v>
      </c>
      <c r="H38" s="5">
        <v>159</v>
      </c>
      <c r="I38" s="5"/>
      <c r="J38" s="5"/>
      <c r="K38" s="5"/>
    </row>
    <row r="39" spans="1:11" ht="14.4">
      <c r="A39" s="4" t="s">
        <v>188</v>
      </c>
      <c r="B39" s="5">
        <v>-270</v>
      </c>
      <c r="C39" s="5">
        <v>-195</v>
      </c>
      <c r="D39" s="5">
        <v>-153</v>
      </c>
      <c r="E39" s="5">
        <v>-142</v>
      </c>
      <c r="F39" s="5">
        <v>-165</v>
      </c>
      <c r="G39" s="5">
        <v>-146</v>
      </c>
      <c r="H39" s="5">
        <v>-115</v>
      </c>
      <c r="I39" s="5">
        <v>-105</v>
      </c>
      <c r="J39" s="5">
        <v>-77</v>
      </c>
      <c r="K39" s="5">
        <v>-89</v>
      </c>
    </row>
    <row r="40" spans="1:11" ht="14.4">
      <c r="A40" s="4" t="s">
        <v>189</v>
      </c>
      <c r="B40" s="5">
        <v>56</v>
      </c>
      <c r="C40" s="5">
        <v>41</v>
      </c>
      <c r="D40" s="5">
        <v>21</v>
      </c>
      <c r="E40" s="5">
        <v>10</v>
      </c>
      <c r="F40" s="5">
        <v>5</v>
      </c>
      <c r="G40" s="5">
        <v>13</v>
      </c>
      <c r="H40" s="5">
        <v>5</v>
      </c>
      <c r="I40" s="5">
        <v>6</v>
      </c>
      <c r="J40" s="5">
        <v>3</v>
      </c>
      <c r="K40" s="5">
        <v>9</v>
      </c>
    </row>
    <row r="41" spans="1:11" ht="14.4">
      <c r="A41" s="4" t="s">
        <v>103</v>
      </c>
      <c r="B41" s="5">
        <v>14</v>
      </c>
      <c r="C41" s="5">
        <v>34</v>
      </c>
      <c r="D41" s="5">
        <v>10</v>
      </c>
      <c r="E41" s="5"/>
      <c r="F41" s="5"/>
      <c r="G41" s="5"/>
      <c r="H41" s="5"/>
      <c r="I41" s="5"/>
      <c r="J41" s="5"/>
      <c r="K41" s="5"/>
    </row>
    <row r="42" spans="1:11" ht="27.6">
      <c r="A42" s="4" t="s">
        <v>190</v>
      </c>
      <c r="B42" s="5"/>
      <c r="C42" s="5">
        <v>-14</v>
      </c>
      <c r="D42" s="5">
        <v>5</v>
      </c>
      <c r="E42" s="5"/>
      <c r="F42" s="5"/>
      <c r="G42" s="5"/>
      <c r="H42" s="5"/>
      <c r="I42" s="5"/>
      <c r="J42" s="5"/>
      <c r="K42" s="5"/>
    </row>
    <row r="43" spans="1:11" ht="14.4">
      <c r="A43" s="4" t="s">
        <v>191</v>
      </c>
      <c r="B43" s="5"/>
      <c r="C43" s="5"/>
      <c r="D43" s="5"/>
      <c r="E43" s="5"/>
      <c r="F43" s="5"/>
      <c r="G43" s="5"/>
      <c r="H43" s="5"/>
      <c r="I43" s="5"/>
      <c r="J43" s="5">
        <v>-11</v>
      </c>
      <c r="K43" s="5"/>
    </row>
    <row r="44" spans="1:11" ht="14.4">
      <c r="A44" s="4" t="s">
        <v>192</v>
      </c>
      <c r="B44" s="5">
        <v>-9</v>
      </c>
      <c r="C44" s="5">
        <v>-14</v>
      </c>
      <c r="D44" s="5">
        <v>-13</v>
      </c>
      <c r="E44" s="5"/>
      <c r="F44" s="5"/>
      <c r="G44" s="5"/>
      <c r="H44" s="5"/>
      <c r="I44" s="5"/>
      <c r="J44" s="5"/>
      <c r="K44" s="5"/>
    </row>
    <row r="45" spans="1:11" ht="14.4">
      <c r="A45" s="4" t="s">
        <v>193</v>
      </c>
      <c r="B45" s="5"/>
      <c r="C45" s="5"/>
      <c r="D45" s="5"/>
      <c r="E45" s="5"/>
      <c r="F45" s="5"/>
      <c r="G45" s="5"/>
      <c r="H45" s="5"/>
      <c r="I45" s="5"/>
      <c r="J45" s="5">
        <v>8</v>
      </c>
      <c r="K45" s="5">
        <v>-2</v>
      </c>
    </row>
    <row r="46" spans="1:11" ht="14.4">
      <c r="A46" s="4" t="s">
        <v>194</v>
      </c>
      <c r="B46" s="5">
        <v>-9</v>
      </c>
      <c r="C46" s="5">
        <v>-9</v>
      </c>
      <c r="D46" s="5">
        <v>-8</v>
      </c>
      <c r="E46" s="5">
        <v>-5</v>
      </c>
      <c r="F46" s="5">
        <v>-6</v>
      </c>
      <c r="G46" s="5">
        <v>-5</v>
      </c>
      <c r="H46" s="5">
        <v>-1</v>
      </c>
      <c r="I46" s="5"/>
      <c r="J46" s="5"/>
      <c r="K46" s="5"/>
    </row>
    <row r="47" spans="1:11" ht="14.4">
      <c r="A47" s="4" t="s">
        <v>195</v>
      </c>
      <c r="B47" s="5"/>
      <c r="C47" s="5"/>
      <c r="D47" s="5"/>
      <c r="E47" s="5"/>
      <c r="F47" s="5"/>
      <c r="G47" s="5"/>
      <c r="H47" s="5"/>
      <c r="I47" s="5"/>
      <c r="J47" s="5"/>
      <c r="K47" s="5">
        <v>-1</v>
      </c>
    </row>
    <row r="48" spans="1:11" ht="14.4">
      <c r="A48" s="4" t="s">
        <v>196</v>
      </c>
      <c r="B48" s="5">
        <v>-12</v>
      </c>
      <c r="C48" s="5">
        <v>-11</v>
      </c>
      <c r="D48" s="5">
        <v>-7</v>
      </c>
      <c r="E48" s="5">
        <v>-8</v>
      </c>
      <c r="F48" s="5">
        <v>-5</v>
      </c>
      <c r="G48" s="5">
        <v>-6</v>
      </c>
      <c r="H48" s="5">
        <v>-5</v>
      </c>
      <c r="I48" s="5">
        <v>-4</v>
      </c>
      <c r="J48" s="5">
        <v>-3</v>
      </c>
      <c r="K48" s="5">
        <v>-4</v>
      </c>
    </row>
    <row r="49" spans="1:22" ht="14.4">
      <c r="A49" s="4" t="s">
        <v>197</v>
      </c>
      <c r="B49" s="5">
        <v>5</v>
      </c>
      <c r="C49" s="5">
        <v>6</v>
      </c>
      <c r="D49" s="5">
        <v>2</v>
      </c>
      <c r="E49" s="5">
        <v>-36</v>
      </c>
      <c r="F49" s="5">
        <v>-23</v>
      </c>
      <c r="G49" s="5">
        <v>-10</v>
      </c>
      <c r="H49" s="5">
        <v>-7</v>
      </c>
      <c r="I49" s="5">
        <v>-5</v>
      </c>
      <c r="J49" s="5">
        <v>-6</v>
      </c>
      <c r="K49" s="5">
        <v>-7</v>
      </c>
    </row>
    <row r="50" spans="1:22" ht="14.4">
      <c r="A50" s="4" t="s">
        <v>198</v>
      </c>
      <c r="B50" s="5"/>
      <c r="C50" s="5">
        <v>-9</v>
      </c>
      <c r="D50" s="5">
        <v>-23</v>
      </c>
      <c r="E50" s="5">
        <v>13</v>
      </c>
      <c r="F50" s="5">
        <v>-17</v>
      </c>
      <c r="G50" s="5">
        <v>17</v>
      </c>
      <c r="H50" s="5">
        <v>16</v>
      </c>
      <c r="I50" s="5">
        <v>17</v>
      </c>
      <c r="J50" s="5">
        <v>-2</v>
      </c>
      <c r="K50" s="5"/>
    </row>
    <row r="51" spans="1:22" ht="14.4">
      <c r="A51" s="4" t="s">
        <v>199</v>
      </c>
      <c r="B51" s="5">
        <v>9</v>
      </c>
      <c r="C51" s="5">
        <v>11</v>
      </c>
      <c r="D51" s="5">
        <v>12</v>
      </c>
      <c r="E51" s="5">
        <v>-6</v>
      </c>
      <c r="F51" s="5">
        <v>14</v>
      </c>
      <c r="G51" s="5">
        <v>-15</v>
      </c>
      <c r="H51" s="5">
        <v>-16</v>
      </c>
      <c r="I51" s="5">
        <v>-17</v>
      </c>
      <c r="J51" s="5">
        <v>2</v>
      </c>
      <c r="K51" s="5"/>
    </row>
    <row r="52" spans="1:22" ht="14.4">
      <c r="A52" s="4" t="s">
        <v>200</v>
      </c>
      <c r="B52" s="5"/>
      <c r="C52" s="5"/>
      <c r="D52" s="5"/>
      <c r="E52" s="5"/>
      <c r="F52" s="5"/>
      <c r="G52" s="5">
        <v>-4</v>
      </c>
      <c r="H52" s="5"/>
      <c r="I52" s="5"/>
      <c r="J52" s="5"/>
      <c r="K52" s="5"/>
    </row>
    <row r="53" spans="1:22" ht="14.4">
      <c r="A53" s="2" t="s">
        <v>96</v>
      </c>
      <c r="B53" s="3">
        <v>-221</v>
      </c>
      <c r="C53" s="3">
        <v>-166</v>
      </c>
      <c r="D53" s="3">
        <v>-156</v>
      </c>
      <c r="E53" s="3">
        <v>-174</v>
      </c>
      <c r="F53" s="3">
        <v>-197</v>
      </c>
      <c r="G53" s="3">
        <v>-156</v>
      </c>
      <c r="H53" s="3">
        <v>-123</v>
      </c>
      <c r="I53" s="3">
        <v>-108</v>
      </c>
      <c r="J53" s="3">
        <v>-86</v>
      </c>
      <c r="K53" s="3">
        <v>-94</v>
      </c>
    </row>
    <row r="54" spans="1:22" ht="14.4">
      <c r="A54" s="4" t="s">
        <v>112</v>
      </c>
      <c r="B54" s="5">
        <v>76</v>
      </c>
      <c r="C54" s="5">
        <v>65</v>
      </c>
      <c r="D54" s="5">
        <v>32</v>
      </c>
      <c r="E54" s="5">
        <v>9</v>
      </c>
      <c r="F54" s="5">
        <v>-3</v>
      </c>
      <c r="G54" s="5">
        <v>2</v>
      </c>
      <c r="H54" s="5">
        <v>19</v>
      </c>
      <c r="I54" s="5">
        <v>31</v>
      </c>
      <c r="J54" s="5">
        <v>25</v>
      </c>
      <c r="K54" s="5">
        <v>15</v>
      </c>
    </row>
    <row r="55" spans="1:22" ht="14.4">
      <c r="A55" s="4" t="s">
        <v>201</v>
      </c>
      <c r="B55" s="5">
        <v>133</v>
      </c>
      <c r="C55" s="5">
        <v>-104</v>
      </c>
      <c r="D55" s="5">
        <v>-161</v>
      </c>
      <c r="E55" s="5">
        <v>-129</v>
      </c>
      <c r="F55" s="5">
        <v>-200</v>
      </c>
      <c r="G55" s="5">
        <v>-130</v>
      </c>
      <c r="H55" s="5">
        <v>55</v>
      </c>
      <c r="I55" s="5">
        <v>-77</v>
      </c>
      <c r="J55" s="5">
        <v>-61</v>
      </c>
      <c r="K55" s="5">
        <v>-79</v>
      </c>
    </row>
    <row r="56" spans="1:22" ht="14.4">
      <c r="A56" s="2" t="s">
        <v>202</v>
      </c>
      <c r="B56" s="3">
        <v>899</v>
      </c>
      <c r="C56" s="3">
        <v>941</v>
      </c>
      <c r="D56" s="3">
        <v>141</v>
      </c>
      <c r="E56" s="3">
        <v>147</v>
      </c>
      <c r="F56" s="3">
        <v>212</v>
      </c>
      <c r="G56" s="3">
        <v>113</v>
      </c>
      <c r="H56" s="3">
        <v>348</v>
      </c>
      <c r="I56" s="3">
        <v>93</v>
      </c>
      <c r="J56" s="3">
        <v>132</v>
      </c>
      <c r="K56" s="3">
        <v>152</v>
      </c>
    </row>
    <row r="57" spans="1:22" ht="14.4">
      <c r="A57" s="2" t="s">
        <v>203</v>
      </c>
      <c r="B57" s="3">
        <v>198</v>
      </c>
      <c r="C57" s="3">
        <v>204</v>
      </c>
      <c r="D57" s="3">
        <v>13</v>
      </c>
      <c r="E57" s="3">
        <v>60</v>
      </c>
      <c r="F57" s="3">
        <v>82</v>
      </c>
      <c r="G57" s="3">
        <v>-6</v>
      </c>
      <c r="H57" s="3">
        <v>90</v>
      </c>
      <c r="I57" s="3">
        <v>-41</v>
      </c>
      <c r="J57" s="3">
        <v>30</v>
      </c>
      <c r="K57" s="3">
        <v>66</v>
      </c>
    </row>
    <row r="58" spans="1:22" ht="14.4">
      <c r="A58" s="4" t="s">
        <v>204</v>
      </c>
      <c r="B58" s="5">
        <v>31</v>
      </c>
      <c r="C58" s="5">
        <v>155</v>
      </c>
      <c r="D58" s="5">
        <v>20</v>
      </c>
      <c r="E58" s="5">
        <v>60</v>
      </c>
      <c r="F58" s="5">
        <v>18</v>
      </c>
      <c r="G58" s="5">
        <v>54</v>
      </c>
      <c r="H58" s="5">
        <v>18</v>
      </c>
      <c r="I58" s="5">
        <v>16</v>
      </c>
      <c r="J58" s="5">
        <v>15</v>
      </c>
      <c r="K58" s="5">
        <v>10</v>
      </c>
      <c r="L58">
        <f>B57/B56</f>
        <v>0.22024471635150167</v>
      </c>
      <c r="M58">
        <f t="shared" ref="M58:U58" si="0">C57/C56</f>
        <v>0.21679064824654623</v>
      </c>
      <c r="N58">
        <f t="shared" si="0"/>
        <v>9.2198581560283682E-2</v>
      </c>
      <c r="O58">
        <f t="shared" si="0"/>
        <v>0.40816326530612246</v>
      </c>
      <c r="P58">
        <f t="shared" si="0"/>
        <v>0.3867924528301887</v>
      </c>
      <c r="Q58">
        <f t="shared" si="0"/>
        <v>-5.3097345132743362E-2</v>
      </c>
      <c r="R58">
        <f t="shared" si="0"/>
        <v>0.25862068965517243</v>
      </c>
      <c r="S58">
        <f t="shared" si="0"/>
        <v>-0.44086021505376344</v>
      </c>
      <c r="T58">
        <f t="shared" si="0"/>
        <v>0.22727272727272727</v>
      </c>
      <c r="U58">
        <f t="shared" si="0"/>
        <v>0.43421052631578949</v>
      </c>
      <c r="V58">
        <f>SUM(L58:U58)/10</f>
        <v>0.17503360473518251</v>
      </c>
    </row>
    <row r="59" spans="1:22" ht="14.4">
      <c r="A59" s="4" t="s">
        <v>205</v>
      </c>
      <c r="B59" s="5">
        <v>176</v>
      </c>
      <c r="C59" s="5">
        <v>57</v>
      </c>
      <c r="D59" s="5">
        <v>-6</v>
      </c>
      <c r="E59" s="5">
        <v>23</v>
      </c>
      <c r="F59" s="5">
        <v>64</v>
      </c>
      <c r="G59" s="5">
        <v>-6</v>
      </c>
      <c r="H59" s="5">
        <v>77</v>
      </c>
      <c r="I59" s="5">
        <v>4</v>
      </c>
      <c r="J59" s="5">
        <v>43</v>
      </c>
      <c r="K59" s="5">
        <v>37</v>
      </c>
    </row>
    <row r="60" spans="1:22" ht="14.4">
      <c r="A60" s="4" t="s">
        <v>206</v>
      </c>
      <c r="B60" s="5"/>
      <c r="C60" s="5"/>
      <c r="D60" s="5">
        <v>3</v>
      </c>
      <c r="E60" s="5">
        <v>-2</v>
      </c>
      <c r="F60" s="5">
        <v>2</v>
      </c>
      <c r="G60" s="5"/>
      <c r="H60" s="5">
        <v>4</v>
      </c>
      <c r="I60" s="5">
        <v>-3</v>
      </c>
      <c r="J60" s="5">
        <v>9</v>
      </c>
      <c r="K60" s="5">
        <v>5</v>
      </c>
      <c r="S60">
        <f>POWER((L58-V58),0.1)-1</f>
        <v>-0.26628986441582436</v>
      </c>
    </row>
    <row r="61" spans="1:22" ht="14.4">
      <c r="A61" s="4" t="s">
        <v>207</v>
      </c>
      <c r="B61" s="5"/>
      <c r="C61" s="5"/>
      <c r="D61" s="5"/>
      <c r="E61" s="5"/>
      <c r="F61" s="5"/>
      <c r="G61" s="5"/>
      <c r="H61" s="5"/>
      <c r="I61" s="5"/>
      <c r="J61" s="5"/>
      <c r="K61" s="5">
        <v>1</v>
      </c>
    </row>
    <row r="62" spans="1:22" ht="14.4">
      <c r="A62" s="4" t="s">
        <v>208</v>
      </c>
      <c r="B62" s="5">
        <v>-9</v>
      </c>
      <c r="C62" s="5">
        <v>-8</v>
      </c>
      <c r="D62" s="5">
        <v>-4</v>
      </c>
      <c r="E62" s="5">
        <v>-21</v>
      </c>
      <c r="F62" s="5">
        <v>-2</v>
      </c>
      <c r="G62" s="5">
        <v>-3</v>
      </c>
      <c r="H62" s="5">
        <v>-9</v>
      </c>
      <c r="I62" s="5">
        <v>-89</v>
      </c>
      <c r="J62" s="5">
        <v>-37</v>
      </c>
      <c r="K62" s="5">
        <v>-6</v>
      </c>
    </row>
    <row r="63" spans="1:22" ht="14.4">
      <c r="A63" s="4" t="s">
        <v>209</v>
      </c>
      <c r="B63" s="5"/>
      <c r="C63" s="5"/>
      <c r="D63" s="5"/>
      <c r="E63" s="5"/>
      <c r="F63" s="5"/>
      <c r="G63" s="5">
        <v>-51</v>
      </c>
      <c r="H63" s="5"/>
      <c r="I63" s="5">
        <v>31</v>
      </c>
      <c r="J63" s="5"/>
      <c r="K63" s="5"/>
    </row>
    <row r="64" spans="1:22" ht="14.4">
      <c r="A64" s="4" t="s">
        <v>210</v>
      </c>
      <c r="B64" s="5"/>
      <c r="C64" s="5"/>
      <c r="D64" s="5"/>
      <c r="E64" s="5"/>
      <c r="F64" s="5"/>
      <c r="G64" s="5"/>
      <c r="H64" s="5"/>
      <c r="I64" s="5"/>
      <c r="J64" s="5"/>
      <c r="K64" s="5">
        <v>19</v>
      </c>
    </row>
    <row r="65" spans="1:11" ht="14.4">
      <c r="A65" s="2" t="s">
        <v>211</v>
      </c>
      <c r="B65" s="3">
        <v>198</v>
      </c>
      <c r="C65" s="3">
        <v>204</v>
      </c>
      <c r="D65" s="3">
        <v>13</v>
      </c>
      <c r="E65" s="3">
        <v>60</v>
      </c>
      <c r="F65" s="3">
        <v>82</v>
      </c>
      <c r="G65" s="3">
        <v>-6</v>
      </c>
      <c r="H65" s="3">
        <v>90</v>
      </c>
      <c r="I65" s="3">
        <v>-41</v>
      </c>
      <c r="J65" s="3">
        <v>30</v>
      </c>
      <c r="K65" s="3">
        <v>66</v>
      </c>
    </row>
    <row r="66" spans="1:11" ht="14.4">
      <c r="A66" s="2" t="s">
        <v>92</v>
      </c>
      <c r="B66" s="3">
        <v>701</v>
      </c>
      <c r="C66" s="3">
        <v>737</v>
      </c>
      <c r="D66" s="3">
        <v>128</v>
      </c>
      <c r="E66" s="3">
        <v>87</v>
      </c>
      <c r="F66" s="3">
        <v>130</v>
      </c>
      <c r="G66" s="3">
        <v>119</v>
      </c>
      <c r="H66" s="3">
        <v>258</v>
      </c>
      <c r="I66" s="3">
        <v>134</v>
      </c>
      <c r="J66" s="3">
        <v>102</v>
      </c>
      <c r="K66" s="3">
        <v>86</v>
      </c>
    </row>
    <row r="67" spans="1:11" ht="14.4">
      <c r="A67" s="4" t="s">
        <v>212</v>
      </c>
      <c r="B67" s="5">
        <v>701</v>
      </c>
      <c r="C67" s="5">
        <v>737</v>
      </c>
      <c r="D67" s="5">
        <v>128</v>
      </c>
      <c r="E67" s="5">
        <v>87</v>
      </c>
      <c r="F67" s="5">
        <v>130</v>
      </c>
      <c r="G67" s="5">
        <v>119</v>
      </c>
      <c r="H67" s="5">
        <v>258</v>
      </c>
      <c r="I67" s="5">
        <v>134</v>
      </c>
      <c r="J67" s="5">
        <v>102</v>
      </c>
      <c r="K67" s="5">
        <v>86</v>
      </c>
    </row>
    <row r="68" spans="1:11" ht="14.4">
      <c r="A68" s="4" t="s">
        <v>88</v>
      </c>
      <c r="B68" s="5">
        <v>2</v>
      </c>
      <c r="C68" s="5">
        <v>-7</v>
      </c>
      <c r="D68" s="5">
        <v>-10</v>
      </c>
      <c r="E68" s="5">
        <v>-11</v>
      </c>
      <c r="F68" s="5">
        <v>-6</v>
      </c>
      <c r="G68" s="5">
        <v>-6</v>
      </c>
      <c r="H68" s="5">
        <v>-7</v>
      </c>
      <c r="I68" s="5">
        <v>-10</v>
      </c>
      <c r="J68" s="5">
        <v>-9</v>
      </c>
      <c r="K68" s="5">
        <v>-4</v>
      </c>
    </row>
    <row r="69" spans="1:11" ht="14.4">
      <c r="A69" s="48" t="s">
        <v>213</v>
      </c>
      <c r="B69" s="49">
        <v>2</v>
      </c>
      <c r="C69" s="5">
        <v>-7</v>
      </c>
      <c r="D69" s="5">
        <v>-10</v>
      </c>
      <c r="E69" s="5">
        <v>-11</v>
      </c>
      <c r="F69" s="5">
        <v>-6</v>
      </c>
      <c r="G69" s="5">
        <v>-6</v>
      </c>
      <c r="H69" s="5">
        <v>-7</v>
      </c>
      <c r="I69" s="5">
        <v>-10</v>
      </c>
      <c r="J69" s="5">
        <v>-9</v>
      </c>
      <c r="K69" s="5">
        <v>-4</v>
      </c>
    </row>
    <row r="70" spans="1:11" ht="14.4">
      <c r="A70" s="4" t="s">
        <v>212</v>
      </c>
      <c r="B70" s="5">
        <v>699</v>
      </c>
      <c r="C70" s="5">
        <v>744</v>
      </c>
      <c r="D70" s="5">
        <v>138</v>
      </c>
      <c r="E70" s="5">
        <v>98</v>
      </c>
      <c r="F70" s="5">
        <v>136</v>
      </c>
      <c r="G70" s="5">
        <v>125</v>
      </c>
      <c r="H70" s="5">
        <v>265</v>
      </c>
      <c r="I70" s="5">
        <v>144</v>
      </c>
      <c r="J70" s="5">
        <v>111</v>
      </c>
      <c r="K70" s="5">
        <v>90</v>
      </c>
    </row>
    <row r="71" spans="1:11" ht="14.4">
      <c r="A71" s="4" t="s">
        <v>214</v>
      </c>
      <c r="B71" s="5">
        <v>-34</v>
      </c>
      <c r="C71" s="5">
        <v>-34</v>
      </c>
      <c r="D71" s="5">
        <v>-39</v>
      </c>
      <c r="E71" s="5">
        <v>-54</v>
      </c>
      <c r="F71" s="5">
        <v>-54</v>
      </c>
      <c r="G71" s="5">
        <v>-49</v>
      </c>
      <c r="H71" s="5">
        <v>-42</v>
      </c>
      <c r="I71" s="5">
        <v>-36</v>
      </c>
      <c r="J71" s="5">
        <v>-23</v>
      </c>
      <c r="K71" s="5">
        <v>-23</v>
      </c>
    </row>
    <row r="72" spans="1:11" ht="14.4">
      <c r="A72" s="4" t="s">
        <v>215</v>
      </c>
      <c r="B72" s="5">
        <v>-34</v>
      </c>
      <c r="C72" s="5">
        <v>-34</v>
      </c>
      <c r="D72" s="5">
        <v>-39</v>
      </c>
      <c r="E72" s="5">
        <v>-54</v>
      </c>
      <c r="F72" s="5">
        <v>-54</v>
      </c>
      <c r="G72" s="5">
        <v>-49</v>
      </c>
      <c r="H72" s="5">
        <v>-42</v>
      </c>
      <c r="I72" s="5">
        <v>-36</v>
      </c>
      <c r="J72" s="5">
        <v>-23</v>
      </c>
      <c r="K72" s="5">
        <v>-23</v>
      </c>
    </row>
    <row r="73" spans="1:11" ht="14.4">
      <c r="A73" s="4" t="s">
        <v>216</v>
      </c>
      <c r="B73" s="5">
        <v>665</v>
      </c>
      <c r="C73" s="5">
        <v>710</v>
      </c>
      <c r="D73" s="5">
        <v>99</v>
      </c>
      <c r="E73" s="5">
        <v>44</v>
      </c>
      <c r="F73" s="5">
        <v>82</v>
      </c>
      <c r="G73" s="5">
        <v>76</v>
      </c>
      <c r="H73" s="5">
        <v>223</v>
      </c>
      <c r="I73" s="5">
        <v>108</v>
      </c>
      <c r="J73" s="5">
        <v>88</v>
      </c>
      <c r="K73" s="5">
        <v>67</v>
      </c>
    </row>
    <row r="74" spans="1:11" ht="14.4">
      <c r="A74" s="4" t="s">
        <v>217</v>
      </c>
      <c r="B74" s="5">
        <v>665</v>
      </c>
      <c r="C74" s="5">
        <v>710</v>
      </c>
      <c r="D74" s="5">
        <v>99</v>
      </c>
      <c r="E74" s="5">
        <v>44</v>
      </c>
      <c r="F74" s="5">
        <v>82</v>
      </c>
      <c r="G74" s="5">
        <v>76</v>
      </c>
      <c r="H74" s="5">
        <v>223</v>
      </c>
      <c r="I74" s="5">
        <v>108</v>
      </c>
      <c r="J74" s="5">
        <v>88</v>
      </c>
      <c r="K74" s="5">
        <v>67</v>
      </c>
    </row>
    <row r="75" spans="1:11" ht="14.4">
      <c r="A75" s="4" t="s">
        <v>212</v>
      </c>
      <c r="B75" s="5">
        <v>701</v>
      </c>
      <c r="C75" s="5">
        <v>737</v>
      </c>
      <c r="D75" s="5">
        <v>128</v>
      </c>
      <c r="E75" s="5">
        <v>87</v>
      </c>
      <c r="F75" s="5">
        <v>130</v>
      </c>
      <c r="G75" s="5">
        <v>119</v>
      </c>
      <c r="H75" s="5">
        <v>258</v>
      </c>
      <c r="I75" s="5">
        <v>134</v>
      </c>
      <c r="J75" s="5"/>
      <c r="K75" s="5"/>
    </row>
    <row r="76" spans="1:11" ht="14.4">
      <c r="A76" s="4" t="s">
        <v>218</v>
      </c>
      <c r="B76" s="5">
        <v>1</v>
      </c>
      <c r="C76" s="5">
        <v>-2</v>
      </c>
      <c r="D76" s="5">
        <v>9</v>
      </c>
      <c r="E76" s="5">
        <v>3</v>
      </c>
      <c r="F76" s="5">
        <v>-5</v>
      </c>
      <c r="G76" s="5"/>
      <c r="H76" s="5"/>
      <c r="I76" s="5">
        <v>-1</v>
      </c>
      <c r="J76" s="5"/>
      <c r="K76" s="5"/>
    </row>
    <row r="77" spans="1:11" ht="14.4">
      <c r="A77" s="4" t="s">
        <v>219</v>
      </c>
      <c r="B77" s="5">
        <v>81</v>
      </c>
      <c r="C77" s="5">
        <v>155</v>
      </c>
      <c r="D77" s="5">
        <v>-508</v>
      </c>
      <c r="E77" s="5">
        <v>-194</v>
      </c>
      <c r="F77" s="5">
        <v>-12</v>
      </c>
      <c r="G77" s="5">
        <v>-26</v>
      </c>
      <c r="H77" s="5">
        <v>15</v>
      </c>
      <c r="I77" s="5">
        <v>-4</v>
      </c>
      <c r="J77" s="5"/>
      <c r="K77" s="5"/>
    </row>
    <row r="78" spans="1:11" ht="14.4">
      <c r="A78" s="4" t="s">
        <v>220</v>
      </c>
      <c r="B78" s="5"/>
      <c r="C78" s="5"/>
      <c r="D78" s="5"/>
      <c r="E78" s="5"/>
      <c r="F78" s="5"/>
      <c r="G78" s="5"/>
      <c r="H78" s="5">
        <v>3</v>
      </c>
      <c r="I78" s="5">
        <v>3</v>
      </c>
      <c r="J78" s="5"/>
      <c r="K78" s="5"/>
    </row>
    <row r="79" spans="1:11" ht="27.6">
      <c r="A79" s="4" t="s">
        <v>221</v>
      </c>
      <c r="B79" s="5">
        <v>-25</v>
      </c>
      <c r="C79" s="5">
        <v>160</v>
      </c>
      <c r="D79" s="5">
        <v>328</v>
      </c>
      <c r="E79" s="5">
        <v>158</v>
      </c>
      <c r="F79" s="5">
        <v>-26</v>
      </c>
      <c r="G79" s="5">
        <v>9</v>
      </c>
      <c r="H79" s="5">
        <v>14</v>
      </c>
      <c r="I79" s="5">
        <v>-63</v>
      </c>
      <c r="J79" s="5"/>
      <c r="K79" s="5"/>
    </row>
    <row r="80" spans="1:11" ht="14.4">
      <c r="A80" s="4" t="s">
        <v>222</v>
      </c>
      <c r="B80" s="5">
        <v>218</v>
      </c>
      <c r="C80" s="5">
        <v>-31</v>
      </c>
      <c r="D80" s="5">
        <v>81</v>
      </c>
      <c r="E80" s="5">
        <v>6</v>
      </c>
      <c r="F80" s="5">
        <v>-18</v>
      </c>
      <c r="G80" s="5">
        <v>-39</v>
      </c>
      <c r="H80" s="5">
        <v>50</v>
      </c>
      <c r="I80" s="5">
        <v>-53</v>
      </c>
      <c r="J80" s="5"/>
      <c r="K80" s="5"/>
    </row>
    <row r="81" spans="1:11" ht="14.4">
      <c r="A81" s="4" t="s">
        <v>223</v>
      </c>
      <c r="B81" s="5"/>
      <c r="C81" s="5"/>
      <c r="D81" s="5"/>
      <c r="E81" s="5"/>
      <c r="F81" s="5"/>
      <c r="G81" s="5"/>
      <c r="H81" s="5">
        <v>12</v>
      </c>
      <c r="I81" s="5"/>
      <c r="J81" s="5"/>
      <c r="K81" s="5"/>
    </row>
    <row r="82" spans="1:11" ht="27.6">
      <c r="A82" s="4" t="s">
        <v>224</v>
      </c>
      <c r="B82" s="5"/>
      <c r="C82" s="5"/>
      <c r="D82" s="5"/>
      <c r="E82" s="5"/>
      <c r="F82" s="5"/>
      <c r="G82" s="5"/>
      <c r="H82" s="5">
        <v>2</v>
      </c>
      <c r="I82" s="5">
        <v>3</v>
      </c>
      <c r="J82" s="5"/>
      <c r="K82" s="5"/>
    </row>
    <row r="83" spans="1:11" ht="14.4">
      <c r="A83" s="4" t="s">
        <v>51</v>
      </c>
      <c r="B83" s="5">
        <v>4</v>
      </c>
      <c r="C83" s="5">
        <v>-3</v>
      </c>
      <c r="D83" s="5"/>
      <c r="E83" s="5"/>
      <c r="F83" s="5"/>
      <c r="G83" s="5"/>
      <c r="H83" s="5"/>
      <c r="I83" s="5"/>
      <c r="J83" s="5"/>
      <c r="K83" s="5"/>
    </row>
    <row r="84" spans="1:11" ht="14.4">
      <c r="A84" s="4" t="s">
        <v>225</v>
      </c>
      <c r="B84" s="5">
        <v>279</v>
      </c>
      <c r="C84" s="5">
        <v>279</v>
      </c>
      <c r="D84" s="5">
        <v>-90</v>
      </c>
      <c r="E84" s="5">
        <v>-27</v>
      </c>
      <c r="F84" s="5">
        <v>-61</v>
      </c>
      <c r="G84" s="5">
        <v>-56</v>
      </c>
      <c r="H84" s="5">
        <v>96</v>
      </c>
      <c r="I84" s="5">
        <v>-115</v>
      </c>
      <c r="J84" s="5"/>
      <c r="K84" s="5"/>
    </row>
    <row r="85" spans="1:11" ht="14.4">
      <c r="A85" s="4" t="s">
        <v>226</v>
      </c>
      <c r="B85" s="5">
        <v>978</v>
      </c>
      <c r="C85" s="5">
        <v>1023</v>
      </c>
      <c r="D85" s="5">
        <v>48</v>
      </c>
      <c r="E85" s="5">
        <v>71</v>
      </c>
      <c r="F85" s="5">
        <v>75</v>
      </c>
      <c r="G85" s="5">
        <v>63</v>
      </c>
      <c r="H85" s="5">
        <v>363</v>
      </c>
      <c r="I85" s="5">
        <v>29</v>
      </c>
      <c r="J85" s="5"/>
      <c r="K85" s="5"/>
    </row>
    <row r="86" spans="1:11" ht="14.4">
      <c r="A86" s="4" t="s">
        <v>88</v>
      </c>
      <c r="B86" s="5">
        <v>2</v>
      </c>
      <c r="C86" s="5">
        <v>-7</v>
      </c>
      <c r="D86" s="5">
        <v>-10</v>
      </c>
      <c r="E86" s="5">
        <v>-11</v>
      </c>
      <c r="F86" s="5">
        <v>-6</v>
      </c>
      <c r="G86" s="5">
        <v>-6</v>
      </c>
      <c r="H86" s="5">
        <v>-7</v>
      </c>
      <c r="I86" s="5">
        <v>-10</v>
      </c>
      <c r="J86" s="5"/>
      <c r="K86" s="5"/>
    </row>
    <row r="87" spans="1:11" ht="14.4">
      <c r="A87" s="4" t="s">
        <v>227</v>
      </c>
      <c r="B87" s="5">
        <v>980</v>
      </c>
      <c r="C87" s="5">
        <v>1016</v>
      </c>
      <c r="D87" s="5">
        <v>38</v>
      </c>
      <c r="E87" s="5">
        <v>60</v>
      </c>
      <c r="F87" s="5">
        <v>69</v>
      </c>
      <c r="G87" s="5">
        <v>63</v>
      </c>
      <c r="H87" s="5">
        <v>354</v>
      </c>
      <c r="I87" s="5">
        <v>19</v>
      </c>
      <c r="J87" s="5"/>
      <c r="K87" s="5"/>
    </row>
    <row r="88" spans="1:11" ht="14.4">
      <c r="A88" s="4" t="s">
        <v>228</v>
      </c>
      <c r="B88" s="5">
        <v>5.16</v>
      </c>
      <c r="C88" s="5">
        <v>6.07</v>
      </c>
      <c r="D88" s="5">
        <v>0.85</v>
      </c>
      <c r="E88" s="5">
        <v>0.39</v>
      </c>
      <c r="F88" s="5">
        <v>0.78</v>
      </c>
      <c r="G88" s="5">
        <v>0.73</v>
      </c>
      <c r="H88" s="5">
        <v>2.17</v>
      </c>
      <c r="I88" s="5">
        <v>1.07</v>
      </c>
      <c r="J88" s="5">
        <v>0.91</v>
      </c>
      <c r="K88" s="5">
        <v>0.7</v>
      </c>
    </row>
    <row r="89" spans="1:11" ht="14.4">
      <c r="A89" s="4" t="s">
        <v>229</v>
      </c>
      <c r="B89" s="5">
        <v>5.16</v>
      </c>
      <c r="C89" s="5">
        <v>6.07</v>
      </c>
      <c r="D89" s="5">
        <v>0.85</v>
      </c>
      <c r="E89" s="5">
        <v>0.39</v>
      </c>
      <c r="F89" s="5">
        <v>0.78</v>
      </c>
      <c r="G89" s="5">
        <v>0.73</v>
      </c>
      <c r="H89" s="5">
        <v>2.17</v>
      </c>
      <c r="I89" s="5">
        <v>1.07</v>
      </c>
      <c r="J89" s="5">
        <v>0.91</v>
      </c>
      <c r="K89" s="5">
        <v>0.7</v>
      </c>
    </row>
    <row r="90" spans="1:11" ht="14.4">
      <c r="A90" s="4" t="s">
        <v>230</v>
      </c>
      <c r="B90" s="5">
        <v>665</v>
      </c>
      <c r="C90" s="5">
        <v>710</v>
      </c>
      <c r="D90" s="5">
        <v>99</v>
      </c>
      <c r="E90" s="5">
        <v>44</v>
      </c>
      <c r="F90" s="5">
        <v>82</v>
      </c>
      <c r="G90" s="5">
        <v>76</v>
      </c>
      <c r="H90" s="5">
        <v>223</v>
      </c>
      <c r="I90" s="5">
        <v>108</v>
      </c>
      <c r="J90" s="5">
        <v>88</v>
      </c>
      <c r="K90" s="5">
        <v>67</v>
      </c>
    </row>
    <row r="91" spans="1:11" ht="14.4">
      <c r="A91" s="4" t="s">
        <v>231</v>
      </c>
      <c r="B91" s="5">
        <v>128.9</v>
      </c>
      <c r="C91" s="5">
        <v>117.06</v>
      </c>
      <c r="D91" s="5">
        <v>116.54</v>
      </c>
      <c r="E91" s="5">
        <v>112.05</v>
      </c>
      <c r="F91" s="5">
        <v>105.3</v>
      </c>
      <c r="G91" s="5">
        <v>104.3</v>
      </c>
      <c r="H91" s="5">
        <v>102.98</v>
      </c>
      <c r="I91" s="5">
        <v>100.75</v>
      </c>
      <c r="J91" s="5">
        <v>96.21</v>
      </c>
      <c r="K91" s="5">
        <v>96.39</v>
      </c>
    </row>
    <row r="92" spans="1:11" ht="14.4">
      <c r="A92" s="4" t="s">
        <v>232</v>
      </c>
      <c r="B92" s="5">
        <v>129.22999999999999</v>
      </c>
      <c r="C92" s="5">
        <v>117.46</v>
      </c>
      <c r="D92" s="5">
        <v>117.22</v>
      </c>
      <c r="E92" s="5">
        <v>112.81</v>
      </c>
      <c r="F92" s="5">
        <v>105.85</v>
      </c>
      <c r="G92" s="5">
        <v>105.01</v>
      </c>
      <c r="H92" s="5">
        <v>103.33</v>
      </c>
      <c r="I92" s="5">
        <v>101.09</v>
      </c>
      <c r="J92" s="5">
        <v>96.21</v>
      </c>
      <c r="K92" s="5">
        <v>96.39</v>
      </c>
    </row>
    <row r="93" spans="1:11" ht="14.4">
      <c r="A93" s="4" t="s">
        <v>233</v>
      </c>
      <c r="B93" s="5">
        <v>5.15</v>
      </c>
      <c r="C93" s="5">
        <v>6.04</v>
      </c>
      <c r="D93" s="5">
        <v>0.84</v>
      </c>
      <c r="E93" s="5">
        <v>0.39</v>
      </c>
      <c r="F93" s="5">
        <v>0.77</v>
      </c>
      <c r="G93" s="5">
        <v>0.72</v>
      </c>
      <c r="H93" s="5">
        <v>2.16</v>
      </c>
      <c r="I93" s="5">
        <v>1.07</v>
      </c>
      <c r="J93" s="5">
        <v>0.91</v>
      </c>
      <c r="K93" s="5">
        <v>0.7</v>
      </c>
    </row>
    <row r="94" spans="1:11" ht="14.4">
      <c r="A94" s="4" t="s">
        <v>234</v>
      </c>
      <c r="B94" s="5">
        <v>5.15</v>
      </c>
      <c r="C94" s="5">
        <v>6.04</v>
      </c>
      <c r="D94" s="5">
        <v>0.84</v>
      </c>
      <c r="E94" s="5">
        <v>0.39</v>
      </c>
      <c r="F94" s="5">
        <v>0.77</v>
      </c>
      <c r="G94" s="5">
        <v>0.72</v>
      </c>
      <c r="H94" s="5">
        <v>2.16</v>
      </c>
      <c r="I94" s="5">
        <v>1.07</v>
      </c>
      <c r="J94" s="5">
        <v>0.91</v>
      </c>
      <c r="K94" s="5">
        <v>0.7</v>
      </c>
    </row>
    <row r="95" spans="1:11" ht="27.6">
      <c r="A95" s="4" t="s">
        <v>235</v>
      </c>
      <c r="B95" s="5">
        <v>665</v>
      </c>
      <c r="C95" s="5">
        <v>710</v>
      </c>
      <c r="D95" s="5">
        <v>99</v>
      </c>
      <c r="E95" s="5">
        <v>44</v>
      </c>
      <c r="F95" s="5">
        <v>82</v>
      </c>
      <c r="G95" s="5">
        <v>76</v>
      </c>
      <c r="H95" s="5">
        <v>223</v>
      </c>
      <c r="I95" s="5">
        <v>108</v>
      </c>
      <c r="J95" s="5">
        <v>88</v>
      </c>
      <c r="K95" s="5">
        <v>67</v>
      </c>
    </row>
    <row r="96" spans="1:11" ht="27.6">
      <c r="A96" s="4" t="s">
        <v>236</v>
      </c>
      <c r="B96" s="5">
        <v>826</v>
      </c>
      <c r="C96" s="5">
        <v>279</v>
      </c>
      <c r="D96" s="5">
        <v>-1573</v>
      </c>
      <c r="E96" s="5">
        <v>-840</v>
      </c>
      <c r="F96" s="5">
        <v>38</v>
      </c>
      <c r="G96" s="5">
        <v>71</v>
      </c>
      <c r="H96" s="5">
        <v>55</v>
      </c>
      <c r="I96" s="5">
        <v>131</v>
      </c>
      <c r="J96" s="5">
        <v>393</v>
      </c>
      <c r="K96" s="5">
        <v>234</v>
      </c>
    </row>
    <row r="97" spans="1:11" ht="14.4">
      <c r="A97" s="4" t="s">
        <v>237</v>
      </c>
      <c r="B97" s="5">
        <v>-379</v>
      </c>
      <c r="C97" s="5">
        <v>-272</v>
      </c>
      <c r="D97" s="5">
        <v>500</v>
      </c>
      <c r="E97" s="5">
        <v>421</v>
      </c>
      <c r="F97" s="5">
        <v>28</v>
      </c>
      <c r="G97" s="5">
        <v>92</v>
      </c>
      <c r="H97" s="5">
        <v>-76</v>
      </c>
      <c r="I97" s="5">
        <v>-18</v>
      </c>
      <c r="J97" s="5">
        <v>-136</v>
      </c>
      <c r="K97" s="5">
        <v>-102</v>
      </c>
    </row>
    <row r="98" spans="1:11" ht="14.4">
      <c r="A98" s="4" t="s">
        <v>238</v>
      </c>
      <c r="B98" s="5">
        <v>-5</v>
      </c>
      <c r="C98" s="5"/>
      <c r="D98" s="5">
        <v>-1</v>
      </c>
      <c r="E98" s="5">
        <v>-2</v>
      </c>
      <c r="F98" s="5">
        <v>1</v>
      </c>
      <c r="G98" s="5">
        <v>-3</v>
      </c>
      <c r="H98" s="5">
        <v>13</v>
      </c>
      <c r="I98" s="5">
        <v>-37</v>
      </c>
      <c r="J98" s="5">
        <v>-5</v>
      </c>
      <c r="K98" s="5">
        <v>49</v>
      </c>
    </row>
    <row r="99" spans="1:11" ht="14.4">
      <c r="A99" s="4" t="s">
        <v>239</v>
      </c>
      <c r="B99" s="5">
        <v>14</v>
      </c>
      <c r="C99" s="5">
        <v>20</v>
      </c>
      <c r="D99" s="5">
        <v>15</v>
      </c>
      <c r="E99" s="5">
        <v>3</v>
      </c>
      <c r="F99" s="5">
        <v>-14</v>
      </c>
      <c r="G99" s="5"/>
      <c r="H99" s="5"/>
      <c r="I99" s="5"/>
      <c r="J99" s="5">
        <v>-3</v>
      </c>
      <c r="K99" s="5">
        <v>-2</v>
      </c>
    </row>
    <row r="100" spans="1:11" ht="14.4">
      <c r="A100" s="4" t="s">
        <v>240</v>
      </c>
      <c r="B100" s="5">
        <v>2.1</v>
      </c>
      <c r="C100" s="5">
        <v>1.5</v>
      </c>
      <c r="D100" s="5">
        <v>1.5</v>
      </c>
      <c r="E100" s="5">
        <v>0.9</v>
      </c>
      <c r="F100" s="5">
        <v>1</v>
      </c>
      <c r="G100" s="5">
        <v>1.1000000000000001</v>
      </c>
      <c r="H100" s="5"/>
      <c r="I100" s="5">
        <v>1.4</v>
      </c>
      <c r="J100" s="5">
        <v>1</v>
      </c>
      <c r="K100" s="5">
        <v>1</v>
      </c>
    </row>
    <row r="101" spans="1:11" ht="14.4">
      <c r="A101" s="4" t="s">
        <v>241</v>
      </c>
      <c r="B101" s="5">
        <v>0.3</v>
      </c>
      <c r="C101" s="5">
        <v>0.4</v>
      </c>
      <c r="D101" s="5">
        <v>0.3</v>
      </c>
      <c r="E101" s="5">
        <v>0.1</v>
      </c>
      <c r="F101" s="5">
        <v>0.1</v>
      </c>
      <c r="G101" s="5">
        <v>0.1</v>
      </c>
      <c r="H101" s="5"/>
      <c r="I101" s="5"/>
      <c r="J101" s="5"/>
      <c r="K101" s="5">
        <v>0.1</v>
      </c>
    </row>
    <row r="102" spans="1:11" ht="14.4">
      <c r="A102" s="4" t="s">
        <v>242</v>
      </c>
      <c r="B102" s="5"/>
      <c r="C102" s="5"/>
      <c r="D102" s="5"/>
      <c r="E102" s="5">
        <v>0.5</v>
      </c>
      <c r="F102" s="5">
        <v>0.6</v>
      </c>
      <c r="G102" s="5">
        <v>0.4</v>
      </c>
      <c r="H102" s="5"/>
      <c r="I102" s="5">
        <v>0.1</v>
      </c>
      <c r="J102" s="5">
        <v>0.1</v>
      </c>
      <c r="K102" s="5">
        <v>0.1</v>
      </c>
    </row>
    <row r="103" spans="1:11" ht="14.4">
      <c r="A103" s="4" t="s">
        <v>172</v>
      </c>
      <c r="B103" s="5"/>
      <c r="C103" s="5"/>
      <c r="D103" s="5"/>
      <c r="E103" s="5"/>
      <c r="F103" s="5"/>
      <c r="G103" s="5"/>
      <c r="H103" s="5"/>
      <c r="I103" s="5"/>
      <c r="J103" s="5">
        <v>11</v>
      </c>
      <c r="K103" s="5">
        <v>18</v>
      </c>
    </row>
    <row r="104" spans="1:11" ht="14.4">
      <c r="A104" s="4" t="s">
        <v>243</v>
      </c>
      <c r="B104" s="5">
        <v>410</v>
      </c>
      <c r="C104" s="5">
        <v>499</v>
      </c>
      <c r="D104" s="5">
        <v>471</v>
      </c>
      <c r="E104" s="5">
        <v>454</v>
      </c>
      <c r="F104" s="5">
        <v>392</v>
      </c>
      <c r="G104" s="5">
        <v>364</v>
      </c>
      <c r="H104" s="5">
        <v>309</v>
      </c>
      <c r="I104" s="5">
        <v>249</v>
      </c>
      <c r="J104" s="5">
        <v>198</v>
      </c>
      <c r="K104" s="5">
        <v>186</v>
      </c>
    </row>
    <row r="105" spans="1:11" ht="14.4">
      <c r="A105" s="4" t="s">
        <v>244</v>
      </c>
      <c r="B105" s="5">
        <v>2.4</v>
      </c>
      <c r="C105" s="5">
        <v>1.9</v>
      </c>
      <c r="D105" s="5">
        <v>1.8</v>
      </c>
      <c r="E105" s="5">
        <v>1.5</v>
      </c>
      <c r="F105" s="5">
        <v>1.7</v>
      </c>
      <c r="G105" s="5">
        <v>1.6</v>
      </c>
      <c r="H105" s="5"/>
      <c r="I105" s="5">
        <v>1.5</v>
      </c>
      <c r="J105" s="5">
        <v>1.1000000000000001</v>
      </c>
      <c r="K105" s="5">
        <v>1.2</v>
      </c>
    </row>
    <row r="106" spans="1:11" ht="14.4">
      <c r="A106" s="4" t="s">
        <v>245</v>
      </c>
      <c r="B106" s="5">
        <v>93</v>
      </c>
      <c r="C106" s="5">
        <v>74</v>
      </c>
      <c r="D106" s="5">
        <v>82</v>
      </c>
      <c r="E106" s="5">
        <v>80</v>
      </c>
      <c r="F106" s="5">
        <v>81</v>
      </c>
      <c r="G106" s="5">
        <v>109</v>
      </c>
      <c r="H106" s="5">
        <v>48</v>
      </c>
      <c r="I106" s="5">
        <v>21</v>
      </c>
      <c r="J106" s="5">
        <v>27</v>
      </c>
      <c r="K106" s="5">
        <v>42</v>
      </c>
    </row>
    <row r="107" spans="1:11" ht="14.4">
      <c r="A107" s="4" t="s">
        <v>246</v>
      </c>
      <c r="B107" s="5">
        <v>503</v>
      </c>
      <c r="C107" s="5">
        <v>574</v>
      </c>
      <c r="D107" s="5">
        <v>553</v>
      </c>
      <c r="E107" s="5">
        <v>534</v>
      </c>
      <c r="F107" s="5">
        <v>473</v>
      </c>
      <c r="G107" s="5">
        <v>473</v>
      </c>
      <c r="H107" s="5">
        <v>335</v>
      </c>
      <c r="I107" s="5">
        <v>271</v>
      </c>
      <c r="J107" s="5">
        <v>214</v>
      </c>
      <c r="K107" s="5">
        <v>215</v>
      </c>
    </row>
    <row r="108" spans="1:11" ht="14.4">
      <c r="A108" s="4" t="s">
        <v>247</v>
      </c>
      <c r="B108" s="5">
        <v>1333</v>
      </c>
      <c r="C108" s="5">
        <v>1455</v>
      </c>
      <c r="D108" s="5">
        <v>1353</v>
      </c>
      <c r="E108" s="5">
        <v>1124</v>
      </c>
      <c r="F108" s="5">
        <v>955</v>
      </c>
      <c r="G108" s="5">
        <v>1029</v>
      </c>
      <c r="H108" s="5">
        <v>736</v>
      </c>
      <c r="I108" s="5">
        <v>551</v>
      </c>
      <c r="J108" s="5"/>
      <c r="K108" s="5"/>
    </row>
    <row r="109" spans="1:11" ht="14.4">
      <c r="A109" s="4" t="s">
        <v>248</v>
      </c>
      <c r="B109" s="5">
        <v>9</v>
      </c>
      <c r="C109" s="5">
        <v>9</v>
      </c>
      <c r="D109" s="5">
        <v>8</v>
      </c>
      <c r="E109" s="5"/>
      <c r="F109" s="5"/>
      <c r="G109" s="5"/>
      <c r="H109" s="5"/>
      <c r="I109" s="5"/>
      <c r="J109" s="5"/>
      <c r="K109" s="5"/>
    </row>
    <row r="110" spans="1:11" ht="14.4">
      <c r="A110" s="48" t="s">
        <v>231</v>
      </c>
      <c r="B110" s="49">
        <v>128.9</v>
      </c>
      <c r="C110" s="5">
        <v>117.06</v>
      </c>
      <c r="D110" s="5">
        <v>116.54</v>
      </c>
      <c r="E110" s="5">
        <v>112.05</v>
      </c>
      <c r="F110" s="5">
        <v>105.3</v>
      </c>
      <c r="G110" s="5">
        <v>104.3</v>
      </c>
      <c r="H110" s="5">
        <v>102.98</v>
      </c>
      <c r="I110" s="5">
        <v>100.75</v>
      </c>
      <c r="J110" s="5">
        <v>96.21</v>
      </c>
      <c r="K110" s="5">
        <v>96.39</v>
      </c>
    </row>
    <row r="111" spans="1:11" ht="27.6">
      <c r="A111" s="4" t="s">
        <v>249</v>
      </c>
      <c r="B111" s="5">
        <v>129.22999999999999</v>
      </c>
      <c r="C111" s="5">
        <v>117.46</v>
      </c>
      <c r="D111" s="5">
        <v>117.22</v>
      </c>
      <c r="E111" s="5">
        <v>112.81</v>
      </c>
      <c r="F111" s="5">
        <v>105.85</v>
      </c>
      <c r="G111" s="5">
        <v>105.01</v>
      </c>
      <c r="H111" s="5">
        <v>103.33</v>
      </c>
      <c r="I111" s="5">
        <v>101.09</v>
      </c>
      <c r="J111" s="5">
        <v>96.21</v>
      </c>
      <c r="K111" s="5">
        <v>96.39</v>
      </c>
    </row>
    <row r="112" spans="1:11" ht="27.6">
      <c r="A112" s="4" t="s">
        <v>250</v>
      </c>
      <c r="B112" s="5">
        <v>5.16</v>
      </c>
      <c r="C112" s="5">
        <v>6.07</v>
      </c>
      <c r="D112" s="5">
        <v>0.85</v>
      </c>
      <c r="E112" s="5">
        <v>0.39</v>
      </c>
      <c r="F112" s="5">
        <v>0.78</v>
      </c>
      <c r="G112" s="5">
        <v>0.73</v>
      </c>
      <c r="H112" s="5">
        <v>2.17</v>
      </c>
      <c r="I112" s="5">
        <v>1.07</v>
      </c>
      <c r="J112" s="5">
        <v>0.91</v>
      </c>
      <c r="K112" s="5">
        <v>0.7</v>
      </c>
    </row>
    <row r="113" spans="1:11" ht="14.4">
      <c r="A113" s="4" t="s">
        <v>251</v>
      </c>
      <c r="B113" s="5">
        <v>5.15</v>
      </c>
      <c r="C113" s="5">
        <v>6.04</v>
      </c>
      <c r="D113" s="5">
        <v>0.84</v>
      </c>
      <c r="E113" s="5">
        <v>0.39</v>
      </c>
      <c r="F113" s="5">
        <v>0.77</v>
      </c>
      <c r="G113" s="5">
        <v>0.72</v>
      </c>
      <c r="H113" s="5">
        <v>2.16</v>
      </c>
      <c r="I113" s="5">
        <v>1.07</v>
      </c>
      <c r="J113" s="5">
        <v>0.91</v>
      </c>
      <c r="K113" s="5">
        <v>0.7</v>
      </c>
    </row>
    <row r="114" spans="1:11" ht="27.6">
      <c r="A114" s="4" t="s">
        <v>252</v>
      </c>
      <c r="B114" s="5">
        <v>5.15</v>
      </c>
      <c r="C114" s="5">
        <v>6.04</v>
      </c>
      <c r="D114" s="5">
        <v>0.84</v>
      </c>
      <c r="E114" s="5">
        <v>0.39</v>
      </c>
      <c r="F114" s="5">
        <v>0.77</v>
      </c>
      <c r="G114" s="5">
        <v>0.72</v>
      </c>
      <c r="H114" s="5">
        <v>2.16</v>
      </c>
      <c r="I114" s="5">
        <v>1.07</v>
      </c>
      <c r="J114" s="5">
        <v>0.91</v>
      </c>
      <c r="K114" s="5">
        <v>0.7</v>
      </c>
    </row>
    <row r="115" spans="1:11" ht="27.6">
      <c r="A115" s="4" t="s">
        <v>253</v>
      </c>
      <c r="B115" s="5">
        <v>665</v>
      </c>
      <c r="C115" s="5">
        <v>710</v>
      </c>
      <c r="D115" s="5">
        <v>99</v>
      </c>
      <c r="E115" s="5">
        <v>44</v>
      </c>
      <c r="F115" s="5">
        <v>82</v>
      </c>
      <c r="G115" s="5">
        <v>76</v>
      </c>
      <c r="H115" s="5">
        <v>223</v>
      </c>
      <c r="I115" s="5">
        <v>108</v>
      </c>
      <c r="J115" s="5">
        <v>88</v>
      </c>
      <c r="K115" s="5">
        <v>67</v>
      </c>
    </row>
    <row r="116" spans="1:11" ht="27.6">
      <c r="A116" s="4" t="s">
        <v>254</v>
      </c>
      <c r="B116" s="5">
        <v>665</v>
      </c>
      <c r="C116" s="5">
        <v>710</v>
      </c>
      <c r="D116" s="5">
        <v>99</v>
      </c>
      <c r="E116" s="5">
        <v>44</v>
      </c>
      <c r="F116" s="5">
        <v>82</v>
      </c>
      <c r="G116" s="5">
        <v>76</v>
      </c>
      <c r="H116" s="5">
        <v>223</v>
      </c>
      <c r="I116" s="5">
        <v>108</v>
      </c>
      <c r="J116" s="5">
        <v>88</v>
      </c>
      <c r="K116" s="5">
        <v>67</v>
      </c>
    </row>
    <row r="117" spans="1:11" ht="14.4">
      <c r="A117" s="4" t="s">
        <v>255</v>
      </c>
      <c r="B117" s="5">
        <v>1</v>
      </c>
      <c r="C117" s="5">
        <v>1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</row>
    <row r="118" spans="1:11" ht="27.6">
      <c r="A118" s="4" t="s">
        <v>256</v>
      </c>
      <c r="B118" s="5">
        <v>5.16</v>
      </c>
      <c r="C118" s="5">
        <v>6.07</v>
      </c>
      <c r="D118" s="5">
        <v>0.85</v>
      </c>
      <c r="E118" s="5">
        <v>0.39</v>
      </c>
      <c r="F118" s="5">
        <v>0.78</v>
      </c>
      <c r="G118" s="5">
        <v>0.73</v>
      </c>
      <c r="H118" s="5">
        <v>2.17</v>
      </c>
      <c r="I118" s="5">
        <v>1.07</v>
      </c>
      <c r="J118" s="5">
        <v>0.91</v>
      </c>
      <c r="K118" s="5">
        <v>0.7</v>
      </c>
    </row>
    <row r="119" spans="1:11" ht="27.6">
      <c r="A119" s="4" t="s">
        <v>257</v>
      </c>
      <c r="B119" s="5">
        <v>665</v>
      </c>
      <c r="C119" s="5">
        <v>710</v>
      </c>
      <c r="D119" s="5">
        <v>99</v>
      </c>
      <c r="E119" s="5">
        <v>44</v>
      </c>
      <c r="F119" s="5">
        <v>82</v>
      </c>
      <c r="G119" s="5">
        <v>76</v>
      </c>
      <c r="H119" s="5">
        <v>223</v>
      </c>
      <c r="I119" s="5">
        <v>108</v>
      </c>
      <c r="J119" s="5">
        <v>88</v>
      </c>
      <c r="K119" s="5">
        <v>67</v>
      </c>
    </row>
    <row r="120" spans="1:11" ht="27.6">
      <c r="A120" s="4" t="s">
        <v>258</v>
      </c>
      <c r="B120" s="5">
        <v>665</v>
      </c>
      <c r="C120" s="5">
        <v>710</v>
      </c>
      <c r="D120" s="5">
        <v>99</v>
      </c>
      <c r="E120" s="5">
        <v>44</v>
      </c>
      <c r="F120" s="5">
        <v>82</v>
      </c>
      <c r="G120" s="5">
        <v>76</v>
      </c>
      <c r="H120" s="5">
        <v>223</v>
      </c>
      <c r="I120" s="5">
        <v>108</v>
      </c>
      <c r="J120" s="5">
        <v>88</v>
      </c>
      <c r="K120" s="5">
        <v>67</v>
      </c>
    </row>
    <row r="121" spans="1:11" ht="14.4">
      <c r="A121" s="4" t="s">
        <v>259</v>
      </c>
      <c r="B121" s="5">
        <v>1</v>
      </c>
      <c r="C121" s="5">
        <v>1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</row>
  </sheetData>
  <mergeCells count="1">
    <mergeCell ref="A1:K1"/>
  </mergeCells>
  <phoneticPr fontId="2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61C0-3F24-4029-8211-3D5D4BA765A6}">
  <dimension ref="A1:S44"/>
  <sheetViews>
    <sheetView topLeftCell="AW33" zoomScale="55" zoomScaleNormal="55" workbookViewId="0"/>
  </sheetViews>
  <sheetFormatPr defaultColWidth="8.88671875" defaultRowHeight="14.4"/>
  <cols>
    <col min="1" max="1" width="22" customWidth="1"/>
    <col min="2" max="2" width="14.6640625" customWidth="1"/>
    <col min="10" max="11" width="10.6640625" customWidth="1"/>
  </cols>
  <sheetData>
    <row r="1" spans="1:19" ht="15.75" customHeight="1">
      <c r="A1" s="365" t="s">
        <v>260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</row>
    <row r="2" spans="1:19" ht="15.6">
      <c r="A2" t="s">
        <v>261</v>
      </c>
      <c r="B2" s="31" t="s">
        <v>262</v>
      </c>
      <c r="C2" s="31" t="s">
        <v>263</v>
      </c>
      <c r="D2" s="31" t="s">
        <v>264</v>
      </c>
      <c r="E2" s="31" t="s">
        <v>265</v>
      </c>
      <c r="F2" s="31" t="s">
        <v>266</v>
      </c>
      <c r="G2" s="31" t="s">
        <v>267</v>
      </c>
      <c r="H2" s="31" t="s">
        <v>268</v>
      </c>
      <c r="I2" s="31" t="s">
        <v>269</v>
      </c>
      <c r="J2" s="31" t="s">
        <v>270</v>
      </c>
      <c r="K2" s="31" t="s">
        <v>271</v>
      </c>
    </row>
    <row r="3" spans="1:19">
      <c r="A3" s="30" t="s">
        <v>272</v>
      </c>
      <c r="B3" s="250">
        <f>('Balance Sheet'!B69 + 'Balance Sheet'!B75 +'Balance Sheet'!B79 + 'Balance Sheet'!B86)/('Balance Sheet'!B102)</f>
        <v>1.1179173047473201</v>
      </c>
      <c r="C3" s="250">
        <f>('Balance Sheet'!C69 + 'Balance Sheet'!C75 +'Balance Sheet'!C79 + 'Balance Sheet'!C86)/('Balance Sheet'!C102)</f>
        <v>1.5263653483992468</v>
      </c>
      <c r="D3" s="250">
        <f>('Balance Sheet'!D69 + 'Balance Sheet'!D75 +'Balance Sheet'!D79 + 'Balance Sheet'!D86)/('Balance Sheet'!D102)</f>
        <v>1.576829268292683</v>
      </c>
      <c r="E3" s="250">
        <f>('Balance Sheet'!E69 + 'Balance Sheet'!E75 +'Balance Sheet'!E79 + 'Balance Sheet'!E86)/('Balance Sheet'!E102)</f>
        <v>1.2252535851696398</v>
      </c>
      <c r="F3" s="250">
        <f>('Balance Sheet'!F69 + 'Balance Sheet'!F75 +'Balance Sheet'!F79 + 'Balance Sheet'!F86)/('Balance Sheet'!F102)</f>
        <v>1.2635711847046773</v>
      </c>
      <c r="G3" s="250">
        <f>('Balance Sheet'!G69 + 'Balance Sheet'!G75 +'Balance Sheet'!G79 + 'Balance Sheet'!G86)/('Balance Sheet'!G102)</f>
        <v>1.1364076104482426</v>
      </c>
      <c r="H3" s="250">
        <f>('Balance Sheet'!H69 + 'Balance Sheet'!H75 +'Balance Sheet'!H79 + 'Balance Sheet'!H86)/('Balance Sheet'!H102)</f>
        <v>0.87258434326891587</v>
      </c>
      <c r="I3" s="250">
        <f>('Balance Sheet'!I69 + 'Balance Sheet'!I75 +'Balance Sheet'!I79 + 'Balance Sheet'!I86)/('Balance Sheet'!I102)</f>
        <v>0.70672762900065311</v>
      </c>
      <c r="J3" s="250">
        <f>('Balance Sheet'!J69 + 'Balance Sheet'!J75 +'Balance Sheet'!J79 + 'Balance Sheet'!J86)/('Balance Sheet'!J102)</f>
        <v>0.52671492588762492</v>
      </c>
      <c r="K3" s="250">
        <f>('Balance Sheet'!K69 + 'Balance Sheet'!K75 +'Balance Sheet'!K79 + 'Balance Sheet'!K86)/('Balance Sheet'!K102)</f>
        <v>0.58096590909090906</v>
      </c>
    </row>
    <row r="4" spans="1:19" ht="18.899999999999999" customHeight="1">
      <c r="A4" s="30" t="s">
        <v>273</v>
      </c>
      <c r="B4" s="247">
        <f>('Balance Sheet'!B70 + 'Balance Sheet'!B76 +'Balance Sheet'!B80 + 'Balance Sheet'!B87)/('Balance Sheet'!B60)</f>
        <v>9.2034029389017794E-2</v>
      </c>
      <c r="C4" s="247">
        <f>('Balance Sheet'!C70 + 'Balance Sheet'!C76 +'Balance Sheet'!C80 + 'Balance Sheet'!C87)/('Balance Sheet'!C60)</f>
        <v>0.11536392972391538</v>
      </c>
      <c r="D4" s="247">
        <f>('Balance Sheet'!D70 + 'Balance Sheet'!D76 +'Balance Sheet'!D80 + 'Balance Sheet'!D87)/('Balance Sheet'!D60)</f>
        <v>7.7158362111494821E-2</v>
      </c>
      <c r="E4" s="247">
        <f>('Balance Sheet'!E70 + 'Balance Sheet'!E76 +'Balance Sheet'!E80 + 'Balance Sheet'!E87)/('Balance Sheet'!E60)</f>
        <v>9.7101289540394584E-2</v>
      </c>
      <c r="F4" s="247">
        <f>('Balance Sheet'!F70 + 'Balance Sheet'!F76 +'Balance Sheet'!F80 + 'Balance Sheet'!F87)/('Balance Sheet'!F60)</f>
        <v>9.8978790259230162E-2</v>
      </c>
      <c r="G4" s="247">
        <f>('Balance Sheet'!G70 + 'Balance Sheet'!G76 +'Balance Sheet'!G80 + 'Balance Sheet'!G87)/('Balance Sheet'!G60)</f>
        <v>0.10475413656490329</v>
      </c>
      <c r="H4" s="247">
        <f>('Balance Sheet'!H70 + 'Balance Sheet'!H76 +'Balance Sheet'!H80 + 'Balance Sheet'!H87)/('Balance Sheet'!H60)</f>
        <v>0.13172149557405205</v>
      </c>
      <c r="I4" s="247">
        <f>('Balance Sheet'!I70 + 'Balance Sheet'!I76 +'Balance Sheet'!I80 + 'Balance Sheet'!I87)/('Balance Sheet'!I60)</f>
        <v>0.13844592635546535</v>
      </c>
      <c r="J4" s="247">
        <f>('Balance Sheet'!J70 + 'Balance Sheet'!J76 +'Balance Sheet'!J80 + 'Balance Sheet'!J87)/('Balance Sheet'!J60)</f>
        <v>0.16677664137248432</v>
      </c>
      <c r="K4" s="247">
        <f>('Balance Sheet'!K70 + 'Balance Sheet'!K76 +'Balance Sheet'!K80 + 'Balance Sheet'!K87)/('Balance Sheet'!K60)</f>
        <v>8.7706285926200625E-2</v>
      </c>
    </row>
    <row r="5" spans="1:19">
      <c r="A5" s="30" t="s">
        <v>274</v>
      </c>
      <c r="B5" s="248">
        <f>'Income sheet'!B30/-'Cash Flow'!B12</f>
        <v>4.6993865030674851</v>
      </c>
      <c r="C5" s="248">
        <f>'Income sheet'!C30/-'Cash Flow'!C12</f>
        <v>9.4144144144144146</v>
      </c>
      <c r="D5" s="248">
        <f>'Income sheet'!D30/-'Cash Flow'!D12</f>
        <v>3.393258426966292</v>
      </c>
      <c r="E5" s="248">
        <f>'Income sheet'!E30/-'Cash Flow'!E12</f>
        <v>2.4864864864864864</v>
      </c>
      <c r="F5" s="248">
        <f>'Income sheet'!F30/-'Cash Flow'!F12</f>
        <v>3.1212121212121211</v>
      </c>
      <c r="G5" s="248">
        <f>'Income sheet'!G30/-'Cash Flow'!G12</f>
        <v>2.209090909090909</v>
      </c>
      <c r="H5" s="248">
        <f>'Income sheet'!H30/-'Cash Flow'!H12</f>
        <v>3.0520833333333335</v>
      </c>
      <c r="I5" s="248">
        <f>'Income sheet'!I30/-'Cash Flow'!I12</f>
        <v>2.0987654320987654</v>
      </c>
      <c r="J5" s="248">
        <f>'Income sheet'!J30/-'Cash Flow'!J12</f>
        <v>2.6438356164383561</v>
      </c>
      <c r="K5" s="248">
        <f>'Income sheet'!K30/-'Cash Flow'!K12</f>
        <v>2.8875000000000002</v>
      </c>
    </row>
    <row r="6" spans="1:19" ht="27" customHeight="1">
      <c r="A6" s="30" t="s">
        <v>275</v>
      </c>
      <c r="B6" s="249">
        <f>('Cash Flow'!B36+'Cash Flow'!B12+'Cash Flow'!B13) /-'Cash Flow'!B12</f>
        <v>5.7852760736196318</v>
      </c>
      <c r="C6" s="249">
        <f>('Cash Flow'!C36+'Cash Flow'!C12+'Cash Flow'!C13) /-'Cash Flow'!C12</f>
        <v>4.4774774774774775</v>
      </c>
      <c r="D6" s="249">
        <f>('Cash Flow'!D36+'Cash Flow'!D12+'Cash Flow'!D13) /-'Cash Flow'!D12</f>
        <v>9.0898876404494384</v>
      </c>
      <c r="E6" s="249">
        <f>('Cash Flow'!E36+'Cash Flow'!E12-'Cash Flow'!E13) /-'Cash Flow'!E12</f>
        <v>6.7477477477477477</v>
      </c>
      <c r="F6" s="249">
        <f>('Cash Flow'!F36+'Cash Flow'!F12+'Cash Flow'!F13) /-'Cash Flow'!F12</f>
        <v>3.3181818181818183</v>
      </c>
      <c r="G6" s="249">
        <f>('Cash Flow'!G36+'Cash Flow'!G12+'Cash Flow'!G13) /-'Cash Flow'!G12</f>
        <v>5.5454545454545459</v>
      </c>
      <c r="H6" s="249">
        <f>('Cash Flow'!H36+'Cash Flow'!H12+'Cash Flow'!H13) /-'Cash Flow'!H12</f>
        <v>3.6875</v>
      </c>
      <c r="I6" s="249">
        <f>('Cash Flow'!I36+'Cash Flow'!I12+'Cash Flow'!I13) /-'Cash Flow'!I12</f>
        <v>3.5925925925925926</v>
      </c>
      <c r="J6" s="249">
        <f>('Cash Flow'!J36+'Cash Flow'!J12+'Cash Flow'!J13) /-'Cash Flow'!J12</f>
        <v>4.1369863013698627</v>
      </c>
      <c r="K6" s="249">
        <f>('Cash Flow'!K36+'Cash Flow'!K12+'Cash Flow'!K13) /-'Cash Flow'!K12</f>
        <v>4.2249999999999996</v>
      </c>
      <c r="S6" s="58"/>
    </row>
    <row r="7" spans="1:19" ht="18.75" customHeight="1">
      <c r="A7" s="30" t="s">
        <v>276</v>
      </c>
      <c r="B7" s="250">
        <f>('Income sheet'!B87-'Cash Flow'!B12-'Cash Flow'!B13) /-'Cash Flow'!B12</f>
        <v>7.2453987730061353</v>
      </c>
      <c r="C7" s="250">
        <f>('Income sheet'!C87-'Cash Flow'!C12-'Cash Flow'!C13) /-'Cash Flow'!C12</f>
        <v>12.081081081081081</v>
      </c>
      <c r="D7" s="250">
        <f>('Income sheet'!D87-'Cash Flow'!D12-'Cash Flow'!D13) /-'Cash Flow'!D12</f>
        <v>1.8426966292134832</v>
      </c>
      <c r="E7" s="250">
        <f>('Income sheet'!E87-'Cash Flow'!E12+'Cash Flow'!E13) /-'Cash Flow'!E12</f>
        <v>1.6036036036036037</v>
      </c>
      <c r="F7" s="250">
        <f>('Income sheet'!F87-'Cash Flow'!F12-'Cash Flow'!F13) /-'Cash Flow'!F12</f>
        <v>1.8333333333333333</v>
      </c>
      <c r="G7" s="250">
        <f>('Income sheet'!G87-'Cash Flow'!G12-'Cash Flow'!G13) /-'Cash Flow'!G12</f>
        <v>1.5727272727272728</v>
      </c>
      <c r="H7" s="250">
        <f>('Income sheet'!H87-'Cash Flow'!H12-'Cash Flow'!H13) /-'Cash Flow'!H12</f>
        <v>4.6875</v>
      </c>
      <c r="I7" s="250">
        <f>('Income sheet'!I87-'Cash Flow'!I12-'Cash Flow'!I13) /-'Cash Flow'!I12</f>
        <v>1.2345679012345678</v>
      </c>
      <c r="J7" s="250">
        <f>('Income sheet'!J87-'Cash Flow'!J12-'Cash Flow'!J13) /-'Cash Flow'!J12</f>
        <v>1</v>
      </c>
      <c r="K7" s="250">
        <f>('Income sheet'!K87-'Cash Flow'!K12-'Cash Flow'!K13) /-'Cash Flow'!K12</f>
        <v>1.0125</v>
      </c>
    </row>
    <row r="8" spans="1:19">
      <c r="S8" t="s">
        <v>277</v>
      </c>
    </row>
    <row r="10" spans="1:19" ht="22.5" customHeight="1">
      <c r="A10" s="359" t="s">
        <v>278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1"/>
    </row>
    <row r="11" spans="1:19" ht="15.6">
      <c r="A11" s="33"/>
      <c r="B11" s="251">
        <v>2024</v>
      </c>
      <c r="C11" s="251">
        <v>2023</v>
      </c>
      <c r="D11" s="251">
        <v>2022</v>
      </c>
      <c r="E11" s="251">
        <v>2021</v>
      </c>
      <c r="F11" s="251">
        <v>2020</v>
      </c>
      <c r="G11" s="251">
        <v>2019</v>
      </c>
      <c r="H11" s="251">
        <v>2018</v>
      </c>
      <c r="I11" s="251">
        <v>2017</v>
      </c>
      <c r="J11" s="251">
        <v>2016</v>
      </c>
      <c r="K11" s="251">
        <v>2015</v>
      </c>
    </row>
    <row r="12" spans="1:19">
      <c r="A12" s="32" t="s">
        <v>279</v>
      </c>
      <c r="B12" s="246">
        <v>0.54090000000000005</v>
      </c>
      <c r="C12" s="246">
        <v>0.5202</v>
      </c>
      <c r="D12" s="246">
        <v>0.49819999999999998</v>
      </c>
      <c r="E12" s="246">
        <v>0.753</v>
      </c>
      <c r="F12" s="246">
        <v>0.75539999999999996</v>
      </c>
      <c r="G12" s="246">
        <v>0.90190000000000003</v>
      </c>
      <c r="H12" s="246">
        <v>0.77280000000000004</v>
      </c>
      <c r="I12" s="246">
        <v>0.79159999999999997</v>
      </c>
      <c r="J12" s="246">
        <v>0.65400000000000003</v>
      </c>
      <c r="K12" s="246">
        <v>0.61399999999999999</v>
      </c>
    </row>
    <row r="13" spans="1:19">
      <c r="A13" s="32" t="s">
        <v>280</v>
      </c>
      <c r="B13" s="247">
        <v>0.20830000000000001</v>
      </c>
      <c r="C13" s="247">
        <v>0.25690000000000002</v>
      </c>
      <c r="D13" s="247">
        <v>0.1114</v>
      </c>
      <c r="E13" s="247">
        <v>0.15709999999999999</v>
      </c>
      <c r="F13" s="247">
        <v>0.23</v>
      </c>
      <c r="G13" s="247">
        <v>0.1419</v>
      </c>
      <c r="H13" s="247">
        <v>0.2303</v>
      </c>
      <c r="I13" s="247">
        <v>0.16250000000000001</v>
      </c>
      <c r="J13" s="247">
        <v>0.159</v>
      </c>
      <c r="K13" s="247">
        <v>0.18609999999999999</v>
      </c>
    </row>
    <row r="14" spans="1:19">
      <c r="A14" s="32" t="s">
        <v>281</v>
      </c>
      <c r="B14" s="246">
        <v>0.19059999999999999</v>
      </c>
      <c r="C14" s="246">
        <v>0.1812</v>
      </c>
      <c r="D14" s="246">
        <v>4.7199999999999999E-2</v>
      </c>
      <c r="E14" s="246">
        <v>4.9500000000000002E-2</v>
      </c>
      <c r="F14" s="246">
        <v>7.2599999999999998E-2</v>
      </c>
      <c r="G14" s="246">
        <v>6.9500000000000006E-2</v>
      </c>
      <c r="H14" s="246">
        <v>0.20280000000000001</v>
      </c>
      <c r="I14" s="246">
        <v>0.12809999999999999</v>
      </c>
      <c r="J14" s="246">
        <v>8.4000000000000005E-2</v>
      </c>
      <c r="K14" s="246">
        <v>6.93E-2</v>
      </c>
    </row>
    <row r="15" spans="1:19">
      <c r="A15" s="32" t="s">
        <v>282</v>
      </c>
      <c r="B15" s="252">
        <v>12930</v>
      </c>
      <c r="C15" s="252">
        <v>12043</v>
      </c>
      <c r="D15" s="252">
        <v>10645.5</v>
      </c>
      <c r="E15" s="252">
        <v>9604</v>
      </c>
      <c r="F15" s="252">
        <v>8992</v>
      </c>
      <c r="G15" s="252">
        <v>8746.5</v>
      </c>
      <c r="H15" s="252">
        <v>8075.5</v>
      </c>
      <c r="I15" s="252">
        <v>7233.5</v>
      </c>
      <c r="J15" s="252">
        <v>6480</v>
      </c>
      <c r="K15" s="252">
        <v>5727.5</v>
      </c>
    </row>
    <row r="16" spans="1:19" ht="17.25" customHeight="1">
      <c r="A16" s="32" t="s">
        <v>283</v>
      </c>
      <c r="B16" s="253">
        <v>4571</v>
      </c>
      <c r="C16" s="253">
        <v>3878.5</v>
      </c>
      <c r="D16" s="253">
        <v>2823</v>
      </c>
      <c r="E16" s="253">
        <v>2659.5</v>
      </c>
      <c r="F16" s="253">
        <v>2894</v>
      </c>
      <c r="G16" s="253">
        <v>3015</v>
      </c>
      <c r="H16" s="253">
        <v>3077</v>
      </c>
      <c r="I16" s="253">
        <v>3057.5</v>
      </c>
      <c r="J16" s="253">
        <v>2981.5</v>
      </c>
      <c r="K16" s="253">
        <v>2858.5</v>
      </c>
    </row>
    <row r="17" spans="1:11">
      <c r="A17" s="32" t="s">
        <v>284</v>
      </c>
      <c r="B17" s="254">
        <v>5.4199999999999998E-2</v>
      </c>
      <c r="C17" s="254">
        <v>6.1199999999999997E-2</v>
      </c>
      <c r="D17" s="254">
        <v>1.2E-2</v>
      </c>
      <c r="E17" s="254">
        <v>9.1000000000000004E-3</v>
      </c>
      <c r="F17" s="254">
        <v>1.4500000000000001E-2</v>
      </c>
      <c r="G17" s="254">
        <v>1.3599999999999999E-2</v>
      </c>
      <c r="H17" s="254">
        <v>3.1899999999999998E-2</v>
      </c>
      <c r="I17" s="254">
        <v>1.8499999999999999E-2</v>
      </c>
      <c r="J17" s="254">
        <v>1.5699999999999999E-2</v>
      </c>
      <c r="K17" s="254">
        <v>1.4999999999999999E-2</v>
      </c>
    </row>
    <row r="18" spans="1:11">
      <c r="A18" s="32" t="s">
        <v>285</v>
      </c>
      <c r="B18" s="255">
        <v>0.15340000000000001</v>
      </c>
      <c r="C18" s="255">
        <v>0.19</v>
      </c>
      <c r="D18" s="255">
        <v>4.53E-2</v>
      </c>
      <c r="E18" s="255">
        <v>3.27E-2</v>
      </c>
      <c r="F18" s="255">
        <v>4.4900000000000002E-2</v>
      </c>
      <c r="G18" s="255">
        <v>3.95E-2</v>
      </c>
      <c r="H18" s="255">
        <v>8.3799999999999999E-2</v>
      </c>
      <c r="I18" s="255">
        <v>4.3799999999999999E-2</v>
      </c>
      <c r="J18" s="255">
        <v>3.4200000000000001E-2</v>
      </c>
      <c r="K18" s="255">
        <v>3.0099999999999998E-2</v>
      </c>
    </row>
    <row r="22" spans="1:11" ht="29.25" customHeight="1">
      <c r="A22" s="362" t="s">
        <v>286</v>
      </c>
      <c r="B22" s="363"/>
      <c r="C22" s="363"/>
      <c r="D22" s="363"/>
      <c r="E22" s="363"/>
      <c r="F22" s="363"/>
      <c r="G22" s="363"/>
      <c r="H22" s="363"/>
      <c r="I22" s="363"/>
      <c r="J22" s="363"/>
      <c r="K22" s="364"/>
    </row>
    <row r="23" spans="1:11" ht="17.399999999999999">
      <c r="A23" s="33"/>
      <c r="B23" s="36">
        <v>2024</v>
      </c>
      <c r="C23" s="36">
        <v>2023</v>
      </c>
      <c r="D23" s="36">
        <v>2022</v>
      </c>
      <c r="E23" s="36">
        <v>2021</v>
      </c>
      <c r="F23" s="36">
        <v>2020</v>
      </c>
      <c r="G23" s="36">
        <v>2019</v>
      </c>
      <c r="H23" s="36">
        <v>2018</v>
      </c>
      <c r="I23" s="36">
        <v>2017</v>
      </c>
      <c r="J23" s="36">
        <v>2016</v>
      </c>
      <c r="K23" s="36">
        <v>2015</v>
      </c>
    </row>
    <row r="24" spans="1:11" ht="27.6">
      <c r="A24" s="35" t="s">
        <v>287</v>
      </c>
      <c r="B24" s="256">
        <v>5.92</v>
      </c>
      <c r="C24" s="256">
        <v>5.3</v>
      </c>
      <c r="D24" s="256">
        <v>4.37</v>
      </c>
      <c r="E24" s="256">
        <v>4.45</v>
      </c>
      <c r="F24" s="256">
        <v>5.12</v>
      </c>
      <c r="G24" s="256">
        <v>5.37</v>
      </c>
      <c r="H24" s="256">
        <v>4.0999999999999996</v>
      </c>
      <c r="I24" s="256">
        <v>4.91</v>
      </c>
      <c r="J24" s="256">
        <v>6.01</v>
      </c>
      <c r="K24" s="256">
        <v>6.78</v>
      </c>
    </row>
    <row r="25" spans="1:11" ht="27.6">
      <c r="A25" s="35" t="s">
        <v>288</v>
      </c>
      <c r="B25" s="34">
        <v>61.79</v>
      </c>
      <c r="C25" s="34">
        <v>69.11</v>
      </c>
      <c r="D25" s="34">
        <v>83.85</v>
      </c>
      <c r="E25" s="34">
        <v>82.3</v>
      </c>
      <c r="F25" s="34">
        <v>71.42</v>
      </c>
      <c r="G25" s="34">
        <v>68.150000000000006</v>
      </c>
      <c r="H25" s="34">
        <v>89.24</v>
      </c>
      <c r="I25" s="34">
        <v>74.569999999999993</v>
      </c>
      <c r="J25" s="34">
        <v>60.9</v>
      </c>
      <c r="K25" s="34">
        <v>53.97</v>
      </c>
    </row>
    <row r="26" spans="1:11">
      <c r="A26" s="35" t="s">
        <v>289</v>
      </c>
      <c r="B26" s="256">
        <v>13.24</v>
      </c>
      <c r="C26" s="256">
        <v>18.260000000000002</v>
      </c>
      <c r="D26" s="256">
        <v>22.91</v>
      </c>
      <c r="E26" s="256">
        <v>16.34</v>
      </c>
      <c r="F26" s="256">
        <v>14.99</v>
      </c>
      <c r="G26" s="256">
        <v>5.78</v>
      </c>
      <c r="H26" s="256">
        <v>5.44</v>
      </c>
      <c r="I26" s="256">
        <v>10.89</v>
      </c>
      <c r="J26" s="256">
        <v>4.96</v>
      </c>
      <c r="K26" s="256">
        <v>6.24</v>
      </c>
    </row>
    <row r="27" spans="1:11" ht="27.6">
      <c r="A27" s="35" t="s">
        <v>290</v>
      </c>
      <c r="B27" s="34">
        <v>27.65</v>
      </c>
      <c r="C27" s="34">
        <v>20.04</v>
      </c>
      <c r="D27" s="34">
        <v>15.97</v>
      </c>
      <c r="E27" s="34">
        <v>22.4</v>
      </c>
      <c r="F27" s="34">
        <v>24.41</v>
      </c>
      <c r="G27" s="34">
        <v>63.34</v>
      </c>
      <c r="H27" s="34">
        <v>67.28</v>
      </c>
      <c r="I27" s="34">
        <v>33.61</v>
      </c>
      <c r="J27" s="34">
        <v>73.73</v>
      </c>
      <c r="K27" s="34">
        <v>58.64</v>
      </c>
    </row>
    <row r="28" spans="1:11">
      <c r="A28" s="35" t="s">
        <v>291</v>
      </c>
      <c r="B28" s="256">
        <v>8.42</v>
      </c>
      <c r="C28" s="256">
        <v>9.94</v>
      </c>
      <c r="D28" s="256">
        <v>9.2899999999999991</v>
      </c>
      <c r="E28" s="256">
        <v>5.5</v>
      </c>
      <c r="F28" s="256">
        <v>5</v>
      </c>
      <c r="G28" s="256">
        <v>4.4000000000000004</v>
      </c>
      <c r="H28" s="256">
        <v>4.79</v>
      </c>
      <c r="I28" s="256">
        <v>4.9400000000000004</v>
      </c>
      <c r="J28" s="256">
        <v>5.74</v>
      </c>
      <c r="K28" s="256">
        <v>6.61</v>
      </c>
    </row>
    <row r="29" spans="1:11">
      <c r="A29" s="35" t="s">
        <v>292</v>
      </c>
      <c r="B29" s="34">
        <v>43.47</v>
      </c>
      <c r="C29" s="34">
        <v>36.81</v>
      </c>
      <c r="D29" s="34">
        <v>39.42</v>
      </c>
      <c r="E29" s="34">
        <v>66.59</v>
      </c>
      <c r="F29" s="34">
        <v>73.23</v>
      </c>
      <c r="G29" s="34">
        <v>83.14</v>
      </c>
      <c r="H29" s="34">
        <v>76.349999999999994</v>
      </c>
      <c r="I29" s="34">
        <v>74.069999999999993</v>
      </c>
      <c r="J29" s="34">
        <v>63.74</v>
      </c>
      <c r="K29" s="34">
        <v>55.36</v>
      </c>
    </row>
    <row r="30" spans="1:11" ht="27.6">
      <c r="A30" s="35" t="s">
        <v>293</v>
      </c>
      <c r="B30" s="256">
        <v>77.61</v>
      </c>
      <c r="C30" s="256">
        <v>85.88</v>
      </c>
      <c r="D30" s="256">
        <v>107.29</v>
      </c>
      <c r="E30" s="256">
        <v>126.49</v>
      </c>
      <c r="F30" s="256">
        <v>120.25</v>
      </c>
      <c r="G30" s="256">
        <v>87.95</v>
      </c>
      <c r="H30" s="256">
        <v>98.31</v>
      </c>
      <c r="I30" s="256">
        <v>115.03</v>
      </c>
      <c r="J30" s="256">
        <v>50.91</v>
      </c>
      <c r="K30" s="256">
        <v>50.7</v>
      </c>
    </row>
    <row r="32" spans="1:11" ht="17.399999999999999">
      <c r="B32" s="36">
        <v>2024</v>
      </c>
      <c r="C32" s="36">
        <v>2023</v>
      </c>
      <c r="D32" s="36">
        <v>2022</v>
      </c>
      <c r="E32" s="36">
        <v>2021</v>
      </c>
      <c r="F32" s="36">
        <v>2020</v>
      </c>
      <c r="G32" s="36">
        <v>2019</v>
      </c>
      <c r="H32" s="36">
        <v>2018</v>
      </c>
      <c r="I32" s="36">
        <v>2017</v>
      </c>
      <c r="J32" s="36">
        <v>2016</v>
      </c>
      <c r="K32" s="36">
        <v>2015</v>
      </c>
    </row>
    <row r="33" spans="1:11" ht="27.6">
      <c r="A33" s="35" t="s">
        <v>288</v>
      </c>
      <c r="B33" s="34">
        <v>61.79</v>
      </c>
      <c r="C33" s="34">
        <v>69.11</v>
      </c>
      <c r="D33" s="34">
        <v>83.85</v>
      </c>
      <c r="E33" s="34">
        <v>82.3</v>
      </c>
      <c r="F33" s="34">
        <v>71.42</v>
      </c>
      <c r="G33" s="34">
        <v>68.150000000000006</v>
      </c>
      <c r="H33" s="34">
        <v>89.24</v>
      </c>
      <c r="I33" s="34">
        <v>74.569999999999993</v>
      </c>
      <c r="J33" s="34">
        <v>60.9</v>
      </c>
      <c r="K33" s="34">
        <v>53.97</v>
      </c>
    </row>
    <row r="34" spans="1:11" ht="27.6">
      <c r="A34" s="35" t="s">
        <v>290</v>
      </c>
      <c r="B34" s="34">
        <v>27.65</v>
      </c>
      <c r="C34" s="317">
        <v>20.04</v>
      </c>
      <c r="D34" s="317">
        <v>15.97</v>
      </c>
      <c r="E34" s="317">
        <v>22.4</v>
      </c>
      <c r="F34" s="317">
        <v>24.41</v>
      </c>
      <c r="G34" s="317">
        <v>63.34</v>
      </c>
      <c r="H34" s="317">
        <v>67.28</v>
      </c>
      <c r="I34" s="317">
        <v>33.61</v>
      </c>
      <c r="J34" s="317">
        <v>73.73</v>
      </c>
      <c r="K34" s="317">
        <v>58.64</v>
      </c>
    </row>
    <row r="35" spans="1:11" ht="27.6">
      <c r="A35" s="35" t="s">
        <v>293</v>
      </c>
      <c r="B35" s="318">
        <v>77.61</v>
      </c>
      <c r="C35" s="319">
        <v>85.88</v>
      </c>
      <c r="D35" s="319">
        <v>107.29</v>
      </c>
      <c r="E35" s="319">
        <v>126.49</v>
      </c>
      <c r="F35" s="319">
        <v>120.25</v>
      </c>
      <c r="G35" s="319">
        <v>87.95</v>
      </c>
      <c r="H35" s="319">
        <v>98.31</v>
      </c>
      <c r="I35" s="319">
        <v>115.03</v>
      </c>
      <c r="J35" s="319">
        <v>50.91</v>
      </c>
      <c r="K35" s="319">
        <v>50.7</v>
      </c>
    </row>
    <row r="39" spans="1:11" ht="15.6">
      <c r="A39" s="362" t="s">
        <v>294</v>
      </c>
      <c r="B39" s="363"/>
      <c r="C39" s="363"/>
      <c r="D39" s="363"/>
      <c r="E39" s="363"/>
      <c r="F39" s="363"/>
      <c r="G39" s="363"/>
      <c r="H39" s="363"/>
      <c r="I39" s="363"/>
      <c r="J39" s="363"/>
      <c r="K39" s="364"/>
    </row>
    <row r="40" spans="1:11" ht="17.399999999999999">
      <c r="A40" s="33"/>
      <c r="B40" s="36">
        <v>2024</v>
      </c>
      <c r="C40" s="36">
        <v>2023</v>
      </c>
      <c r="D40" s="36">
        <v>2022</v>
      </c>
      <c r="E40" s="36">
        <v>2021</v>
      </c>
      <c r="F40" s="36">
        <v>2020</v>
      </c>
      <c r="G40" s="36">
        <v>2019</v>
      </c>
      <c r="H40" s="36">
        <v>2018</v>
      </c>
      <c r="I40" s="36">
        <v>2017</v>
      </c>
      <c r="J40" s="36">
        <v>2016</v>
      </c>
      <c r="K40" s="36">
        <v>2015</v>
      </c>
    </row>
    <row r="41" spans="1:11" ht="27.6">
      <c r="A41" s="83" t="s">
        <v>295</v>
      </c>
      <c r="B41" s="256">
        <v>3776</v>
      </c>
      <c r="C41" s="256">
        <v>4282</v>
      </c>
      <c r="D41" s="256">
        <v>2929</v>
      </c>
      <c r="E41" s="256">
        <v>1990</v>
      </c>
      <c r="F41" s="256">
        <v>1937</v>
      </c>
      <c r="G41" s="256">
        <v>1963</v>
      </c>
      <c r="H41" s="256">
        <v>1417</v>
      </c>
      <c r="I41" s="256">
        <v>1146</v>
      </c>
      <c r="J41" s="256">
        <v>1214</v>
      </c>
      <c r="K41" s="256">
        <v>1241</v>
      </c>
    </row>
    <row r="42" spans="1:11">
      <c r="A42" s="83" t="s">
        <v>296</v>
      </c>
      <c r="B42" s="247">
        <f>(B41-C41)/C41</f>
        <v>-0.11816907986921998</v>
      </c>
      <c r="C42" s="247">
        <f t="shared" ref="C42:J42" si="0">(C41-D41)/D41</f>
        <v>0.46193240013656539</v>
      </c>
      <c r="D42" s="247">
        <f t="shared" si="0"/>
        <v>0.47185929648241204</v>
      </c>
      <c r="E42" s="247">
        <f t="shared" si="0"/>
        <v>2.7361899845121322E-2</v>
      </c>
      <c r="F42" s="247">
        <f t="shared" si="0"/>
        <v>-1.3245033112582781E-2</v>
      </c>
      <c r="G42" s="247">
        <f t="shared" si="0"/>
        <v>0.38532110091743121</v>
      </c>
      <c r="H42" s="247">
        <f t="shared" si="0"/>
        <v>0.23647469458987783</v>
      </c>
      <c r="I42" s="247">
        <f t="shared" si="0"/>
        <v>-5.6013179571663921E-2</v>
      </c>
      <c r="J42" s="247">
        <f t="shared" si="0"/>
        <v>-2.1756647864625302E-2</v>
      </c>
      <c r="K42" s="247" t="e">
        <f t="shared" ref="K42" si="1">(K41-L41)/L41</f>
        <v>#DIV/0!</v>
      </c>
    </row>
    <row r="43" spans="1:11" ht="55.2">
      <c r="A43" s="83" t="s">
        <v>297</v>
      </c>
      <c r="B43" s="256">
        <v>5.15</v>
      </c>
      <c r="C43" s="256">
        <v>6.04</v>
      </c>
      <c r="D43" s="256">
        <v>0.84</v>
      </c>
      <c r="E43" s="256">
        <v>0.39</v>
      </c>
      <c r="F43" s="256">
        <v>0.77</v>
      </c>
      <c r="G43" s="256">
        <v>0.24</v>
      </c>
      <c r="H43" s="256">
        <v>2.16</v>
      </c>
      <c r="I43" s="256">
        <v>1.38</v>
      </c>
      <c r="J43" s="256">
        <v>0.91</v>
      </c>
      <c r="K43" s="256">
        <v>0.7</v>
      </c>
    </row>
    <row r="44" spans="1:11" ht="27.6">
      <c r="A44" s="83" t="s">
        <v>298</v>
      </c>
      <c r="B44" s="247">
        <f t="shared" ref="B44:J44" si="2">(B43-C43)/C43</f>
        <v>-0.14735099337748339</v>
      </c>
      <c r="C44" s="247">
        <f t="shared" si="2"/>
        <v>6.1904761904761907</v>
      </c>
      <c r="D44" s="247">
        <f t="shared" si="2"/>
        <v>1.1538461538461537</v>
      </c>
      <c r="E44" s="247">
        <f t="shared" si="2"/>
        <v>-0.4935064935064935</v>
      </c>
      <c r="F44" s="247">
        <f t="shared" si="2"/>
        <v>2.2083333333333335</v>
      </c>
      <c r="G44" s="247">
        <f t="shared" si="2"/>
        <v>-0.88888888888888895</v>
      </c>
      <c r="H44" s="247">
        <f t="shared" si="2"/>
        <v>0.565217391304348</v>
      </c>
      <c r="I44" s="247">
        <f t="shared" si="2"/>
        <v>0.51648351648351631</v>
      </c>
      <c r="J44" s="247">
        <f t="shared" si="2"/>
        <v>0.3000000000000001</v>
      </c>
      <c r="K44" s="247" t="e">
        <f t="shared" ref="K44" si="3">(K43-L43)/L43</f>
        <v>#DIV/0!</v>
      </c>
    </row>
  </sheetData>
  <mergeCells count="4">
    <mergeCell ref="A10:K10"/>
    <mergeCell ref="A22:K22"/>
    <mergeCell ref="A1:K1"/>
    <mergeCell ref="A39:K39"/>
  </mergeCells>
  <phoneticPr fontId="23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6662-0460-4A96-B65A-3CE404A75B51}">
  <dimension ref="A1:Z57"/>
  <sheetViews>
    <sheetView topLeftCell="H15" zoomScaleNormal="85" workbookViewId="0">
      <selection activeCell="O28" sqref="O28"/>
    </sheetView>
  </sheetViews>
  <sheetFormatPr defaultColWidth="8.88671875" defaultRowHeight="14.4"/>
  <cols>
    <col min="1" max="1" width="36.33203125" customWidth="1"/>
    <col min="2" max="2" width="36" customWidth="1"/>
    <col min="3" max="3" width="20.6640625" hidden="1" customWidth="1"/>
    <col min="4" max="4" width="22" hidden="1" customWidth="1"/>
    <col min="5" max="5" width="22.33203125" hidden="1" customWidth="1"/>
    <col min="6" max="6" width="25" customWidth="1"/>
    <col min="7" max="7" width="19.44140625" customWidth="1"/>
    <col min="8" max="8" width="15.33203125" customWidth="1"/>
    <col min="9" max="9" width="41.109375" customWidth="1"/>
    <col min="10" max="10" width="18.109375" customWidth="1"/>
    <col min="11" max="11" width="35.33203125" customWidth="1"/>
    <col min="12" max="12" width="23.33203125" customWidth="1"/>
    <col min="13" max="13" width="13" customWidth="1"/>
    <col min="14" max="14" width="16.109375" customWidth="1"/>
    <col min="16" max="16" width="14.109375" customWidth="1"/>
    <col min="17" max="17" width="25.6640625" bestFit="1" customWidth="1"/>
    <col min="18" max="19" width="15.33203125" customWidth="1"/>
  </cols>
  <sheetData>
    <row r="1" spans="1:26" ht="78" customHeight="1">
      <c r="A1" s="257" t="s">
        <v>299</v>
      </c>
      <c r="B1" s="257" t="s">
        <v>300</v>
      </c>
      <c r="C1" s="258" t="s">
        <v>301</v>
      </c>
      <c r="D1" s="258" t="s">
        <v>302</v>
      </c>
      <c r="E1" s="258" t="s">
        <v>303</v>
      </c>
      <c r="F1" s="258" t="s">
        <v>304</v>
      </c>
      <c r="G1" s="258" t="s">
        <v>305</v>
      </c>
      <c r="H1" s="258" t="s">
        <v>306</v>
      </c>
      <c r="I1" s="258" t="s">
        <v>307</v>
      </c>
      <c r="J1" s="258" t="s">
        <v>308</v>
      </c>
      <c r="L1" s="259" t="s">
        <v>309</v>
      </c>
      <c r="M1" s="258" t="s">
        <v>301</v>
      </c>
      <c r="N1" s="258" t="s">
        <v>307</v>
      </c>
      <c r="P1" s="259" t="s">
        <v>309</v>
      </c>
      <c r="Q1" s="258" t="s">
        <v>308</v>
      </c>
      <c r="R1" s="258" t="s">
        <v>310</v>
      </c>
      <c r="S1" s="258" t="s">
        <v>305</v>
      </c>
      <c r="T1" s="258" t="s">
        <v>302</v>
      </c>
      <c r="U1" s="258" t="s">
        <v>306</v>
      </c>
    </row>
    <row r="2" spans="1:26" ht="40.5" customHeight="1">
      <c r="A2" s="71" t="s">
        <v>311</v>
      </c>
      <c r="B2" s="72" t="s">
        <v>312</v>
      </c>
      <c r="C2" s="74">
        <v>0.40699999999999997</v>
      </c>
      <c r="D2" s="75">
        <v>5.38</v>
      </c>
      <c r="E2" s="75">
        <v>22.48</v>
      </c>
      <c r="F2" s="74">
        <v>8.5000000000000006E-2</v>
      </c>
      <c r="G2" s="75">
        <v>2.58</v>
      </c>
      <c r="H2" s="75">
        <v>2.96</v>
      </c>
      <c r="I2" s="75">
        <v>8.66</v>
      </c>
      <c r="J2" s="75">
        <v>11.24</v>
      </c>
      <c r="K2" s="37"/>
      <c r="L2" s="69" t="s">
        <v>313</v>
      </c>
      <c r="M2" s="76">
        <v>0.34799999999999998</v>
      </c>
      <c r="N2" s="77">
        <v>11.04</v>
      </c>
      <c r="P2" s="71" t="s">
        <v>314</v>
      </c>
      <c r="Q2" s="75">
        <v>19.170000000000002</v>
      </c>
      <c r="R2" s="74">
        <v>7.3999999999999996E-2</v>
      </c>
      <c r="S2" s="75">
        <v>1.77</v>
      </c>
      <c r="T2" s="75">
        <v>6.12</v>
      </c>
      <c r="U2" s="75">
        <v>2.08</v>
      </c>
    </row>
    <row r="3" spans="1:26" ht="26.25" customHeight="1">
      <c r="A3" s="71" t="s">
        <v>315</v>
      </c>
      <c r="B3" s="72" t="s">
        <v>316</v>
      </c>
      <c r="C3" s="73">
        <v>0.64800000000000002</v>
      </c>
      <c r="D3" s="75">
        <v>4.92</v>
      </c>
      <c r="E3" s="75">
        <v>25.86</v>
      </c>
      <c r="F3" s="74">
        <v>4.0000000000000001E-3</v>
      </c>
      <c r="G3" s="75">
        <v>1.64</v>
      </c>
      <c r="H3" s="75">
        <v>0.72</v>
      </c>
      <c r="I3" s="75">
        <v>10.54</v>
      </c>
      <c r="J3" s="75">
        <v>15.55</v>
      </c>
      <c r="K3" s="37"/>
      <c r="L3" s="71" t="s">
        <v>314</v>
      </c>
      <c r="M3" s="74">
        <v>0.34300000000000003</v>
      </c>
      <c r="N3" s="75">
        <v>11.79</v>
      </c>
      <c r="P3" s="71" t="s">
        <v>317</v>
      </c>
      <c r="Q3" s="75">
        <v>15.72</v>
      </c>
      <c r="R3" s="74">
        <v>7.3999999999999996E-2</v>
      </c>
      <c r="S3" s="75">
        <v>1.82</v>
      </c>
      <c r="T3" s="75">
        <v>6</v>
      </c>
      <c r="U3" s="75">
        <v>1.22</v>
      </c>
    </row>
    <row r="4" spans="1:26" ht="18">
      <c r="A4" s="71" t="s">
        <v>317</v>
      </c>
      <c r="B4" s="72" t="s">
        <v>318</v>
      </c>
      <c r="C4" s="74">
        <v>0.45300000000000001</v>
      </c>
      <c r="D4" s="75">
        <v>6</v>
      </c>
      <c r="E4" s="75">
        <v>-26.04</v>
      </c>
      <c r="F4" s="74">
        <v>7.3999999999999996E-2</v>
      </c>
      <c r="G4" s="75">
        <v>1.82</v>
      </c>
      <c r="H4" s="75">
        <v>1.22</v>
      </c>
      <c r="I4" s="75">
        <v>9.73</v>
      </c>
      <c r="J4" s="75">
        <v>15.72</v>
      </c>
      <c r="K4" s="37"/>
      <c r="L4" s="71" t="s">
        <v>317</v>
      </c>
      <c r="M4" s="74">
        <v>0.45300000000000001</v>
      </c>
      <c r="N4" s="75">
        <v>9.73</v>
      </c>
      <c r="O4" s="37"/>
      <c r="P4" s="71" t="s">
        <v>319</v>
      </c>
      <c r="Q4" s="75">
        <v>19.77</v>
      </c>
      <c r="R4" s="74">
        <v>7.6999999999999999E-2</v>
      </c>
      <c r="S4" s="75">
        <v>1.45</v>
      </c>
      <c r="T4" s="75">
        <v>5.95</v>
      </c>
      <c r="U4" s="75">
        <v>2.31</v>
      </c>
      <c r="V4" s="37"/>
      <c r="W4" s="37"/>
    </row>
    <row r="5" spans="1:26" ht="18">
      <c r="A5" s="71" t="s">
        <v>314</v>
      </c>
      <c r="B5" s="72" t="s">
        <v>320</v>
      </c>
      <c r="C5" s="74">
        <v>0.34300000000000003</v>
      </c>
      <c r="D5" s="75">
        <v>6.12</v>
      </c>
      <c r="E5" s="75">
        <v>16.34</v>
      </c>
      <c r="F5" s="74">
        <v>7.3999999999999996E-2</v>
      </c>
      <c r="G5" s="75">
        <v>1.77</v>
      </c>
      <c r="H5" s="75">
        <v>2.08</v>
      </c>
      <c r="I5" s="75">
        <v>11.79</v>
      </c>
      <c r="J5" s="75">
        <v>19.170000000000002</v>
      </c>
      <c r="K5" s="37"/>
      <c r="L5" s="71" t="s">
        <v>321</v>
      </c>
      <c r="M5" s="74">
        <v>0.33900000000000002</v>
      </c>
      <c r="N5" s="75">
        <v>14.59</v>
      </c>
      <c r="O5" s="37"/>
      <c r="P5" s="71" t="s">
        <v>311</v>
      </c>
      <c r="Q5" s="75">
        <v>11.24</v>
      </c>
      <c r="R5" s="74">
        <v>8.5000000000000006E-2</v>
      </c>
      <c r="S5" s="75">
        <v>2.58</v>
      </c>
      <c r="T5" s="75">
        <v>5.38</v>
      </c>
      <c r="U5" s="75">
        <v>2.96</v>
      </c>
      <c r="V5" s="37"/>
      <c r="W5" s="37"/>
    </row>
    <row r="6" spans="1:26" ht="30.75" customHeight="1">
      <c r="A6" s="69" t="s">
        <v>313</v>
      </c>
      <c r="B6" s="70" t="s">
        <v>322</v>
      </c>
      <c r="C6" s="76">
        <v>0.34799999999999998</v>
      </c>
      <c r="D6" s="77">
        <v>6.16</v>
      </c>
      <c r="E6" s="77">
        <v>-2.27</v>
      </c>
      <c r="F6" s="76">
        <v>0.1</v>
      </c>
      <c r="G6" s="77">
        <v>1.25</v>
      </c>
      <c r="H6" s="77">
        <v>3.59</v>
      </c>
      <c r="I6" s="77">
        <v>11.04</v>
      </c>
      <c r="J6" s="77">
        <v>19.28</v>
      </c>
      <c r="L6" s="71" t="s">
        <v>319</v>
      </c>
      <c r="M6" s="74">
        <v>0.45400000000000001</v>
      </c>
      <c r="N6" s="75">
        <v>12.49</v>
      </c>
      <c r="O6" s="37"/>
      <c r="P6" s="69" t="s">
        <v>313</v>
      </c>
      <c r="Q6" s="214">
        <v>20.07</v>
      </c>
      <c r="R6" s="76">
        <v>0.1</v>
      </c>
      <c r="S6" s="77">
        <v>1.25</v>
      </c>
      <c r="T6" s="77">
        <v>6.16</v>
      </c>
      <c r="U6" s="77">
        <v>3.59</v>
      </c>
      <c r="V6" s="37"/>
      <c r="W6" s="37"/>
    </row>
    <row r="7" spans="1:26" ht="27.75" customHeight="1">
      <c r="A7" s="71" t="s">
        <v>319</v>
      </c>
      <c r="B7" s="72" t="s">
        <v>323</v>
      </c>
      <c r="C7" s="74">
        <v>0.45400000000000001</v>
      </c>
      <c r="D7" s="75">
        <v>5.95</v>
      </c>
      <c r="E7" s="75">
        <v>15.28</v>
      </c>
      <c r="F7" s="74">
        <v>7.6999999999999999E-2</v>
      </c>
      <c r="G7" s="75">
        <v>1.45</v>
      </c>
      <c r="H7" s="75">
        <v>2.31</v>
      </c>
      <c r="I7" s="75">
        <v>12.49</v>
      </c>
      <c r="J7" s="75">
        <v>19.77</v>
      </c>
      <c r="K7" s="37"/>
      <c r="L7" s="71" t="s">
        <v>311</v>
      </c>
      <c r="M7" s="74">
        <v>0.40699999999999997</v>
      </c>
      <c r="N7" s="75">
        <v>8.66</v>
      </c>
      <c r="O7" s="37"/>
      <c r="P7" s="213" t="s">
        <v>324</v>
      </c>
      <c r="Q7" s="75">
        <v>20.100000000000001</v>
      </c>
      <c r="R7" s="74">
        <v>0.128</v>
      </c>
      <c r="S7" s="75">
        <v>2.25</v>
      </c>
      <c r="T7" s="75">
        <v>6.98</v>
      </c>
      <c r="U7" s="75">
        <v>2.63</v>
      </c>
      <c r="V7" s="37"/>
      <c r="W7" s="37"/>
    </row>
    <row r="8" spans="1:26" ht="33" customHeight="1">
      <c r="A8" s="71" t="s">
        <v>324</v>
      </c>
      <c r="B8" s="72" t="s">
        <v>325</v>
      </c>
      <c r="C8" s="74">
        <v>0.60399999999999998</v>
      </c>
      <c r="D8" s="75">
        <v>6.98</v>
      </c>
      <c r="E8" s="75">
        <v>3.88</v>
      </c>
      <c r="F8" s="74">
        <v>0.128</v>
      </c>
      <c r="G8" s="75">
        <v>2.25</v>
      </c>
      <c r="H8" s="75">
        <v>2.63</v>
      </c>
      <c r="I8" s="75">
        <v>13.71</v>
      </c>
      <c r="J8" s="75">
        <v>20.100000000000001</v>
      </c>
      <c r="L8" s="78" t="s">
        <v>326</v>
      </c>
      <c r="M8" s="79">
        <f>SUM(M3:M7)/5</f>
        <v>0.3992</v>
      </c>
      <c r="N8" s="80">
        <f>SUM(N3:N7)/5</f>
        <v>11.452000000000002</v>
      </c>
      <c r="O8" s="37"/>
      <c r="P8" s="78" t="s">
        <v>326</v>
      </c>
      <c r="Q8" s="80">
        <f>(Q2+Q3+Q4+Q5+Q7)/5</f>
        <v>17.2</v>
      </c>
      <c r="R8" s="79">
        <f>SUM(R1:R5)/5</f>
        <v>6.2E-2</v>
      </c>
      <c r="S8" s="80">
        <f>SUM(S1:S5)/5</f>
        <v>1.524</v>
      </c>
      <c r="T8" s="80">
        <f>SUM(T1:T5)/5</f>
        <v>4.6899999999999995</v>
      </c>
      <c r="U8" s="80">
        <f>SUM(U1:U5)/5</f>
        <v>1.714</v>
      </c>
      <c r="V8" s="37"/>
      <c r="W8" s="37"/>
    </row>
    <row r="9" spans="1:26" ht="39.75" customHeight="1">
      <c r="A9" s="71" t="s">
        <v>321</v>
      </c>
      <c r="B9" s="72" t="s">
        <v>327</v>
      </c>
      <c r="C9" s="74">
        <v>0.33900000000000002</v>
      </c>
      <c r="D9" s="75">
        <v>5.63</v>
      </c>
      <c r="E9" s="75">
        <v>21.07</v>
      </c>
      <c r="F9" s="74">
        <v>0.104</v>
      </c>
      <c r="G9" s="75">
        <v>1.58</v>
      </c>
      <c r="H9" s="75">
        <v>1.35</v>
      </c>
      <c r="I9" s="75">
        <v>14.59</v>
      </c>
      <c r="J9" s="75">
        <v>22.34</v>
      </c>
      <c r="K9" s="37"/>
      <c r="L9" s="37"/>
      <c r="M9" s="37"/>
      <c r="N9" s="37"/>
      <c r="O9" s="37"/>
      <c r="V9" s="37"/>
      <c r="W9" s="37"/>
    </row>
    <row r="10" spans="1:26" ht="32.25" customHeight="1">
      <c r="A10" s="71" t="s">
        <v>328</v>
      </c>
      <c r="B10" s="72" t="s">
        <v>329</v>
      </c>
      <c r="C10" s="74">
        <v>0.61899999999999999</v>
      </c>
      <c r="D10" s="75">
        <v>7.1</v>
      </c>
      <c r="E10" s="75">
        <v>33.729999999999997</v>
      </c>
      <c r="F10" s="74">
        <v>0.01</v>
      </c>
      <c r="G10" s="75">
        <v>2.0299999999999998</v>
      </c>
      <c r="H10" s="75">
        <v>0.48</v>
      </c>
      <c r="I10" s="75">
        <v>10.73</v>
      </c>
      <c r="J10" s="75">
        <v>23.99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spans="1:26" ht="27.75" customHeight="1">
      <c r="A11" s="71" t="s">
        <v>330</v>
      </c>
      <c r="B11" s="72" t="s">
        <v>331</v>
      </c>
      <c r="C11" s="74">
        <v>0.23899999999999999</v>
      </c>
      <c r="D11" s="75">
        <v>7.88</v>
      </c>
      <c r="E11" s="75">
        <v>-20.22</v>
      </c>
      <c r="F11" s="74">
        <v>-7.1999999999999995E-2</v>
      </c>
      <c r="G11" s="75">
        <v>6.25</v>
      </c>
      <c r="H11" s="75">
        <v>0.42</v>
      </c>
      <c r="I11" s="75">
        <v>9.33</v>
      </c>
      <c r="J11" s="75">
        <v>70.17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</row>
    <row r="12" spans="1:26" ht="45" hidden="1" customHeight="1">
      <c r="A12" s="37" t="s">
        <v>311</v>
      </c>
      <c r="B12" s="37" t="s">
        <v>312</v>
      </c>
      <c r="C12" s="85">
        <v>0.40699999999999997</v>
      </c>
      <c r="D12" s="37">
        <v>5.38</v>
      </c>
      <c r="E12" s="37">
        <v>22.48</v>
      </c>
      <c r="F12" s="85">
        <v>8.5000000000000006E-2</v>
      </c>
      <c r="G12" s="37">
        <v>2.58</v>
      </c>
      <c r="H12" s="37">
        <v>2.96</v>
      </c>
      <c r="I12" s="37">
        <v>8.66</v>
      </c>
      <c r="J12" s="37">
        <v>11.18</v>
      </c>
      <c r="K12" s="86">
        <v>9.25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35.2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"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29.25" customHeight="1">
      <c r="H15" s="257" t="s">
        <v>332</v>
      </c>
      <c r="I15" s="257" t="s">
        <v>333</v>
      </c>
      <c r="J15" s="257" t="s">
        <v>334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62.25" customHeight="1">
      <c r="A16" s="257" t="s">
        <v>335</v>
      </c>
      <c r="B16" s="257" t="s">
        <v>336</v>
      </c>
      <c r="C16" s="37"/>
      <c r="D16" s="37"/>
      <c r="E16" s="37"/>
      <c r="F16" s="37"/>
      <c r="G16" s="37"/>
      <c r="H16" s="81" t="s">
        <v>337</v>
      </c>
      <c r="I16" s="83" t="s">
        <v>338</v>
      </c>
      <c r="J16" s="82" t="s">
        <v>339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64.5" customHeight="1">
      <c r="A17" s="50" t="s">
        <v>340</v>
      </c>
      <c r="B17" s="50" t="s">
        <v>322</v>
      </c>
      <c r="C17" s="37"/>
      <c r="D17" s="37"/>
      <c r="E17" s="37"/>
      <c r="F17" s="37"/>
      <c r="G17" s="37"/>
      <c r="H17" s="81" t="s">
        <v>341</v>
      </c>
      <c r="I17" s="84" t="s">
        <v>342</v>
      </c>
      <c r="J17" s="82" t="s">
        <v>343</v>
      </c>
      <c r="O17" s="5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66.75" customHeight="1">
      <c r="A18" s="50" t="s">
        <v>344</v>
      </c>
      <c r="B18" s="50" t="s">
        <v>316</v>
      </c>
      <c r="C18" s="37"/>
      <c r="D18" s="37"/>
      <c r="E18" s="37"/>
      <c r="F18" s="37"/>
      <c r="G18" s="37"/>
      <c r="H18" s="81" t="s">
        <v>345</v>
      </c>
      <c r="I18" s="83" t="s">
        <v>346</v>
      </c>
      <c r="J18" s="82" t="s">
        <v>347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46.5" customHeight="1">
      <c r="A19" s="50" t="s">
        <v>348</v>
      </c>
      <c r="B19" s="50" t="s">
        <v>329</v>
      </c>
      <c r="C19" s="37"/>
      <c r="D19" s="37"/>
      <c r="E19" s="37"/>
      <c r="F19" s="37"/>
      <c r="G19" s="37"/>
      <c r="H19" s="81" t="s">
        <v>349</v>
      </c>
      <c r="I19" s="83" t="s">
        <v>350</v>
      </c>
      <c r="J19" s="82" t="s">
        <v>351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65.25" customHeight="1">
      <c r="A20" s="257" t="s">
        <v>352</v>
      </c>
      <c r="B20" s="50" t="s">
        <v>325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6">
      <c r="A21" s="50" t="s">
        <v>353</v>
      </c>
      <c r="B21" s="50" t="s">
        <v>318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6">
      <c r="A22" s="50" t="s">
        <v>354</v>
      </c>
      <c r="B22" s="50" t="s">
        <v>323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6">
      <c r="A23" s="68" t="s">
        <v>355</v>
      </c>
      <c r="B23" s="50" t="s">
        <v>312</v>
      </c>
      <c r="C23" s="39"/>
      <c r="D23" s="37"/>
      <c r="E23" s="37"/>
      <c r="F23" s="37"/>
      <c r="G23" s="37"/>
      <c r="H23" s="37"/>
      <c r="I23" s="37"/>
      <c r="J23" s="37"/>
      <c r="K23" s="37"/>
      <c r="L23" s="37"/>
    </row>
    <row r="24" spans="1:26" ht="15.6">
      <c r="A24" s="41"/>
      <c r="B24" s="67" t="s">
        <v>320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26" ht="28.5" customHeight="1">
      <c r="A25" s="41"/>
      <c r="B25" s="67" t="s">
        <v>327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26" ht="15.6">
      <c r="A26" s="66"/>
      <c r="B26" s="67" t="s">
        <v>356</v>
      </c>
      <c r="C26" s="37"/>
      <c r="D26" s="37"/>
      <c r="E26" s="59"/>
      <c r="G26" s="37"/>
      <c r="H26" s="37"/>
      <c r="I26" s="37"/>
      <c r="J26" s="37"/>
      <c r="K26" s="37"/>
      <c r="L26" s="37"/>
    </row>
    <row r="27" spans="1:26" ht="15.6">
      <c r="A27" s="37"/>
      <c r="B27" s="65"/>
      <c r="C27" s="37"/>
      <c r="D27" s="37"/>
      <c r="E27" s="59"/>
      <c r="G27" s="37"/>
      <c r="H27" s="37"/>
      <c r="I27" s="37"/>
      <c r="J27" s="37"/>
      <c r="K27" s="37"/>
      <c r="L27" s="37"/>
    </row>
    <row r="28" spans="1:26" ht="15.6">
      <c r="A28" s="259" t="s">
        <v>357</v>
      </c>
      <c r="B28" s="259" t="s">
        <v>358</v>
      </c>
      <c r="D28" s="371" t="s">
        <v>359</v>
      </c>
      <c r="E28" s="373"/>
      <c r="F28" s="373"/>
      <c r="G28" s="372"/>
      <c r="H28" s="37"/>
      <c r="I28" s="371" t="s">
        <v>360</v>
      </c>
      <c r="J28" s="372"/>
    </row>
    <row r="29" spans="1:26">
      <c r="A29" s="60" t="s">
        <v>313</v>
      </c>
      <c r="B29" s="61">
        <v>11.04</v>
      </c>
      <c r="D29" s="62" t="s">
        <v>361</v>
      </c>
      <c r="E29" s="374">
        <f>B35*Caculation!C15</f>
        <v>15036.476000000002</v>
      </c>
      <c r="F29" s="375"/>
      <c r="G29" s="376"/>
      <c r="H29" s="63"/>
      <c r="I29" s="62" t="s">
        <v>362</v>
      </c>
      <c r="J29" s="87">
        <f>'Income sheet'!B114</f>
        <v>5.15</v>
      </c>
    </row>
    <row r="30" spans="1:26" ht="15.6">
      <c r="A30" s="51" t="s">
        <v>314</v>
      </c>
      <c r="B30" s="51">
        <v>11.79</v>
      </c>
      <c r="D30" s="51" t="s">
        <v>363</v>
      </c>
      <c r="E30" s="377">
        <f>'Balance Sheet'!B75+'Balance Sheet'!B79-'Balance Sheet'!B3</f>
        <v>4111</v>
      </c>
      <c r="F30" s="378"/>
      <c r="G30" s="379"/>
      <c r="H30" s="37"/>
      <c r="I30" s="56" t="s">
        <v>364</v>
      </c>
      <c r="J30" s="260">
        <f>J29*B44</f>
        <v>88.579999999999984</v>
      </c>
    </row>
    <row r="31" spans="1:26" ht="15">
      <c r="A31" s="51" t="s">
        <v>317</v>
      </c>
      <c r="B31" s="51">
        <v>9.73</v>
      </c>
      <c r="D31" s="51" t="s">
        <v>365</v>
      </c>
      <c r="E31" s="377">
        <f>'Income sheet'!B69</f>
        <v>2</v>
      </c>
      <c r="F31" s="378"/>
      <c r="G31" s="379"/>
      <c r="H31" s="37"/>
      <c r="I31" s="37"/>
      <c r="J31" s="37"/>
      <c r="K31" s="37"/>
      <c r="L31" s="37"/>
    </row>
    <row r="32" spans="1:26" ht="15">
      <c r="A32" s="51" t="s">
        <v>321</v>
      </c>
      <c r="B32" s="41">
        <v>14.59</v>
      </c>
      <c r="D32" s="56" t="s">
        <v>366</v>
      </c>
      <c r="E32" s="380">
        <f>E29-E30-E31</f>
        <v>10923.476000000002</v>
      </c>
      <c r="F32" s="381"/>
      <c r="G32" s="382"/>
      <c r="H32" s="37"/>
      <c r="I32" s="37"/>
      <c r="J32" s="37"/>
      <c r="K32" s="37"/>
      <c r="L32" s="37"/>
    </row>
    <row r="33" spans="1:12" ht="15.6">
      <c r="A33" s="51" t="s">
        <v>319</v>
      </c>
      <c r="B33" s="41">
        <v>12.49</v>
      </c>
      <c r="D33" s="56" t="s">
        <v>367</v>
      </c>
      <c r="E33" s="380">
        <f>139</f>
        <v>139</v>
      </c>
      <c r="F33" s="381"/>
      <c r="G33" s="382"/>
      <c r="H33" s="37"/>
      <c r="I33" s="260">
        <f>(E34+J30)/2</f>
        <v>83.583079136690657</v>
      </c>
      <c r="J33" s="37"/>
      <c r="K33" s="37"/>
      <c r="L33" s="37"/>
    </row>
    <row r="34" spans="1:12" ht="15.6">
      <c r="A34" s="52" t="s">
        <v>311</v>
      </c>
      <c r="B34" s="52">
        <v>8.66</v>
      </c>
      <c r="D34" s="57" t="s">
        <v>368</v>
      </c>
      <c r="E34" s="368">
        <f>E32/E33</f>
        <v>78.586158273381315</v>
      </c>
      <c r="F34" s="369"/>
      <c r="G34" s="370"/>
      <c r="H34" s="37"/>
      <c r="I34" s="37"/>
      <c r="J34" s="37"/>
      <c r="K34" s="37"/>
      <c r="L34" s="37"/>
    </row>
    <row r="35" spans="1:12" ht="15.6">
      <c r="A35" s="53" t="s">
        <v>326</v>
      </c>
      <c r="B35" s="54">
        <f>SUM(B30:B34)/5</f>
        <v>11.452000000000002</v>
      </c>
      <c r="E35" s="37"/>
    </row>
    <row r="37" spans="1:12" ht="15.6">
      <c r="A37" s="259" t="s">
        <v>357</v>
      </c>
      <c r="B37" s="259" t="s">
        <v>369</v>
      </c>
    </row>
    <row r="38" spans="1:12">
      <c r="A38" s="88" t="s">
        <v>313</v>
      </c>
      <c r="B38" s="64">
        <v>19.28</v>
      </c>
    </row>
    <row r="39" spans="1:12">
      <c r="A39" s="89" t="s">
        <v>314</v>
      </c>
      <c r="B39" s="90">
        <v>19.170000000000002</v>
      </c>
    </row>
    <row r="40" spans="1:12">
      <c r="A40" s="89" t="s">
        <v>319</v>
      </c>
      <c r="B40" s="90">
        <v>19.77</v>
      </c>
    </row>
    <row r="41" spans="1:12">
      <c r="A41" s="89" t="s">
        <v>317</v>
      </c>
      <c r="B41" s="90">
        <v>15.72</v>
      </c>
    </row>
    <row r="42" spans="1:12" ht="39.9" customHeight="1">
      <c r="A42" s="89" t="s">
        <v>324</v>
      </c>
      <c r="B42" s="90">
        <v>20.100000000000001</v>
      </c>
      <c r="F42" s="38"/>
      <c r="I42" s="222" t="s">
        <v>370</v>
      </c>
      <c r="J42" s="222" t="s">
        <v>371</v>
      </c>
      <c r="K42" s="222" t="s">
        <v>372</v>
      </c>
    </row>
    <row r="43" spans="1:12">
      <c r="A43" s="89" t="s">
        <v>311</v>
      </c>
      <c r="B43" s="91">
        <v>11.24</v>
      </c>
      <c r="F43" s="40"/>
      <c r="G43" s="40"/>
      <c r="I43" s="223" t="s">
        <v>373</v>
      </c>
      <c r="J43" s="224">
        <f>B35</f>
        <v>11.452000000000002</v>
      </c>
      <c r="K43" s="225">
        <f>E34</f>
        <v>78.586158273381315</v>
      </c>
    </row>
    <row r="44" spans="1:12" ht="15.6">
      <c r="A44" s="55" t="s">
        <v>326</v>
      </c>
      <c r="B44" s="54">
        <f>SUM(B39:B43)/5</f>
        <v>17.199999999999996</v>
      </c>
      <c r="F44" s="92"/>
      <c r="I44" s="223" t="s">
        <v>374</v>
      </c>
      <c r="J44" s="224">
        <f>B44</f>
        <v>17.199999999999996</v>
      </c>
      <c r="K44" s="225">
        <f>J30</f>
        <v>88.579999999999984</v>
      </c>
    </row>
    <row r="48" spans="1:12">
      <c r="K48" s="216"/>
    </row>
    <row r="49" spans="1:11">
      <c r="K49" s="217"/>
    </row>
    <row r="50" spans="1:11" ht="15.6">
      <c r="A50" s="259" t="s">
        <v>357</v>
      </c>
      <c r="B50" s="259" t="s">
        <v>358</v>
      </c>
      <c r="K50" s="217"/>
    </row>
    <row r="51" spans="1:11" ht="15.6">
      <c r="A51" s="52" t="s">
        <v>311</v>
      </c>
      <c r="B51" s="52">
        <v>8.66</v>
      </c>
    </row>
    <row r="52" spans="1:11">
      <c r="A52" s="51" t="s">
        <v>317</v>
      </c>
      <c r="B52" s="51">
        <v>9.73</v>
      </c>
    </row>
    <row r="53" spans="1:11">
      <c r="A53" s="60" t="s">
        <v>313</v>
      </c>
      <c r="B53" s="61">
        <v>11.04</v>
      </c>
    </row>
    <row r="54" spans="1:11">
      <c r="A54" s="51" t="s">
        <v>314</v>
      </c>
      <c r="B54" s="51">
        <v>11.79</v>
      </c>
    </row>
    <row r="55" spans="1:11">
      <c r="A55" s="51" t="s">
        <v>319</v>
      </c>
      <c r="B55" s="41">
        <v>12.49</v>
      </c>
    </row>
    <row r="56" spans="1:11">
      <c r="A56" s="51" t="s">
        <v>321</v>
      </c>
      <c r="B56" s="41">
        <v>14.59</v>
      </c>
    </row>
    <row r="57" spans="1:11" ht="15.6">
      <c r="A57" s="53" t="s">
        <v>326</v>
      </c>
      <c r="B57" s="54">
        <f>SUM(B49:B53)/5</f>
        <v>5.8860000000000001</v>
      </c>
    </row>
  </sheetData>
  <autoFilter ref="A1:K1" xr:uid="{A6826662-0460-4A96-B65A-3CE404A75B51}">
    <sortState xmlns:xlrd2="http://schemas.microsoft.com/office/spreadsheetml/2017/richdata2" ref="A2:K12">
      <sortCondition ref="J1"/>
    </sortState>
  </autoFilter>
  <sortState xmlns:xlrd2="http://schemas.microsoft.com/office/spreadsheetml/2017/richdata2" ref="A51:B57">
    <sortCondition ref="B51:B57"/>
  </sortState>
  <mergeCells count="8">
    <mergeCell ref="E34:G34"/>
    <mergeCell ref="I28:J28"/>
    <mergeCell ref="D28:G28"/>
    <mergeCell ref="E29:G29"/>
    <mergeCell ref="E30:G30"/>
    <mergeCell ref="E31:G31"/>
    <mergeCell ref="E32:G32"/>
    <mergeCell ref="E33:G33"/>
  </mergeCells>
  <phoneticPr fontId="2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3D8C-E8D6-47B0-9F5A-8D99EB3F1209}">
  <dimension ref="A1:L41"/>
  <sheetViews>
    <sheetView workbookViewId="0">
      <selection activeCell="C15" sqref="C15"/>
    </sheetView>
  </sheetViews>
  <sheetFormatPr defaultColWidth="8.88671875" defaultRowHeight="14.4"/>
  <cols>
    <col min="1" max="1" width="36" style="22" bestFit="1" customWidth="1"/>
    <col min="2" max="2" width="29" customWidth="1"/>
  </cols>
  <sheetData>
    <row r="1" spans="1:12" ht="17.399999999999999">
      <c r="B1" s="24"/>
      <c r="C1" s="21">
        <v>2024</v>
      </c>
      <c r="D1" s="21">
        <v>2023</v>
      </c>
      <c r="E1" s="21">
        <v>2022</v>
      </c>
      <c r="F1" s="21">
        <v>2021</v>
      </c>
      <c r="G1" s="21">
        <v>2020</v>
      </c>
      <c r="H1" s="21">
        <v>2019</v>
      </c>
      <c r="I1" s="21">
        <v>2018</v>
      </c>
      <c r="J1" s="21">
        <v>2017</v>
      </c>
      <c r="K1" s="21">
        <v>2016</v>
      </c>
      <c r="L1" s="21">
        <v>2015</v>
      </c>
    </row>
    <row r="2" spans="1:12">
      <c r="B2" s="45" t="s">
        <v>375</v>
      </c>
      <c r="C2" s="5">
        <f>'Income sheet'!B3</f>
        <v>3677</v>
      </c>
      <c r="D2" s="5">
        <f>'Income sheet'!C3</f>
        <v>4068</v>
      </c>
      <c r="E2" s="5">
        <f>'Income sheet'!D3</f>
        <v>2712</v>
      </c>
      <c r="F2" s="5">
        <f>'Income sheet'!E3</f>
        <v>1757</v>
      </c>
      <c r="G2" s="5">
        <f>'Income sheet'!F3</f>
        <v>1791</v>
      </c>
      <c r="H2" s="5">
        <f>'Income sheet'!G3</f>
        <v>1713</v>
      </c>
      <c r="I2" s="5">
        <f>'Income sheet'!H3</f>
        <v>1272</v>
      </c>
      <c r="J2" s="5">
        <f>'Income sheet'!I3</f>
        <v>1046</v>
      </c>
      <c r="K2" s="5">
        <f>'Income sheet'!J3</f>
        <v>1214</v>
      </c>
      <c r="L2" s="5">
        <f>'Income sheet'!K3</f>
        <v>1241</v>
      </c>
    </row>
    <row r="3" spans="1:12">
      <c r="B3" s="28" t="s">
        <v>376</v>
      </c>
      <c r="C3" s="5">
        <f>'Income sheet'!B4</f>
        <v>99</v>
      </c>
      <c r="D3" s="5">
        <f>'Income sheet'!C4</f>
        <v>214</v>
      </c>
      <c r="E3" s="5">
        <f>'Income sheet'!D4</f>
        <v>217</v>
      </c>
      <c r="F3" s="5">
        <f>'Income sheet'!E4</f>
        <v>233</v>
      </c>
      <c r="G3" s="5">
        <f>'Income sheet'!F4</f>
        <v>146</v>
      </c>
      <c r="H3" s="5">
        <f>'Income sheet'!G4</f>
        <v>250</v>
      </c>
      <c r="I3" s="5">
        <f>'Income sheet'!H4</f>
        <v>145</v>
      </c>
      <c r="J3" s="5">
        <f>'Income sheet'!I4</f>
        <v>100</v>
      </c>
      <c r="K3" s="5">
        <f>'Income sheet'!J4</f>
        <v>0</v>
      </c>
      <c r="L3" s="5">
        <f>'Income sheet'!K4</f>
        <v>0</v>
      </c>
    </row>
    <row r="4" spans="1:12">
      <c r="B4" s="25" t="s">
        <v>377</v>
      </c>
      <c r="C4" s="5">
        <f>C3+C2</f>
        <v>3776</v>
      </c>
      <c r="D4" s="5">
        <f t="shared" ref="D4:L4" si="0">D3+D2</f>
        <v>4282</v>
      </c>
      <c r="E4" s="5">
        <f t="shared" si="0"/>
        <v>2929</v>
      </c>
      <c r="F4" s="5">
        <f t="shared" si="0"/>
        <v>1990</v>
      </c>
      <c r="G4" s="5">
        <f t="shared" si="0"/>
        <v>1937</v>
      </c>
      <c r="H4" s="5">
        <f t="shared" si="0"/>
        <v>1963</v>
      </c>
      <c r="I4" s="5">
        <f t="shared" si="0"/>
        <v>1417</v>
      </c>
      <c r="J4" s="5">
        <f t="shared" si="0"/>
        <v>1146</v>
      </c>
      <c r="K4" s="5">
        <f t="shared" si="0"/>
        <v>1214</v>
      </c>
      <c r="L4" s="5">
        <f t="shared" si="0"/>
        <v>1241</v>
      </c>
    </row>
    <row r="5" spans="1:12">
      <c r="B5" s="46" t="s">
        <v>161</v>
      </c>
      <c r="C5" s="5">
        <f>'Income sheet'!B6</f>
        <v>1787</v>
      </c>
      <c r="D5" s="5">
        <f>'Income sheet'!C6</f>
        <v>2166</v>
      </c>
      <c r="E5" s="5">
        <f>'Income sheet'!D6</f>
        <v>1578</v>
      </c>
      <c r="F5" s="5">
        <f>'Income sheet'!E6</f>
        <v>667</v>
      </c>
      <c r="G5" s="5">
        <f>'Income sheet'!F6</f>
        <v>584</v>
      </c>
      <c r="H5" s="5">
        <f>'Income sheet'!G6</f>
        <v>418</v>
      </c>
      <c r="I5" s="5">
        <f>'Income sheet'!H6</f>
        <v>434</v>
      </c>
      <c r="J5" s="5">
        <f>'Income sheet'!I6</f>
        <v>318</v>
      </c>
      <c r="K5" s="5">
        <f>'Income sheet'!J6</f>
        <v>420</v>
      </c>
      <c r="L5" s="5">
        <f>'Income sheet'!K6</f>
        <v>479</v>
      </c>
    </row>
    <row r="6" spans="1:12" ht="27.6">
      <c r="B6" s="28" t="s">
        <v>166</v>
      </c>
      <c r="C6" s="5">
        <f>'Income sheet'!B11</f>
        <v>254</v>
      </c>
      <c r="D6" s="5">
        <f>'Income sheet'!C11</f>
        <v>179</v>
      </c>
      <c r="E6" s="5">
        <f>'Income sheet'!D11</f>
        <v>184</v>
      </c>
      <c r="F6" s="5">
        <f>'Income sheet'!E11</f>
        <v>176</v>
      </c>
      <c r="G6" s="5">
        <f>'Income sheet'!F11</f>
        <v>171</v>
      </c>
      <c r="H6" s="5">
        <f>'Income sheet'!G11</f>
        <v>167</v>
      </c>
      <c r="I6" s="5">
        <f>'Income sheet'!H11</f>
        <v>145</v>
      </c>
      <c r="J6" s="5">
        <f>'Income sheet'!I11</f>
        <v>129</v>
      </c>
      <c r="K6" s="5">
        <f>'Income sheet'!J11</f>
        <v>124</v>
      </c>
      <c r="L6" s="5">
        <f>'Income sheet'!K11</f>
        <v>120</v>
      </c>
    </row>
    <row r="7" spans="1:12">
      <c r="B7" s="28" t="s">
        <v>177</v>
      </c>
      <c r="C7" s="5">
        <f>'Income sheet'!B25</f>
        <v>201</v>
      </c>
      <c r="D7" s="5">
        <f>'Income sheet'!C25</f>
        <v>153</v>
      </c>
      <c r="E7" s="5">
        <f>'Income sheet'!D25</f>
        <v>143</v>
      </c>
      <c r="F7" s="5">
        <f>'Income sheet'!E25</f>
        <v>114</v>
      </c>
      <c r="G7" s="5">
        <f>'Income sheet'!F25</f>
        <v>106</v>
      </c>
      <c r="H7" s="5">
        <f>'Income sheet'!G25</f>
        <v>116</v>
      </c>
      <c r="I7" s="5">
        <f>'Income sheet'!H25</f>
        <v>96</v>
      </c>
      <c r="J7" s="5">
        <f>'Income sheet'!I25</f>
        <v>89</v>
      </c>
      <c r="K7" s="5">
        <f>'Income sheet'!J25</f>
        <v>86</v>
      </c>
      <c r="L7" s="5">
        <f>'Income sheet'!K25</f>
        <v>85</v>
      </c>
    </row>
    <row r="8" spans="1:12" ht="43.2">
      <c r="A8" s="23" t="s">
        <v>378</v>
      </c>
      <c r="B8" s="28" t="s">
        <v>379</v>
      </c>
      <c r="C8" s="5">
        <f>'Income sheet'!B8-'Income sheet'!B48</f>
        <v>221</v>
      </c>
      <c r="D8" s="5">
        <f>'Income sheet'!C8-'Income sheet'!C48</f>
        <v>170</v>
      </c>
      <c r="E8" s="5">
        <f>'Income sheet'!D8-'Income sheet'!D48</f>
        <v>161</v>
      </c>
      <c r="F8" s="5">
        <f>'Income sheet'!E8-'Income sheet'!E48</f>
        <v>159</v>
      </c>
      <c r="G8" s="5">
        <f>'Income sheet'!F8-'Income sheet'!F48</f>
        <v>165</v>
      </c>
      <c r="H8" s="5">
        <f>'Income sheet'!G8-'Income sheet'!G48</f>
        <v>146</v>
      </c>
      <c r="I8" s="5">
        <f>'Income sheet'!H8-'Income sheet'!H48</f>
        <v>129</v>
      </c>
      <c r="J8" s="5">
        <f>'Income sheet'!I8-'Income sheet'!I48</f>
        <v>118</v>
      </c>
      <c r="K8" s="5">
        <f>'Income sheet'!J8-'Income sheet'!J48</f>
        <v>105</v>
      </c>
      <c r="L8" s="5">
        <f>'Income sheet'!K8-'Income sheet'!K48</f>
        <v>100</v>
      </c>
    </row>
    <row r="9" spans="1:12" ht="28.8">
      <c r="A9" s="23" t="s">
        <v>380</v>
      </c>
      <c r="B9" s="28" t="s">
        <v>381</v>
      </c>
      <c r="C9" s="5">
        <f>C6+C7</f>
        <v>455</v>
      </c>
      <c r="D9" s="5">
        <f t="shared" ref="D9:L9" si="1">D6+D7</f>
        <v>332</v>
      </c>
      <c r="E9" s="5">
        <f t="shared" si="1"/>
        <v>327</v>
      </c>
      <c r="F9" s="5">
        <f t="shared" si="1"/>
        <v>290</v>
      </c>
      <c r="G9" s="5">
        <f t="shared" si="1"/>
        <v>277</v>
      </c>
      <c r="H9" s="5">
        <f t="shared" si="1"/>
        <v>283</v>
      </c>
      <c r="I9" s="5">
        <f t="shared" si="1"/>
        <v>241</v>
      </c>
      <c r="J9" s="5">
        <f t="shared" si="1"/>
        <v>218</v>
      </c>
      <c r="K9" s="5">
        <f t="shared" si="1"/>
        <v>210</v>
      </c>
      <c r="L9" s="5">
        <f t="shared" si="1"/>
        <v>205</v>
      </c>
    </row>
    <row r="10" spans="1:12">
      <c r="B10" s="27" t="s">
        <v>382</v>
      </c>
      <c r="C10" s="5">
        <f>C5</f>
        <v>1787</v>
      </c>
      <c r="D10" s="5">
        <f t="shared" ref="D10:L10" si="2">D5</f>
        <v>2166</v>
      </c>
      <c r="E10" s="5">
        <f t="shared" si="2"/>
        <v>1578</v>
      </c>
      <c r="F10" s="5">
        <f t="shared" si="2"/>
        <v>667</v>
      </c>
      <c r="G10" s="5">
        <f t="shared" si="2"/>
        <v>584</v>
      </c>
      <c r="H10" s="5">
        <f t="shared" si="2"/>
        <v>418</v>
      </c>
      <c r="I10" s="5">
        <f t="shared" si="2"/>
        <v>434</v>
      </c>
      <c r="J10" s="5">
        <f t="shared" si="2"/>
        <v>318</v>
      </c>
      <c r="K10" s="5">
        <f t="shared" si="2"/>
        <v>420</v>
      </c>
      <c r="L10" s="5">
        <f t="shared" si="2"/>
        <v>479</v>
      </c>
    </row>
    <row r="11" spans="1:12" ht="24.75" customHeight="1">
      <c r="B11" s="27" t="s">
        <v>383</v>
      </c>
      <c r="C11" s="5">
        <f t="shared" ref="C11:L11" si="3">C2-C5</f>
        <v>1890</v>
      </c>
      <c r="D11" s="5">
        <f t="shared" si="3"/>
        <v>1902</v>
      </c>
      <c r="E11" s="5">
        <f t="shared" si="3"/>
        <v>1134</v>
      </c>
      <c r="F11" s="5">
        <f t="shared" si="3"/>
        <v>1090</v>
      </c>
      <c r="G11" s="5">
        <f t="shared" si="3"/>
        <v>1207</v>
      </c>
      <c r="H11" s="5">
        <f t="shared" si="3"/>
        <v>1295</v>
      </c>
      <c r="I11" s="5">
        <f t="shared" si="3"/>
        <v>838</v>
      </c>
      <c r="J11" s="5">
        <f t="shared" si="3"/>
        <v>728</v>
      </c>
      <c r="K11" s="5">
        <f t="shared" si="3"/>
        <v>794</v>
      </c>
      <c r="L11" s="5">
        <f t="shared" si="3"/>
        <v>762</v>
      </c>
    </row>
    <row r="12" spans="1:12" ht="24.75" customHeight="1">
      <c r="B12" s="28" t="s">
        <v>384</v>
      </c>
      <c r="C12" s="5">
        <v>76</v>
      </c>
      <c r="D12" s="5">
        <v>65</v>
      </c>
      <c r="E12" s="5">
        <v>32</v>
      </c>
      <c r="F12" s="5">
        <v>9</v>
      </c>
      <c r="G12" s="5">
        <v>-3</v>
      </c>
      <c r="H12" s="5">
        <v>2</v>
      </c>
      <c r="I12" s="5">
        <v>19</v>
      </c>
      <c r="J12" s="5">
        <v>31</v>
      </c>
      <c r="K12" s="5">
        <v>25</v>
      </c>
      <c r="L12" s="5">
        <v>15</v>
      </c>
    </row>
    <row r="13" spans="1:12" ht="36.75" customHeight="1">
      <c r="B13" s="28" t="s">
        <v>385</v>
      </c>
      <c r="C13" s="5">
        <v>14</v>
      </c>
      <c r="D13" s="5">
        <v>25</v>
      </c>
      <c r="E13" s="5">
        <v>-14</v>
      </c>
      <c r="F13" s="5">
        <v>-29</v>
      </c>
      <c r="G13" s="5">
        <v>-26</v>
      </c>
      <c r="H13" s="5">
        <v>-8</v>
      </c>
      <c r="I13" s="5">
        <v>-7</v>
      </c>
      <c r="J13" s="5">
        <v>-5</v>
      </c>
      <c r="K13" s="5">
        <v>-6</v>
      </c>
      <c r="L13" s="5">
        <v>-7</v>
      </c>
    </row>
    <row r="14" spans="1:12" ht="30" customHeight="1">
      <c r="B14" s="29" t="s">
        <v>386</v>
      </c>
      <c r="C14" s="20">
        <f t="shared" ref="C14:L14" si="4">C4-C5-C9-C8-C16</f>
        <v>810</v>
      </c>
      <c r="D14" s="20">
        <f t="shared" si="4"/>
        <v>1040</v>
      </c>
      <c r="E14" s="20">
        <f t="shared" si="4"/>
        <v>310</v>
      </c>
      <c r="F14" s="20">
        <f t="shared" si="4"/>
        <v>335</v>
      </c>
      <c r="G14" s="20">
        <f t="shared" si="4"/>
        <v>433</v>
      </c>
      <c r="H14" s="20">
        <f t="shared" si="4"/>
        <v>643</v>
      </c>
      <c r="I14" s="20">
        <f t="shared" si="4"/>
        <v>278</v>
      </c>
      <c r="J14" s="20">
        <f t="shared" si="4"/>
        <v>221</v>
      </c>
      <c r="K14" s="20">
        <f t="shared" si="4"/>
        <v>263</v>
      </c>
      <c r="L14" s="20">
        <f t="shared" si="4"/>
        <v>242</v>
      </c>
    </row>
    <row r="15" spans="1:12">
      <c r="B15" s="29" t="s">
        <v>387</v>
      </c>
      <c r="C15" s="20">
        <f>C14+ C16</f>
        <v>1313</v>
      </c>
      <c r="D15" s="20">
        <f t="shared" ref="D15:L15" si="5">D14+ D16</f>
        <v>1614</v>
      </c>
      <c r="E15" s="20">
        <f t="shared" si="5"/>
        <v>863</v>
      </c>
      <c r="F15" s="20">
        <f t="shared" si="5"/>
        <v>874</v>
      </c>
      <c r="G15" s="20">
        <f t="shared" si="5"/>
        <v>911</v>
      </c>
      <c r="H15" s="20">
        <f t="shared" si="5"/>
        <v>1116</v>
      </c>
      <c r="I15" s="20">
        <f t="shared" si="5"/>
        <v>613</v>
      </c>
      <c r="J15" s="20">
        <f t="shared" si="5"/>
        <v>492</v>
      </c>
      <c r="K15" s="20">
        <f t="shared" si="5"/>
        <v>479</v>
      </c>
      <c r="L15" s="20">
        <f t="shared" si="5"/>
        <v>457</v>
      </c>
    </row>
    <row r="16" spans="1:12">
      <c r="A16" s="42"/>
      <c r="B16" s="27" t="s">
        <v>93</v>
      </c>
      <c r="C16" s="5">
        <f>'Income sheet'!B20</f>
        <v>503</v>
      </c>
      <c r="D16" s="5">
        <f>'Income sheet'!C20</f>
        <v>574</v>
      </c>
      <c r="E16" s="5">
        <f>'Income sheet'!D20</f>
        <v>553</v>
      </c>
      <c r="F16" s="5">
        <f>'Income sheet'!E20</f>
        <v>539</v>
      </c>
      <c r="G16" s="5">
        <f>'Income sheet'!F20</f>
        <v>478</v>
      </c>
      <c r="H16" s="5">
        <f>'Income sheet'!G20</f>
        <v>473</v>
      </c>
      <c r="I16" s="5">
        <f>'Income sheet'!H20</f>
        <v>335</v>
      </c>
      <c r="J16" s="5">
        <f>'Income sheet'!I20</f>
        <v>271</v>
      </c>
      <c r="K16" s="5">
        <f>'Income sheet'!J20</f>
        <v>216</v>
      </c>
      <c r="L16" s="5">
        <f>'Income sheet'!K20</f>
        <v>215</v>
      </c>
    </row>
    <row r="17" spans="2:12">
      <c r="B17" s="43" t="s">
        <v>92</v>
      </c>
      <c r="C17" s="44">
        <f>'Income sheet'!B66</f>
        <v>701</v>
      </c>
      <c r="D17" s="44">
        <f>'Income sheet'!C66</f>
        <v>737</v>
      </c>
      <c r="E17" s="44">
        <f>'Income sheet'!D66</f>
        <v>128</v>
      </c>
      <c r="F17" s="44">
        <f>'Income sheet'!E66</f>
        <v>87</v>
      </c>
      <c r="G17" s="44">
        <f>'Income sheet'!F66</f>
        <v>130</v>
      </c>
      <c r="H17" s="44">
        <f>'Income sheet'!G66</f>
        <v>119</v>
      </c>
      <c r="I17" s="44">
        <f>'Income sheet'!H66</f>
        <v>258</v>
      </c>
      <c r="J17" s="44">
        <f>'Income sheet'!I66</f>
        <v>134</v>
      </c>
      <c r="K17" s="44">
        <f>'Income sheet'!J66</f>
        <v>102</v>
      </c>
      <c r="L17" s="44">
        <f>'Income sheet'!K66</f>
        <v>86</v>
      </c>
    </row>
    <row r="19" spans="2:12">
      <c r="B19" s="26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2"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>
      <c r="B22" s="26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>
      <c r="B23" s="26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>
      <c r="B24" s="26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2:12">
      <c r="B25" s="26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2:12">
      <c r="B26" s="26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2:12">
      <c r="B27" s="26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2">
      <c r="B28" s="26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2:12">
      <c r="B29" s="26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2:12">
      <c r="B30" s="26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2:12">
      <c r="B31" s="26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2">
      <c r="B32" s="26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>
      <c r="B33" s="26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>
      <c r="B34" s="26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>
      <c r="B35" s="26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2:12">
      <c r="B36" s="26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2:12">
      <c r="B37" s="26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2:12">
      <c r="B38" s="26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2:12">
      <c r="B39" s="26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2:12">
      <c r="B40" s="26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2:12">
      <c r="B41" s="26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162F-2AC6-4182-9C65-1FFA5723396D}">
  <dimension ref="A1:BY70"/>
  <sheetViews>
    <sheetView tabSelected="1" topLeftCell="L22" zoomScale="75" zoomScaleNormal="70" workbookViewId="0">
      <selection activeCell="T71" sqref="T71"/>
    </sheetView>
  </sheetViews>
  <sheetFormatPr defaultColWidth="8.88671875" defaultRowHeight="14.4"/>
  <cols>
    <col min="1" max="1" width="29.109375" customWidth="1"/>
    <col min="2" max="2" width="18.6640625" customWidth="1"/>
    <col min="14" max="14" width="26" customWidth="1"/>
    <col min="15" max="15" width="17.33203125" customWidth="1"/>
    <col min="16" max="16" width="13.109375" customWidth="1"/>
    <col min="19" max="19" width="13.6640625" customWidth="1"/>
    <col min="20" max="20" width="12.109375" bestFit="1" customWidth="1"/>
    <col min="21" max="21" width="27.33203125" customWidth="1"/>
    <col min="22" max="22" width="18.6640625" customWidth="1"/>
    <col min="25" max="25" width="10.88671875" bestFit="1" customWidth="1"/>
    <col min="26" max="26" width="11.33203125" customWidth="1"/>
    <col min="27" max="27" width="12" customWidth="1"/>
    <col min="28" max="28" width="11.88671875" customWidth="1"/>
    <col min="33" max="33" width="28.33203125" bestFit="1" customWidth="1"/>
    <col min="34" max="34" width="16" bestFit="1" customWidth="1"/>
    <col min="37" max="37" width="12.33203125" bestFit="1" customWidth="1"/>
    <col min="38" max="38" width="15.109375" customWidth="1"/>
    <col min="43" max="43" width="26.109375" customWidth="1"/>
    <col min="44" max="44" width="13.109375" customWidth="1"/>
    <col min="45" max="45" width="16.33203125" customWidth="1"/>
    <col min="46" max="46" width="11.33203125" customWidth="1"/>
    <col min="58" max="58" width="14" bestFit="1" customWidth="1"/>
    <col min="75" max="75" width="11.6640625" bestFit="1" customWidth="1"/>
  </cols>
  <sheetData>
    <row r="1" spans="1:77"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77" ht="18.75" customHeight="1">
      <c r="A2" s="24" t="s">
        <v>388</v>
      </c>
      <c r="B2" s="338" t="s">
        <v>389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7"/>
      <c r="N2" s="339"/>
      <c r="O2" s="349" t="s">
        <v>390</v>
      </c>
      <c r="P2" s="349"/>
      <c r="Q2" s="349"/>
      <c r="R2" s="349"/>
      <c r="S2" s="349"/>
      <c r="U2" s="24" t="s">
        <v>391</v>
      </c>
      <c r="V2" s="338" t="s">
        <v>389</v>
      </c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49" t="s">
        <v>390</v>
      </c>
      <c r="AI2" s="349"/>
      <c r="AJ2" s="349"/>
      <c r="AK2" s="349"/>
      <c r="AL2" s="349"/>
      <c r="AP2" s="355" t="s">
        <v>392</v>
      </c>
      <c r="AQ2" s="355"/>
      <c r="AR2" s="355"/>
      <c r="AS2" s="355"/>
      <c r="AT2" s="355"/>
      <c r="AU2" s="355"/>
      <c r="AV2" s="355"/>
      <c r="AW2" s="355"/>
      <c r="AX2" s="355"/>
      <c r="AY2" s="355"/>
      <c r="AZ2" s="355"/>
      <c r="BA2" s="355"/>
      <c r="BB2" s="346"/>
      <c r="BC2" s="346"/>
      <c r="BD2" s="346"/>
      <c r="BE2" s="346"/>
      <c r="BF2" s="346"/>
      <c r="BG2" s="92"/>
      <c r="BH2" s="346" t="s">
        <v>393</v>
      </c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</row>
    <row r="3" spans="1:77" ht="39" customHeight="1">
      <c r="A3" s="103" t="s">
        <v>394</v>
      </c>
      <c r="B3" s="124">
        <v>2014</v>
      </c>
      <c r="C3" s="124">
        <v>2015</v>
      </c>
      <c r="D3" s="124">
        <v>2016</v>
      </c>
      <c r="E3" s="124">
        <v>2017</v>
      </c>
      <c r="F3" s="124">
        <v>2018</v>
      </c>
      <c r="G3" s="124">
        <v>2019</v>
      </c>
      <c r="H3" s="124">
        <v>2020</v>
      </c>
      <c r="I3" s="124">
        <v>2021</v>
      </c>
      <c r="J3" s="124">
        <v>2022</v>
      </c>
      <c r="K3" s="124">
        <v>2023</v>
      </c>
      <c r="L3" s="330">
        <v>2024</v>
      </c>
      <c r="M3" s="331"/>
      <c r="N3" s="128" t="s">
        <v>395</v>
      </c>
      <c r="O3" s="127" t="s">
        <v>396</v>
      </c>
      <c r="P3" s="127" t="s">
        <v>397</v>
      </c>
      <c r="Q3" s="127" t="s">
        <v>398</v>
      </c>
      <c r="R3" s="127" t="s">
        <v>399</v>
      </c>
      <c r="S3" s="127" t="s">
        <v>400</v>
      </c>
      <c r="U3" s="103" t="s">
        <v>394</v>
      </c>
      <c r="V3" s="124">
        <v>2014</v>
      </c>
      <c r="W3" s="124">
        <v>2015</v>
      </c>
      <c r="X3" s="124">
        <v>2016</v>
      </c>
      <c r="Y3" s="124">
        <v>2017</v>
      </c>
      <c r="Z3" s="124">
        <v>2018</v>
      </c>
      <c r="AA3" s="124">
        <v>2019</v>
      </c>
      <c r="AB3" s="124">
        <v>2020</v>
      </c>
      <c r="AC3" s="124">
        <v>2021</v>
      </c>
      <c r="AD3" s="124">
        <v>2022</v>
      </c>
      <c r="AE3" s="124">
        <v>2023</v>
      </c>
      <c r="AF3" s="124">
        <v>2024</v>
      </c>
      <c r="AG3" s="128" t="s">
        <v>401</v>
      </c>
      <c r="AH3" s="127" t="s">
        <v>396</v>
      </c>
      <c r="AI3" s="127" t="s">
        <v>397</v>
      </c>
      <c r="AJ3" s="127" t="s">
        <v>398</v>
      </c>
      <c r="AK3" s="127" t="s">
        <v>399</v>
      </c>
      <c r="AL3" s="127" t="s">
        <v>400</v>
      </c>
      <c r="AP3" s="183"/>
      <c r="AQ3" s="345" t="s">
        <v>389</v>
      </c>
      <c r="AR3" s="345"/>
      <c r="AS3" s="345"/>
      <c r="AT3" s="345"/>
      <c r="AU3" s="345"/>
      <c r="AV3" s="345"/>
      <c r="AW3" s="345"/>
      <c r="AX3" s="345"/>
      <c r="AY3" s="345"/>
      <c r="AZ3" s="345"/>
      <c r="BA3" s="348"/>
      <c r="BB3" s="349" t="s">
        <v>390</v>
      </c>
      <c r="BC3" s="349"/>
      <c r="BD3" s="349"/>
      <c r="BE3" s="349"/>
      <c r="BF3" s="349"/>
      <c r="BG3" s="92"/>
      <c r="BH3" s="183" t="s">
        <v>393</v>
      </c>
      <c r="BI3" s="345" t="s">
        <v>389</v>
      </c>
      <c r="BJ3" s="345"/>
      <c r="BK3" s="345"/>
      <c r="BL3" s="345"/>
      <c r="BM3" s="345"/>
      <c r="BN3" s="345"/>
      <c r="BO3" s="345"/>
      <c r="BP3" s="345"/>
      <c r="BQ3" s="345"/>
      <c r="BR3" s="345"/>
      <c r="BS3" s="345"/>
      <c r="BT3" s="349" t="s">
        <v>390</v>
      </c>
      <c r="BU3" s="349"/>
      <c r="BV3" s="349"/>
      <c r="BW3" s="349"/>
      <c r="BX3" s="349"/>
    </row>
    <row r="4" spans="1:77" ht="87">
      <c r="A4" s="185" t="s">
        <v>402</v>
      </c>
      <c r="B4" s="352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4"/>
      <c r="N4" s="353"/>
      <c r="O4" s="41"/>
      <c r="P4" s="41"/>
      <c r="Q4" s="41"/>
      <c r="R4" s="41"/>
      <c r="S4" s="41"/>
      <c r="U4" s="185" t="s">
        <v>403</v>
      </c>
      <c r="V4" s="99"/>
      <c r="W4" s="99"/>
      <c r="X4" s="99"/>
      <c r="Y4" s="99"/>
      <c r="Z4" s="99"/>
      <c r="AA4" s="99"/>
      <c r="AB4" s="99"/>
      <c r="AC4" s="99"/>
      <c r="AD4" s="99"/>
      <c r="AE4" s="99"/>
      <c r="AF4" s="121"/>
      <c r="AG4" s="161"/>
      <c r="AH4" s="41"/>
      <c r="AI4" s="41"/>
      <c r="AJ4" s="41"/>
      <c r="AK4" s="41"/>
      <c r="AL4" s="41"/>
      <c r="AP4" s="169" t="s">
        <v>394</v>
      </c>
      <c r="AQ4" s="186">
        <v>2015</v>
      </c>
      <c r="AR4" s="186">
        <v>2016</v>
      </c>
      <c r="AS4" s="186">
        <v>2017</v>
      </c>
      <c r="AT4" s="186">
        <v>2018</v>
      </c>
      <c r="AU4" s="186">
        <v>2019</v>
      </c>
      <c r="AV4" s="186">
        <v>2020</v>
      </c>
      <c r="AW4" s="186">
        <v>2021</v>
      </c>
      <c r="AX4" s="186">
        <v>2022</v>
      </c>
      <c r="AY4" s="186">
        <v>2023</v>
      </c>
      <c r="AZ4" s="186">
        <v>2024</v>
      </c>
      <c r="BA4" s="184" t="s">
        <v>326</v>
      </c>
      <c r="BB4" s="127" t="s">
        <v>396</v>
      </c>
      <c r="BC4" s="127" t="s">
        <v>397</v>
      </c>
      <c r="BD4" s="127" t="s">
        <v>398</v>
      </c>
      <c r="BE4" s="127" t="s">
        <v>399</v>
      </c>
      <c r="BF4" s="127" t="s">
        <v>400</v>
      </c>
      <c r="BG4" s="92"/>
      <c r="BH4" s="169" t="s">
        <v>394</v>
      </c>
      <c r="BI4" s="186">
        <v>2015</v>
      </c>
      <c r="BJ4" s="186">
        <v>2016</v>
      </c>
      <c r="BK4" s="186">
        <v>2017</v>
      </c>
      <c r="BL4" s="186">
        <v>2018</v>
      </c>
      <c r="BM4" s="186">
        <v>2019</v>
      </c>
      <c r="BN4" s="186">
        <v>2020</v>
      </c>
      <c r="BO4" s="186">
        <v>2021</v>
      </c>
      <c r="BP4" s="186">
        <v>2022</v>
      </c>
      <c r="BQ4" s="186">
        <v>2023</v>
      </c>
      <c r="BR4" s="186">
        <v>2024</v>
      </c>
      <c r="BS4" s="169" t="s">
        <v>401</v>
      </c>
      <c r="BT4" s="127" t="s">
        <v>396</v>
      </c>
      <c r="BU4" s="127" t="s">
        <v>397</v>
      </c>
      <c r="BV4" s="127" t="s">
        <v>398</v>
      </c>
      <c r="BW4" s="127" t="s">
        <v>399</v>
      </c>
      <c r="BX4" s="127" t="s">
        <v>400</v>
      </c>
    </row>
    <row r="5" spans="1:77" ht="27" customHeight="1">
      <c r="A5" s="4" t="s">
        <v>404</v>
      </c>
      <c r="B5" s="99">
        <v>626</v>
      </c>
      <c r="C5" s="99">
        <v>782</v>
      </c>
      <c r="D5" s="99">
        <v>689</v>
      </c>
      <c r="E5" s="99">
        <v>657</v>
      </c>
      <c r="F5" s="99">
        <v>587</v>
      </c>
      <c r="G5" s="99">
        <v>725</v>
      </c>
      <c r="H5" s="99">
        <v>772</v>
      </c>
      <c r="I5" s="99">
        <v>1350</v>
      </c>
      <c r="J5" s="99">
        <v>2108</v>
      </c>
      <c r="K5" s="99">
        <v>2571</v>
      </c>
      <c r="L5" s="121">
        <v>1886</v>
      </c>
      <c r="M5" s="121"/>
      <c r="N5" s="125">
        <f>POWER((L5/C5),0.1)-1</f>
        <v>9.202729481788352E-2</v>
      </c>
      <c r="O5" s="99">
        <f>L5*(1+$N$5)</f>
        <v>2059.5634780265282</v>
      </c>
      <c r="P5" s="99">
        <f>O5*(1+$N$5)</f>
        <v>2249.0995334150211</v>
      </c>
      <c r="Q5" s="99">
        <f>P5*(1+$N$5)</f>
        <v>2456.0780792513697</v>
      </c>
      <c r="R5" s="99">
        <f>Q5*(1+$N$5)</f>
        <v>2682.1043007463763</v>
      </c>
      <c r="S5" s="99">
        <f>R5*(1+$N$5)</f>
        <v>2928.9311039634763</v>
      </c>
      <c r="T5" s="159"/>
      <c r="U5" s="26" t="s">
        <v>161</v>
      </c>
      <c r="V5" s="99">
        <v>511</v>
      </c>
      <c r="W5" s="99">
        <f>'Income sheet'!K6</f>
        <v>479</v>
      </c>
      <c r="X5" s="99">
        <f>'Income sheet'!J6</f>
        <v>420</v>
      </c>
      <c r="Y5" s="99">
        <f>'Income sheet'!I6</f>
        <v>318</v>
      </c>
      <c r="Z5" s="99">
        <f>'Income sheet'!H6</f>
        <v>434</v>
      </c>
      <c r="AA5" s="99">
        <f>'Income sheet'!G6</f>
        <v>418</v>
      </c>
      <c r="AB5" s="99">
        <f>'Income sheet'!F6</f>
        <v>584</v>
      </c>
      <c r="AC5" s="99">
        <f>'Income sheet'!E6</f>
        <v>667</v>
      </c>
      <c r="AD5" s="99">
        <f>'Income sheet'!D6</f>
        <v>1578</v>
      </c>
      <c r="AE5" s="99">
        <f>'Income sheet'!C6</f>
        <v>2166</v>
      </c>
      <c r="AF5" s="121">
        <f>'Income sheet'!B6</f>
        <v>1787</v>
      </c>
      <c r="AG5" s="125">
        <f>POWER(AF5/W5,0.1)-1</f>
        <v>0.14071960050067589</v>
      </c>
      <c r="AH5" s="99">
        <f>AF5*(1+$AG$5)</f>
        <v>2038.4659260947078</v>
      </c>
      <c r="AI5" s="99">
        <f>AH5*(1+$AG$5)</f>
        <v>2325.3180368489952</v>
      </c>
      <c r="AJ5" s="99">
        <f>AI5*(1+$AG$5)</f>
        <v>2652.5358620314018</v>
      </c>
      <c r="AK5" s="99">
        <f>AJ5*(1+$AG$5)</f>
        <v>3025.7996488501767</v>
      </c>
      <c r="AL5" s="99">
        <f>AK5*(1+$AG$5)</f>
        <v>3451.5889666314588</v>
      </c>
      <c r="AM5" s="159"/>
      <c r="AP5" s="185" t="s">
        <v>405</v>
      </c>
      <c r="AQ5" s="180">
        <f>'Balance Sheet'!K17 -'Balance Sheet'!K20</f>
        <v>99</v>
      </c>
      <c r="AR5" s="180">
        <f>'Balance Sheet'!J17 -'Balance Sheet'!J20</f>
        <v>89</v>
      </c>
      <c r="AS5" s="180">
        <f>'Balance Sheet'!I17 -'Balance Sheet'!I20</f>
        <v>99</v>
      </c>
      <c r="AT5" s="180">
        <f>'Balance Sheet'!H17 -'Balance Sheet'!H20</f>
        <v>200</v>
      </c>
      <c r="AU5" s="180">
        <f>'Balance Sheet'!G17 -'Balance Sheet'!G20</f>
        <v>136</v>
      </c>
      <c r="AV5" s="180">
        <f>'Balance Sheet'!F17 -'Balance Sheet'!F20</f>
        <v>170</v>
      </c>
      <c r="AW5" s="180">
        <f>'Balance Sheet'!E17 -'Balance Sheet'!E20</f>
        <v>166</v>
      </c>
      <c r="AX5" s="180">
        <f>'Balance Sheet'!D17 -'Balance Sheet'!D20</f>
        <v>149</v>
      </c>
      <c r="AY5" s="180">
        <f>'Balance Sheet'!C17 -'Balance Sheet'!C20</f>
        <v>129</v>
      </c>
      <c r="AZ5" s="180">
        <f>'Balance Sheet'!B17 -'Balance Sheet'!B20</f>
        <v>121</v>
      </c>
      <c r="BA5" s="187"/>
      <c r="BB5" s="188">
        <f>AH5 * $BA$6</f>
        <v>464.31305498457016</v>
      </c>
      <c r="BC5" s="188">
        <f t="shared" ref="BC5:BF5" si="0">AI5 * $BA$6</f>
        <v>529.65100258924724</v>
      </c>
      <c r="BD5" s="188">
        <f t="shared" si="0"/>
        <v>604.18328007838852</v>
      </c>
      <c r="BE5" s="188">
        <f t="shared" si="0"/>
        <v>689.20370988020738</v>
      </c>
      <c r="BF5" s="188">
        <f t="shared" si="0"/>
        <v>786.18818059813384</v>
      </c>
      <c r="BG5" s="189"/>
      <c r="BH5" s="190" t="s">
        <v>121</v>
      </c>
      <c r="BI5" s="99">
        <f>-'Cash Flow'!K37</f>
        <v>140</v>
      </c>
      <c r="BJ5" s="99">
        <f>-'Cash Flow'!J37</f>
        <v>313</v>
      </c>
      <c r="BK5" s="99">
        <f>-'Cash Flow'!I37</f>
        <v>218</v>
      </c>
      <c r="BL5" s="99">
        <f>-'Cash Flow'!H37</f>
        <v>355</v>
      </c>
      <c r="BM5" s="99">
        <f>-'Cash Flow'!G37</f>
        <v>635</v>
      </c>
      <c r="BN5" s="99">
        <f>-'Cash Flow'!F37</f>
        <v>306</v>
      </c>
      <c r="BO5" s="99">
        <f>-'Cash Flow'!E37</f>
        <v>622</v>
      </c>
      <c r="BP5" s="99">
        <f>-'Cash Flow'!D37</f>
        <v>682</v>
      </c>
      <c r="BQ5" s="99">
        <f>-'Cash Flow'!C37</f>
        <v>723</v>
      </c>
      <c r="BR5" s="99">
        <f>-'Cash Flow'!B37</f>
        <v>1070</v>
      </c>
      <c r="BS5" s="126">
        <f>POWER(BR5/BI5,0.1)-1</f>
        <v>0.22553459206228088</v>
      </c>
      <c r="BT5" s="188">
        <f>BR5*(1+$BS$5)</f>
        <v>1311.3220135066406</v>
      </c>
      <c r="BU5" s="188">
        <f>BT5*(1+$BS$5)</f>
        <v>1607.0704888851496</v>
      </c>
      <c r="BV5" s="188">
        <f>BU5*(1+$BS$5)</f>
        <v>1969.5204760111922</v>
      </c>
      <c r="BW5" s="188">
        <f>BV5*(1+$BS$5)</f>
        <v>2413.7154731266855</v>
      </c>
      <c r="BX5" s="188">
        <f>BW5*(1+$BS$5)</f>
        <v>2958.091807712728</v>
      </c>
    </row>
    <row r="6" spans="1:77" ht="33.9" customHeight="1">
      <c r="A6" s="4" t="s">
        <v>406</v>
      </c>
      <c r="B6" s="99">
        <v>266</v>
      </c>
      <c r="C6" s="99">
        <v>265</v>
      </c>
      <c r="D6" s="99">
        <v>252</v>
      </c>
      <c r="E6" s="99">
        <v>241</v>
      </c>
      <c r="F6" s="99">
        <v>268</v>
      </c>
      <c r="G6" s="99">
        <v>261</v>
      </c>
      <c r="H6" s="99">
        <v>301</v>
      </c>
      <c r="I6" s="99" t="s">
        <v>407</v>
      </c>
      <c r="J6" s="99" t="s">
        <v>407</v>
      </c>
      <c r="K6" s="99" t="s">
        <v>407</v>
      </c>
      <c r="L6" s="121" t="s">
        <v>407</v>
      </c>
      <c r="M6" s="121"/>
      <c r="N6" s="125"/>
      <c r="O6" s="99"/>
      <c r="P6" s="99"/>
      <c r="Q6" s="99"/>
      <c r="R6" s="99"/>
      <c r="S6" s="99"/>
      <c r="T6" s="160"/>
      <c r="U6" s="26" t="s">
        <v>166</v>
      </c>
      <c r="V6" s="99">
        <v>123</v>
      </c>
      <c r="W6" s="99">
        <v>120</v>
      </c>
      <c r="X6" s="99">
        <v>124</v>
      </c>
      <c r="Y6" s="99">
        <v>129</v>
      </c>
      <c r="Z6" s="99">
        <v>145</v>
      </c>
      <c r="AA6" s="99">
        <v>167</v>
      </c>
      <c r="AB6" s="99">
        <v>171</v>
      </c>
      <c r="AC6" s="99">
        <v>176</v>
      </c>
      <c r="AD6" s="99">
        <v>184</v>
      </c>
      <c r="AE6" s="99">
        <v>179</v>
      </c>
      <c r="AF6" s="99">
        <v>254</v>
      </c>
      <c r="AG6" s="125">
        <f t="shared" ref="AG6:AG8" si="1">POWER(AF6/W6,0.1)-1</f>
        <v>7.7867176955317419E-2</v>
      </c>
      <c r="AH6" s="99">
        <f>AF6*(1+AG6)</f>
        <v>273.77826294665061</v>
      </c>
      <c r="AI6" s="99">
        <f>AH6*(1+AG6)</f>
        <v>295.09660339403689</v>
      </c>
      <c r="AJ6" s="99">
        <f>AI6*(1+AG6)</f>
        <v>318.0749428294335</v>
      </c>
      <c r="AK6" s="99">
        <f>AJ6*(1+AG6)</f>
        <v>342.84254068778546</v>
      </c>
      <c r="AL6" s="99">
        <f>AK6*(1+AG6)</f>
        <v>369.53872147133188</v>
      </c>
      <c r="AM6" s="159"/>
      <c r="AP6" s="180" t="s">
        <v>408</v>
      </c>
      <c r="AQ6" s="180">
        <f>AQ5 / W5 * 100</f>
        <v>20.668058455114824</v>
      </c>
      <c r="AR6" s="180">
        <f t="shared" ref="AR6:AZ6" si="2">AR5 / X5 * 100</f>
        <v>21.19047619047619</v>
      </c>
      <c r="AS6" s="180">
        <f t="shared" si="2"/>
        <v>31.132075471698112</v>
      </c>
      <c r="AT6" s="180">
        <f t="shared" si="2"/>
        <v>46.082949308755758</v>
      </c>
      <c r="AU6" s="180">
        <f t="shared" si="2"/>
        <v>32.535885167464116</v>
      </c>
      <c r="AV6" s="180">
        <f t="shared" si="2"/>
        <v>29.109589041095891</v>
      </c>
      <c r="AW6" s="180">
        <f t="shared" si="2"/>
        <v>24.887556221889056</v>
      </c>
      <c r="AX6" s="180">
        <f t="shared" si="2"/>
        <v>9.4423320659062107</v>
      </c>
      <c r="AY6" s="180">
        <f t="shared" si="2"/>
        <v>5.9556786703601112</v>
      </c>
      <c r="AZ6" s="180">
        <f t="shared" si="2"/>
        <v>6.7711247901510907</v>
      </c>
      <c r="BA6" s="125">
        <f>AVERAGE(AQ6:AZ6)/100</f>
        <v>0.22777572538291133</v>
      </c>
      <c r="BB6" s="188">
        <f>AH6 * $BA$6</f>
        <v>62.360042436746781</v>
      </c>
      <c r="BC6" s="180"/>
      <c r="BD6" s="180"/>
      <c r="BE6" s="180"/>
      <c r="BF6" s="180"/>
      <c r="BG6" s="191"/>
      <c r="BQ6">
        <f>(BR5-BQ5)/BR5</f>
        <v>0.32429906542056075</v>
      </c>
      <c r="BT6" s="188">
        <f>BR5*0.6</f>
        <v>642</v>
      </c>
      <c r="BU6" s="188">
        <f>BT6*(1+0.08)</f>
        <v>693.36</v>
      </c>
      <c r="BV6" s="188">
        <f>BU6*(1+0.08)</f>
        <v>748.82880000000011</v>
      </c>
      <c r="BW6" s="188">
        <f>BV6*(1+0.08)</f>
        <v>808.73510400000021</v>
      </c>
      <c r="BX6" s="188">
        <f>BW6*(1+0.15)</f>
        <v>930.04536960000019</v>
      </c>
      <c r="BY6" s="189"/>
    </row>
    <row r="7" spans="1:77" ht="35.1" customHeight="1">
      <c r="A7" s="4" t="s">
        <v>409</v>
      </c>
      <c r="B7" s="99" t="s">
        <v>407</v>
      </c>
      <c r="C7" s="99" t="s">
        <v>407</v>
      </c>
      <c r="D7" s="99" t="s">
        <v>407</v>
      </c>
      <c r="E7" s="102" t="s">
        <v>407</v>
      </c>
      <c r="F7" s="99" t="s">
        <v>407</v>
      </c>
      <c r="G7" s="99" t="s">
        <v>407</v>
      </c>
      <c r="H7" s="99" t="s">
        <v>407</v>
      </c>
      <c r="I7" s="99">
        <v>133</v>
      </c>
      <c r="J7" s="99">
        <v>150</v>
      </c>
      <c r="K7" s="99">
        <v>152</v>
      </c>
      <c r="L7" s="121">
        <v>143</v>
      </c>
      <c r="M7" s="121"/>
      <c r="N7" s="125">
        <f>POWER((L7/I7),0.1)-1</f>
        <v>7.2758918093502878E-3</v>
      </c>
      <c r="O7" s="99">
        <f>L7*(1+$N$7)</f>
        <v>144.04045252873709</v>
      </c>
      <c r="P7" s="99">
        <f>O7*(1+$N$7)</f>
        <v>145.08847527750603</v>
      </c>
      <c r="Q7" s="99">
        <f>P7*(1+$N$7)</f>
        <v>146.14412332640876</v>
      </c>
      <c r="R7" s="99">
        <f>Q7*(1+$N$7)</f>
        <v>147.20745215630404</v>
      </c>
      <c r="S7" s="99">
        <f>R7*(1+$N$7)</f>
        <v>148.27851765172343</v>
      </c>
      <c r="T7" s="159"/>
      <c r="U7" s="26" t="s">
        <v>177</v>
      </c>
      <c r="V7" s="99">
        <v>80</v>
      </c>
      <c r="W7" s="99">
        <v>85</v>
      </c>
      <c r="X7" s="99">
        <v>86</v>
      </c>
      <c r="Y7" s="99">
        <v>89</v>
      </c>
      <c r="Z7" s="99">
        <v>96</v>
      </c>
      <c r="AA7" s="99">
        <v>116</v>
      </c>
      <c r="AB7" s="99">
        <v>106</v>
      </c>
      <c r="AC7" s="99">
        <v>114</v>
      </c>
      <c r="AD7" s="99">
        <v>143</v>
      </c>
      <c r="AE7" s="99">
        <v>153</v>
      </c>
      <c r="AF7" s="99">
        <v>201</v>
      </c>
      <c r="AG7" s="125">
        <f t="shared" si="1"/>
        <v>8.9877565994948672E-2</v>
      </c>
      <c r="AH7" s="99">
        <f>AF7*(1+AG7)</f>
        <v>219.06539076498467</v>
      </c>
      <c r="AI7" s="99">
        <f>AH7*(1+AG7)</f>
        <v>238.75445488067379</v>
      </c>
      <c r="AJ7" s="99">
        <f>AI7*(1+AG7)</f>
        <v>260.21312415579956</v>
      </c>
      <c r="AK7" s="99">
        <f t="shared" ref="AK7:AK8" si="3">AJ7*(1+AG7)</f>
        <v>283.60044639486421</v>
      </c>
      <c r="AL7" s="99">
        <f t="shared" ref="AL7:AL8" si="4">AK7*(1+AG7)</f>
        <v>309.08976423191552</v>
      </c>
      <c r="AM7" s="159"/>
      <c r="AP7" s="185" t="s">
        <v>410</v>
      </c>
      <c r="AQ7" s="180">
        <f>'Balance Sheet'!K8 -('Balance Sheet'!K13 + 'Balance Sheet'!K14 + 'Balance Sheet'!K15 + 'Balance Sheet'!K16)</f>
        <v>190</v>
      </c>
      <c r="AR7" s="180">
        <f>'Balance Sheet'!J8 -('Balance Sheet'!J13 + 'Balance Sheet'!J14 + 'Balance Sheet'!J15 + 'Balance Sheet'!J16)</f>
        <v>139</v>
      </c>
      <c r="AS7" s="180">
        <f>'Balance Sheet'!I8 -('Balance Sheet'!I13 + 'Balance Sheet'!I14 + 'Balance Sheet'!I15 + 'Balance Sheet'!I16)</f>
        <v>178</v>
      </c>
      <c r="AT7" s="180">
        <f>'Balance Sheet'!H8 -('Balance Sheet'!H13 + 'Balance Sheet'!H14 + 'Balance Sheet'!H15 + 'Balance Sheet'!H16)</f>
        <v>438</v>
      </c>
      <c r="AU7" s="180">
        <f>'Balance Sheet'!G8 -('Balance Sheet'!G13 + 'Balance Sheet'!G14 + 'Balance Sheet'!G15 + 'Balance Sheet'!G16)</f>
        <v>235</v>
      </c>
      <c r="AV7" s="180">
        <f>'Balance Sheet'!F8 -('Balance Sheet'!F13 + 'Balance Sheet'!F14 + 'Balance Sheet'!F15 + 'Balance Sheet'!F16)</f>
        <v>380</v>
      </c>
      <c r="AW7" s="180">
        <f>'Balance Sheet'!E8 -('Balance Sheet'!E13 + 'Balance Sheet'!E14 + 'Balance Sheet'!E15 + 'Balance Sheet'!E16)</f>
        <v>370</v>
      </c>
      <c r="AX7" s="180">
        <f>'Balance Sheet'!D8 -('Balance Sheet'!D13 + 'Balance Sheet'!D14 + 'Balance Sheet'!D15 + 'Balance Sheet'!D16)</f>
        <v>835</v>
      </c>
      <c r="AY7" s="180">
        <f>'Balance Sheet'!C8 -('Balance Sheet'!C13 + 'Balance Sheet'!C14 + 'Balance Sheet'!C15 + 'Balance Sheet'!C16)</f>
        <v>562</v>
      </c>
      <c r="AZ7" s="180">
        <f>'Balance Sheet'!B8 -('Balance Sheet'!B13 + 'Balance Sheet'!B14 + 'Balance Sheet'!B15 + 'Balance Sheet'!B16)</f>
        <v>401</v>
      </c>
      <c r="BA7" s="162"/>
      <c r="BB7" s="188">
        <f>O13 * $BA$8</f>
        <v>700.91132512003696</v>
      </c>
      <c r="BC7" s="188">
        <f t="shared" ref="BC7:BE7" si="5">P13 * $BA$8</f>
        <v>771.02678705776395</v>
      </c>
      <c r="BD7" s="188">
        <f t="shared" si="5"/>
        <v>864.03121630705584</v>
      </c>
      <c r="BE7" s="188">
        <f t="shared" si="5"/>
        <v>978.4592480436562</v>
      </c>
      <c r="BF7" s="188">
        <f>S13 * $BA$8</f>
        <v>1115.5509639307729</v>
      </c>
      <c r="BG7" s="189"/>
      <c r="BP7">
        <f>(BP5-BO5)/BO5</f>
        <v>9.6463022508038579E-2</v>
      </c>
      <c r="BQ7">
        <f>(BQ5-BP5)/BP5</f>
        <v>6.0117302052785926E-2</v>
      </c>
      <c r="BR7" s="126">
        <f>(BQ7+BP7)/2</f>
        <v>7.8290162280412245E-2</v>
      </c>
    </row>
    <row r="8" spans="1:77" ht="41.1" customHeight="1">
      <c r="A8" s="4" t="s">
        <v>411</v>
      </c>
      <c r="B8" s="99">
        <v>119</v>
      </c>
      <c r="C8" s="99">
        <v>124</v>
      </c>
      <c r="D8" s="99">
        <v>115</v>
      </c>
      <c r="E8" s="99">
        <v>146</v>
      </c>
      <c r="F8" s="99">
        <v>180</v>
      </c>
      <c r="G8" s="99">
        <v>293</v>
      </c>
      <c r="H8" s="99">
        <v>391</v>
      </c>
      <c r="I8" s="99">
        <v>316</v>
      </c>
      <c r="J8" s="99">
        <v>437</v>
      </c>
      <c r="K8" s="99">
        <v>374</v>
      </c>
      <c r="L8" s="121">
        <v>378</v>
      </c>
      <c r="M8" s="121"/>
      <c r="N8" s="125">
        <f>POWER((L8/C8),0.1)-1</f>
        <v>0.11791043867174067</v>
      </c>
      <c r="O8" s="99">
        <f>L8*(1+$N$8)</f>
        <v>422.57014581791799</v>
      </c>
      <c r="P8" s="99">
        <f>O8*(1+$N$8)</f>
        <v>472.39557708089012</v>
      </c>
      <c r="Q8" s="99">
        <f>P8*(1+$N$8)</f>
        <v>528.09594680108796</v>
      </c>
      <c r="R8" s="99">
        <f>Q8*(1+$N$8)</f>
        <v>590.36397154917245</v>
      </c>
      <c r="S8" s="99">
        <f>R8*(1+$N$8)</f>
        <v>659.9740464105264</v>
      </c>
      <c r="T8" s="159"/>
      <c r="U8" s="26" t="s">
        <v>379</v>
      </c>
      <c r="V8" s="99">
        <v>96</v>
      </c>
      <c r="W8" s="99">
        <v>100</v>
      </c>
      <c r="X8" s="99">
        <v>105</v>
      </c>
      <c r="Y8" s="99">
        <v>118</v>
      </c>
      <c r="Z8" s="99">
        <v>129</v>
      </c>
      <c r="AA8" s="99">
        <v>146</v>
      </c>
      <c r="AB8" s="99">
        <v>165</v>
      </c>
      <c r="AC8" s="99">
        <v>159</v>
      </c>
      <c r="AD8" s="99">
        <v>161</v>
      </c>
      <c r="AE8" s="99">
        <v>170</v>
      </c>
      <c r="AF8" s="99">
        <v>221</v>
      </c>
      <c r="AG8" s="125">
        <f t="shared" si="1"/>
        <v>8.2528221855660666E-2</v>
      </c>
      <c r="AH8" s="99">
        <f>AF8*(1+AG8)</f>
        <v>239.23873703010102</v>
      </c>
      <c r="AI8" s="99">
        <f>AH8*(1+AG8)</f>
        <v>258.98268459618924</v>
      </c>
      <c r="AJ8" s="99">
        <f>AI8*(1+AG8)</f>
        <v>280.35606504731817</v>
      </c>
      <c r="AK8" s="99">
        <f t="shared" si="3"/>
        <v>303.49335258212329</v>
      </c>
      <c r="AL8" s="99">
        <f t="shared" si="4"/>
        <v>328.54011931573899</v>
      </c>
      <c r="AM8" s="159"/>
      <c r="AP8" s="180" t="s">
        <v>412</v>
      </c>
      <c r="AQ8" s="180">
        <f>AQ7/DCF!C13 * 100</f>
        <v>15.310233682514102</v>
      </c>
      <c r="AR8" s="180">
        <f>AR7/DCF!D13 * 100</f>
        <v>11.449752883031302</v>
      </c>
      <c r="AS8" s="180">
        <f>AS7/DCF!E13 * 100</f>
        <v>15.532286212914483</v>
      </c>
      <c r="AT8" s="180">
        <f>AT7/DCF!F13 * 100</f>
        <v>30.910374029640085</v>
      </c>
      <c r="AU8" s="180">
        <f>AU7/DCF!G13 * 100</f>
        <v>11.971472236372898</v>
      </c>
      <c r="AV8" s="180">
        <f>AV7/DCF!H13 * 100</f>
        <v>19.617965926690758</v>
      </c>
      <c r="AW8" s="180">
        <f>AW7/DCF!I13 * 100</f>
        <v>18.592964824120603</v>
      </c>
      <c r="AX8" s="180">
        <f>AX7/DCF!J13 * 100</f>
        <v>28.508023216114715</v>
      </c>
      <c r="AY8" s="180">
        <f>AY7/DCF!K13 * 100</f>
        <v>13.124708080336292</v>
      </c>
      <c r="AZ8" s="180">
        <f>AZ7/DCF!L13 * 100</f>
        <v>10.619703389830509</v>
      </c>
      <c r="BA8" s="125">
        <f>AVERAGE(AQ8:AZ8)/100</f>
        <v>0.17563748448156574</v>
      </c>
      <c r="BB8" s="180"/>
      <c r="BC8" s="180"/>
      <c r="BD8" s="180"/>
      <c r="BE8" s="180"/>
      <c r="BF8" s="180"/>
      <c r="BG8" s="191"/>
    </row>
    <row r="9" spans="1:77" ht="18.899999999999999" customHeight="1">
      <c r="A9" s="4" t="s">
        <v>413</v>
      </c>
      <c r="B9" s="99">
        <v>83</v>
      </c>
      <c r="C9" s="99">
        <v>114</v>
      </c>
      <c r="D9" s="99">
        <v>129</v>
      </c>
      <c r="E9" s="99">
        <v>201</v>
      </c>
      <c r="F9" s="99">
        <v>304</v>
      </c>
      <c r="G9" s="99">
        <v>449</v>
      </c>
      <c r="H9" s="99">
        <v>463</v>
      </c>
      <c r="I9" s="99">
        <v>402</v>
      </c>
      <c r="J9" s="99">
        <v>534</v>
      </c>
      <c r="K9" s="99">
        <v>491</v>
      </c>
      <c r="L9" s="121">
        <v>903</v>
      </c>
      <c r="M9" s="121"/>
      <c r="N9" s="125">
        <f>POWER((L9/C9),0.1)-1</f>
        <v>0.2299240389207049</v>
      </c>
      <c r="O9" s="99">
        <f>L9*(1+$N$9)</f>
        <v>1110.6214071453965</v>
      </c>
      <c r="P9" s="99">
        <f>O9*(1+$N$9)</f>
        <v>1365.9799667880627</v>
      </c>
      <c r="Q9" s="99">
        <f>P9*(1+$N$9)</f>
        <v>1680.0515978367443</v>
      </c>
      <c r="R9" s="99">
        <f>Q9*(1+$N$9)</f>
        <v>2066.3358468065526</v>
      </c>
      <c r="S9" s="99">
        <f>R9*(1+$N$9)</f>
        <v>2541.43613047095</v>
      </c>
      <c r="T9" s="159"/>
      <c r="U9" s="192" t="s">
        <v>414</v>
      </c>
      <c r="V9" s="99">
        <f>SUM(V5:V8)</f>
        <v>810</v>
      </c>
      <c r="W9" s="99">
        <f>SUM(W5:W8)</f>
        <v>784</v>
      </c>
      <c r="X9" s="99">
        <f t="shared" ref="X9:AF9" si="6">SUM(X5:X8)</f>
        <v>735</v>
      </c>
      <c r="Y9" s="99">
        <f t="shared" si="6"/>
        <v>654</v>
      </c>
      <c r="Z9" s="99">
        <f t="shared" si="6"/>
        <v>804</v>
      </c>
      <c r="AA9" s="99">
        <f t="shared" si="6"/>
        <v>847</v>
      </c>
      <c r="AB9" s="99">
        <f t="shared" si="6"/>
        <v>1026</v>
      </c>
      <c r="AC9" s="99">
        <f t="shared" si="6"/>
        <v>1116</v>
      </c>
      <c r="AD9" s="99">
        <f t="shared" si="6"/>
        <v>2066</v>
      </c>
      <c r="AE9" s="99">
        <f t="shared" si="6"/>
        <v>2668</v>
      </c>
      <c r="AF9" s="99">
        <f t="shared" si="6"/>
        <v>2463</v>
      </c>
      <c r="AG9" s="125">
        <f>POWER(AF9/W9,0.1)-1</f>
        <v>0.12128195987719437</v>
      </c>
      <c r="AH9" s="188">
        <f>SUM(AH5:AH8)</f>
        <v>2770.5483168364444</v>
      </c>
      <c r="AI9" s="188">
        <f>SUM(AI5:AI8)</f>
        <v>3118.1517797198949</v>
      </c>
      <c r="AJ9" s="188">
        <f>SUM(AJ5:AJ8)</f>
        <v>3511.179994063953</v>
      </c>
      <c r="AK9" s="188">
        <f t="shared" ref="AK9" si="7">SUM(AK5:AK8)</f>
        <v>3955.7359885149499</v>
      </c>
      <c r="AL9" s="188">
        <f>SUM(AL5:AL8)</f>
        <v>4458.7575716504443</v>
      </c>
      <c r="AM9" s="189"/>
      <c r="AP9" s="185" t="s">
        <v>415</v>
      </c>
      <c r="AQ9" s="180">
        <f>'Balance Sheet'!K61-('Balance Sheet'!K64+'Balance Sheet'!K66)</f>
        <v>181</v>
      </c>
      <c r="AR9" s="180">
        <f>'Balance Sheet'!J61-('Balance Sheet'!J64+'Balance Sheet'!J66)</f>
        <v>167</v>
      </c>
      <c r="AS9" s="180">
        <f>'Balance Sheet'!I61-('Balance Sheet'!I64+'Balance Sheet'!I66)</f>
        <v>153</v>
      </c>
      <c r="AT9" s="180">
        <f>'Balance Sheet'!H61-('Balance Sheet'!H64+'Balance Sheet'!H66)</f>
        <v>244</v>
      </c>
      <c r="AU9" s="180">
        <f>'Balance Sheet'!G61-('Balance Sheet'!G64+'Balance Sheet'!G66)</f>
        <v>232</v>
      </c>
      <c r="AV9" s="180">
        <f>'Balance Sheet'!F61-('Balance Sheet'!F64+'Balance Sheet'!F66)</f>
        <v>393</v>
      </c>
      <c r="AW9" s="180">
        <f>'Balance Sheet'!E61-('Balance Sheet'!E64+'Balance Sheet'!E66)</f>
        <v>536</v>
      </c>
      <c r="AX9" s="180">
        <f>'Balance Sheet'!D61-('Balance Sheet'!D64+'Balance Sheet'!D66)</f>
        <v>1147</v>
      </c>
      <c r="AY9" s="180">
        <f>'Balance Sheet'!C61-('Balance Sheet'!C64+'Balance Sheet'!C66)</f>
        <v>604</v>
      </c>
      <c r="AZ9" s="180">
        <f>'Balance Sheet'!B61-('Balance Sheet'!B64+'Balance Sheet'!B66)</f>
        <v>590</v>
      </c>
      <c r="BA9" s="162"/>
      <c r="BB9" s="188">
        <f>AH5 * $BA$10</f>
        <v>1057.2070899286171</v>
      </c>
      <c r="BC9" s="188">
        <f>AI5 * $BA$10</f>
        <v>1205.9768492698543</v>
      </c>
      <c r="BD9" s="188">
        <f t="shared" ref="BD9:BF9" si="8">AJ5 * $BA$10</f>
        <v>1375.6814297121718</v>
      </c>
      <c r="BE9" s="188">
        <f t="shared" si="8"/>
        <v>1569.2667709174675</v>
      </c>
      <c r="BF9" s="188">
        <f t="shared" si="8"/>
        <v>1790.0933639999589</v>
      </c>
      <c r="BG9" s="189"/>
    </row>
    <row r="10" spans="1:77" ht="42" customHeight="1">
      <c r="A10" s="4" t="s">
        <v>416</v>
      </c>
      <c r="B10" s="99" t="s">
        <v>407</v>
      </c>
      <c r="C10" s="99" t="s">
        <v>407</v>
      </c>
      <c r="D10" s="99" t="s">
        <v>407</v>
      </c>
      <c r="E10" s="99" t="s">
        <v>407</v>
      </c>
      <c r="F10" s="99" t="s">
        <v>407</v>
      </c>
      <c r="G10" s="99" t="s">
        <v>407</v>
      </c>
      <c r="H10" s="99" t="s">
        <v>407</v>
      </c>
      <c r="I10" s="99" t="s">
        <v>407</v>
      </c>
      <c r="J10" s="99" t="s">
        <v>407</v>
      </c>
      <c r="K10" s="99" t="s">
        <v>407</v>
      </c>
      <c r="L10" s="121" t="s">
        <v>407</v>
      </c>
      <c r="M10" s="121"/>
      <c r="N10" s="193"/>
      <c r="O10" s="99"/>
      <c r="P10" s="99"/>
      <c r="Q10" s="99"/>
      <c r="R10" s="99"/>
      <c r="S10" s="99"/>
      <c r="T10" s="160"/>
      <c r="U10" s="103" t="s">
        <v>294</v>
      </c>
      <c r="V10" s="103">
        <v>2014</v>
      </c>
      <c r="W10" s="103">
        <v>2015</v>
      </c>
      <c r="X10" s="103">
        <v>2016</v>
      </c>
      <c r="Y10" s="103">
        <v>2017</v>
      </c>
      <c r="Z10" s="103">
        <v>2018</v>
      </c>
      <c r="AA10" s="103">
        <v>2019</v>
      </c>
      <c r="AB10" s="103">
        <v>2020</v>
      </c>
      <c r="AC10" s="103">
        <v>2021</v>
      </c>
      <c r="AD10" s="103">
        <v>2022</v>
      </c>
      <c r="AE10" s="103">
        <v>2023</v>
      </c>
      <c r="AF10" s="103">
        <v>2024</v>
      </c>
      <c r="AG10" s="128" t="s">
        <v>326</v>
      </c>
      <c r="AH10" s="188"/>
      <c r="AI10" s="188"/>
      <c r="AJ10" s="188"/>
      <c r="AK10" s="188"/>
      <c r="AL10" s="188"/>
      <c r="AM10" s="160"/>
      <c r="AP10" s="180" t="s">
        <v>417</v>
      </c>
      <c r="AQ10" s="180">
        <f>AQ9/W5 * 100</f>
        <v>37.78705636743215</v>
      </c>
      <c r="AR10" s="180">
        <f t="shared" ref="AR10:AZ10" si="9">AR9/X5 * 100</f>
        <v>39.761904761904759</v>
      </c>
      <c r="AS10" s="180">
        <f t="shared" si="9"/>
        <v>48.113207547169814</v>
      </c>
      <c r="AT10" s="180">
        <f t="shared" si="9"/>
        <v>56.221198156682028</v>
      </c>
      <c r="AU10" s="180">
        <f t="shared" si="9"/>
        <v>55.502392344497608</v>
      </c>
      <c r="AV10" s="180">
        <f t="shared" si="9"/>
        <v>67.294520547945197</v>
      </c>
      <c r="AW10" s="180">
        <f t="shared" si="9"/>
        <v>80.359820089955022</v>
      </c>
      <c r="AX10" s="180">
        <f t="shared" si="9"/>
        <v>72.686945500633712</v>
      </c>
      <c r="AY10" s="180">
        <f t="shared" si="9"/>
        <v>27.885503231763622</v>
      </c>
      <c r="AZ10" s="180">
        <f t="shared" si="9"/>
        <v>33.016228315612764</v>
      </c>
      <c r="BA10" s="125">
        <f>AVERAGE(AQ10:AZ10)/100</f>
        <v>0.51862877686359665</v>
      </c>
      <c r="BB10" s="188">
        <f>AH6 * $BA$10</f>
        <v>141.98928564386156</v>
      </c>
      <c r="BC10" s="180"/>
      <c r="BD10" s="180"/>
      <c r="BE10" s="180"/>
      <c r="BF10" s="180"/>
      <c r="BG10" s="191"/>
      <c r="BH10" t="s">
        <v>418</v>
      </c>
      <c r="BN10">
        <f>BN5/H13</f>
        <v>0.15797625193598347</v>
      </c>
      <c r="BO10">
        <f>BO5/I13</f>
        <v>0.31256281407035175</v>
      </c>
      <c r="BP10">
        <f>BP5/J13</f>
        <v>0.23284397405257767</v>
      </c>
      <c r="BQ10">
        <f>BQ5/K13</f>
        <v>0.16884633348902381</v>
      </c>
      <c r="BR10">
        <f t="shared" ref="BR10" si="10">BR5/L13</f>
        <v>0.2833686440677966</v>
      </c>
      <c r="BS10">
        <f>AVERAGE(BN10:BR10)</f>
        <v>0.23111960352314664</v>
      </c>
      <c r="BT10" s="166">
        <f>$BS$10*O13</f>
        <v>922.32217994233804</v>
      </c>
      <c r="BU10" s="166">
        <f t="shared" ref="BU10:BX10" si="11">$BS$10*P13</f>
        <v>1014.5864127837652</v>
      </c>
      <c r="BV10" s="166">
        <f t="shared" si="11"/>
        <v>1136.9700080478442</v>
      </c>
      <c r="BW10" s="166">
        <f t="shared" si="11"/>
        <v>1287.5447068654696</v>
      </c>
      <c r="BX10" s="166">
        <f t="shared" si="11"/>
        <v>1467.9423202545624</v>
      </c>
    </row>
    <row r="11" spans="1:77" ht="51.9" customHeight="1">
      <c r="A11" s="4" t="s">
        <v>419</v>
      </c>
      <c r="B11" s="100">
        <v>121</v>
      </c>
      <c r="C11" s="100">
        <v>-52</v>
      </c>
      <c r="D11" s="100">
        <v>13</v>
      </c>
      <c r="E11" s="100">
        <v>-162</v>
      </c>
      <c r="F11" s="100">
        <v>20</v>
      </c>
      <c r="G11" s="100">
        <v>47</v>
      </c>
      <c r="H11" s="100">
        <v>-45</v>
      </c>
      <c r="I11" s="100">
        <v>-337</v>
      </c>
      <c r="J11" s="100">
        <v>-431</v>
      </c>
      <c r="K11" s="100">
        <v>564</v>
      </c>
      <c r="L11" s="122">
        <v>447</v>
      </c>
      <c r="M11" s="122"/>
      <c r="N11" s="193"/>
      <c r="O11" s="157">
        <f>L11+0.5*(O14-L11)</f>
        <v>253.875</v>
      </c>
      <c r="P11" s="157">
        <f>O11+0.5*(O14-O11)</f>
        <v>157.3125</v>
      </c>
      <c r="Q11" s="157">
        <f>P11+0.5*(O14-P11)</f>
        <v>109.03125</v>
      </c>
      <c r="R11" s="157">
        <f>Q11+0.5*(O14-Q11)</f>
        <v>84.890625</v>
      </c>
      <c r="S11" s="157">
        <f>R11+0.5*(O14-R11)</f>
        <v>72.8203125</v>
      </c>
      <c r="T11" s="160"/>
      <c r="U11" s="158" t="s">
        <v>161</v>
      </c>
      <c r="V11" s="137"/>
      <c r="W11" s="137">
        <f>(W5-V5)/V5</f>
        <v>-6.262230919765166E-2</v>
      </c>
      <c r="X11" s="137">
        <f t="shared" ref="X11:AF11" si="12">(X5-W5)/W5</f>
        <v>-0.12317327766179541</v>
      </c>
      <c r="Y11" s="137">
        <f t="shared" si="12"/>
        <v>-0.24285714285714285</v>
      </c>
      <c r="Z11" s="137">
        <f t="shared" si="12"/>
        <v>0.36477987421383645</v>
      </c>
      <c r="AA11" s="137">
        <f t="shared" si="12"/>
        <v>-3.6866359447004608E-2</v>
      </c>
      <c r="AB11" s="137">
        <f t="shared" si="12"/>
        <v>0.39712918660287083</v>
      </c>
      <c r="AC11" s="137">
        <f t="shared" si="12"/>
        <v>0.14212328767123289</v>
      </c>
      <c r="AD11" s="137">
        <f t="shared" si="12"/>
        <v>1.3658170914542729</v>
      </c>
      <c r="AE11" s="137">
        <f t="shared" si="12"/>
        <v>0.37262357414448671</v>
      </c>
      <c r="AF11" s="137">
        <f t="shared" si="12"/>
        <v>-0.17497691597414589</v>
      </c>
      <c r="AG11" s="138">
        <f>SUM(W11:AF11)/10</f>
        <v>0.20019770089489591</v>
      </c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94" t="s">
        <v>420</v>
      </c>
      <c r="BB11" s="188">
        <f>BB5 + BB7 -BB9</f>
        <v>108.01729017598996</v>
      </c>
      <c r="BC11" s="188">
        <f t="shared" ref="BC11:BD11" si="13">BC5 + BC7 -BC9</f>
        <v>94.70094037715694</v>
      </c>
      <c r="BD11" s="188">
        <f t="shared" si="13"/>
        <v>92.533066673272515</v>
      </c>
      <c r="BE11" s="188">
        <f>BE5 + BE7 -BE9</f>
        <v>98.396187006396076</v>
      </c>
      <c r="BF11" s="188">
        <f>BF5 + BF7 -BF9</f>
        <v>111.64578052894785</v>
      </c>
      <c r="BG11" s="189"/>
    </row>
    <row r="12" spans="1:77" ht="20.100000000000001" customHeight="1">
      <c r="A12" s="4" t="s">
        <v>421</v>
      </c>
      <c r="B12" s="100">
        <v>13</v>
      </c>
      <c r="C12" s="100">
        <v>8</v>
      </c>
      <c r="D12" s="100">
        <v>16</v>
      </c>
      <c r="E12" s="100">
        <v>63</v>
      </c>
      <c r="F12" s="100">
        <v>58</v>
      </c>
      <c r="G12" s="100">
        <v>188</v>
      </c>
      <c r="H12" s="100">
        <v>55</v>
      </c>
      <c r="I12" s="100">
        <v>126</v>
      </c>
      <c r="J12" s="100">
        <v>131</v>
      </c>
      <c r="K12" s="100">
        <v>130</v>
      </c>
      <c r="L12" s="122">
        <v>19</v>
      </c>
      <c r="M12" s="122"/>
      <c r="N12" s="193"/>
      <c r="O12" s="99"/>
      <c r="P12" s="99"/>
      <c r="Q12" s="99"/>
      <c r="R12" s="99"/>
      <c r="S12" s="99"/>
      <c r="T12" s="160"/>
      <c r="U12" s="192" t="s">
        <v>414</v>
      </c>
      <c r="V12" s="41"/>
      <c r="W12" s="137">
        <f t="shared" ref="W12:AF12" si="14">(W9-V9)/V9</f>
        <v>-3.2098765432098768E-2</v>
      </c>
      <c r="X12" s="106">
        <f t="shared" si="14"/>
        <v>-6.25E-2</v>
      </c>
      <c r="Y12" s="106">
        <f t="shared" si="14"/>
        <v>-0.11020408163265306</v>
      </c>
      <c r="Z12" s="106">
        <f t="shared" si="14"/>
        <v>0.22935779816513763</v>
      </c>
      <c r="AA12" s="106">
        <f t="shared" si="14"/>
        <v>5.3482587064676616E-2</v>
      </c>
      <c r="AB12" s="106">
        <f t="shared" si="14"/>
        <v>0.21133412042502953</v>
      </c>
      <c r="AC12" s="106">
        <f t="shared" si="14"/>
        <v>8.771929824561403E-2</v>
      </c>
      <c r="AD12" s="106">
        <f t="shared" si="14"/>
        <v>0.85125448028673834</v>
      </c>
      <c r="AE12" s="106">
        <f t="shared" si="14"/>
        <v>0.29138431752178123</v>
      </c>
      <c r="AF12" s="106">
        <f t="shared" si="14"/>
        <v>-7.6836581709145424E-2</v>
      </c>
      <c r="AG12" s="138">
        <f>SUM(W12:AF12)/10</f>
        <v>0.144289317293508</v>
      </c>
      <c r="AP12" s="92"/>
      <c r="AQ12" s="195"/>
      <c r="AR12" s="195"/>
      <c r="AS12" s="195"/>
      <c r="AT12" s="195"/>
      <c r="AU12" s="195"/>
      <c r="AV12" s="195"/>
      <c r="AW12" s="195"/>
      <c r="BB12" s="92"/>
      <c r="BC12" s="92"/>
      <c r="BD12" s="92"/>
      <c r="BE12" s="92"/>
      <c r="BF12" s="92"/>
      <c r="BG12" s="191"/>
    </row>
    <row r="13" spans="1:77" ht="31.5" customHeight="1">
      <c r="A13" s="194" t="s">
        <v>377</v>
      </c>
      <c r="B13" s="99">
        <f t="shared" ref="B13:L13" si="15">SUM(B5:B12)</f>
        <v>1228</v>
      </c>
      <c r="C13" s="99">
        <f t="shared" si="15"/>
        <v>1241</v>
      </c>
      <c r="D13" s="99">
        <f t="shared" si="15"/>
        <v>1214</v>
      </c>
      <c r="E13" s="99">
        <f t="shared" si="15"/>
        <v>1146</v>
      </c>
      <c r="F13" s="99">
        <f t="shared" si="15"/>
        <v>1417</v>
      </c>
      <c r="G13" s="99">
        <f t="shared" si="15"/>
        <v>1963</v>
      </c>
      <c r="H13" s="99">
        <f t="shared" si="15"/>
        <v>1937</v>
      </c>
      <c r="I13" s="99">
        <f t="shared" si="15"/>
        <v>1990</v>
      </c>
      <c r="J13" s="99">
        <f t="shared" si="15"/>
        <v>2929</v>
      </c>
      <c r="K13" s="99">
        <f t="shared" si="15"/>
        <v>4282</v>
      </c>
      <c r="L13" s="121">
        <f t="shared" si="15"/>
        <v>3776</v>
      </c>
      <c r="M13" s="121"/>
      <c r="N13" s="193">
        <f>POWER((L13/C13),0.1)-1</f>
        <v>0.11770198033886969</v>
      </c>
      <c r="O13" s="188">
        <f>SUM(O5:O11)</f>
        <v>3990.6704835185797</v>
      </c>
      <c r="P13" s="188">
        <f>SUM(P5:P11)</f>
        <v>4389.8760525614798</v>
      </c>
      <c r="Q13" s="188">
        <f>SUM(Q5:Q11)</f>
        <v>4919.4009972156109</v>
      </c>
      <c r="R13" s="188">
        <f>SUM(R5:R11)</f>
        <v>5570.9021962584056</v>
      </c>
      <c r="S13" s="188">
        <f>SUM(S5:S11)</f>
        <v>6351.4401109966766</v>
      </c>
      <c r="T13" s="189"/>
      <c r="U13" s="139" t="s">
        <v>422</v>
      </c>
      <c r="V13" s="350" t="s">
        <v>389</v>
      </c>
      <c r="W13" s="351"/>
      <c r="X13" s="351"/>
      <c r="Y13" s="351"/>
      <c r="Z13" s="351"/>
      <c r="AA13" s="351"/>
      <c r="AB13" s="351"/>
      <c r="AC13" s="351"/>
      <c r="AD13" s="351"/>
      <c r="AE13" s="351"/>
      <c r="AF13" s="351"/>
      <c r="AG13" s="351"/>
      <c r="AH13" s="349" t="s">
        <v>390</v>
      </c>
      <c r="AI13" s="349"/>
      <c r="AJ13" s="349"/>
      <c r="AK13" s="349"/>
      <c r="AL13" s="349"/>
      <c r="AQ13" s="195"/>
      <c r="AR13" s="195"/>
      <c r="AT13" s="195"/>
      <c r="AU13" s="195"/>
      <c r="AV13" s="195"/>
      <c r="AW13" s="195"/>
      <c r="BG13" s="160"/>
    </row>
    <row r="14" spans="1:77" ht="18">
      <c r="A14" s="24" t="s">
        <v>388</v>
      </c>
      <c r="B14" s="338" t="s">
        <v>423</v>
      </c>
      <c r="C14" s="339"/>
      <c r="D14" s="339"/>
      <c r="E14" s="339"/>
      <c r="F14" s="339"/>
      <c r="G14" s="339"/>
      <c r="H14" s="339"/>
      <c r="I14" s="339"/>
      <c r="J14" s="339"/>
      <c r="K14" s="339"/>
      <c r="L14" s="339"/>
      <c r="M14" s="339"/>
      <c r="N14" s="339"/>
      <c r="O14" s="155">
        <f>AVERAGE(I11:L11)</f>
        <v>60.75</v>
      </c>
      <c r="P14" s="130"/>
      <c r="Q14" s="130"/>
      <c r="R14" s="130"/>
      <c r="S14" s="130"/>
      <c r="U14" s="103" t="s">
        <v>394</v>
      </c>
      <c r="V14" s="124">
        <v>2014</v>
      </c>
      <c r="W14" s="124">
        <v>2015</v>
      </c>
      <c r="X14" s="124">
        <v>2016</v>
      </c>
      <c r="Y14" s="124">
        <v>2017</v>
      </c>
      <c r="Z14" s="124">
        <v>2018</v>
      </c>
      <c r="AA14" s="124">
        <v>2019</v>
      </c>
      <c r="AB14" s="124">
        <v>2020</v>
      </c>
      <c r="AC14" s="124">
        <v>2021</v>
      </c>
      <c r="AD14" s="124">
        <v>2022</v>
      </c>
      <c r="AE14" s="124">
        <v>2023</v>
      </c>
      <c r="AF14" s="124">
        <v>2024</v>
      </c>
      <c r="AG14" s="128" t="s">
        <v>401</v>
      </c>
      <c r="AH14" s="133" t="s">
        <v>396</v>
      </c>
      <c r="AI14" s="133" t="s">
        <v>397</v>
      </c>
      <c r="AJ14" s="133" t="s">
        <v>398</v>
      </c>
      <c r="AK14" s="133" t="s">
        <v>399</v>
      </c>
      <c r="AL14" s="133" t="s">
        <v>400</v>
      </c>
      <c r="AQ14" s="195"/>
      <c r="AR14" s="195"/>
      <c r="AS14" s="195"/>
      <c r="AT14" s="195"/>
      <c r="AU14" s="195"/>
      <c r="AV14" s="195"/>
      <c r="AW14" s="195"/>
    </row>
    <row r="15" spans="1:77" ht="27" customHeight="1">
      <c r="A15" s="103" t="s">
        <v>424</v>
      </c>
      <c r="B15" s="103">
        <v>2014</v>
      </c>
      <c r="C15" s="103">
        <v>2015</v>
      </c>
      <c r="D15" s="103">
        <v>2016</v>
      </c>
      <c r="E15" s="103">
        <v>2017</v>
      </c>
      <c r="F15" s="103">
        <v>2018</v>
      </c>
      <c r="G15" s="103">
        <v>2019</v>
      </c>
      <c r="H15" s="103">
        <v>2020</v>
      </c>
      <c r="I15" s="103">
        <v>2021</v>
      </c>
      <c r="J15" s="103">
        <v>2022</v>
      </c>
      <c r="K15" s="103">
        <v>2023</v>
      </c>
      <c r="L15" s="103">
        <v>2024</v>
      </c>
      <c r="M15" s="103"/>
      <c r="N15" s="103" t="s">
        <v>326</v>
      </c>
      <c r="O15">
        <f>(P13-O13)/O13</f>
        <v>0.10003471113228073</v>
      </c>
      <c r="P15">
        <f t="shared" ref="P15:S15" si="16">(Q13-P13)/P13</f>
        <v>0.1206241220284921</v>
      </c>
      <c r="Q15">
        <f>(R13-Q13)/Q13</f>
        <v>0.13243506667001642</v>
      </c>
      <c r="R15">
        <f t="shared" si="16"/>
        <v>0.14010978603474764</v>
      </c>
      <c r="S15">
        <f t="shared" si="16"/>
        <v>-1</v>
      </c>
      <c r="U15" s="4" t="s">
        <v>168</v>
      </c>
      <c r="V15" s="196"/>
      <c r="W15" s="196">
        <v>186</v>
      </c>
      <c r="X15" s="196">
        <v>198</v>
      </c>
      <c r="Y15" s="196">
        <v>249</v>
      </c>
      <c r="Z15" s="196">
        <v>309</v>
      </c>
      <c r="AA15" s="196">
        <v>356</v>
      </c>
      <c r="AB15" s="196">
        <v>383</v>
      </c>
      <c r="AC15" s="196">
        <v>445</v>
      </c>
      <c r="AD15" s="196">
        <v>462</v>
      </c>
      <c r="AE15" s="196">
        <v>489</v>
      </c>
      <c r="AF15" s="197">
        <v>400</v>
      </c>
      <c r="AG15" s="125">
        <f>POWER(AF15/W15,0.1)-1</f>
        <v>7.9579687709002256E-2</v>
      </c>
      <c r="AH15" s="99"/>
      <c r="AI15" s="99"/>
      <c r="AJ15" s="99"/>
      <c r="AK15" s="121"/>
      <c r="AL15" s="99"/>
      <c r="AQ15" s="195"/>
      <c r="AR15" s="195"/>
      <c r="AS15" s="195"/>
      <c r="AT15" s="195"/>
      <c r="AU15" s="195"/>
      <c r="AV15" s="195"/>
      <c r="AW15" s="195"/>
    </row>
    <row r="16" spans="1:77" ht="27.6">
      <c r="A16" s="4" t="s">
        <v>404</v>
      </c>
      <c r="B16" s="108">
        <f t="shared" ref="B16:L16" si="17">B5/B$13</f>
        <v>0.50977198697068404</v>
      </c>
      <c r="C16" s="108">
        <f t="shared" si="17"/>
        <v>0.63013698630136983</v>
      </c>
      <c r="D16" s="108">
        <f t="shared" si="17"/>
        <v>0.56754530477759468</v>
      </c>
      <c r="E16" s="108">
        <f t="shared" si="17"/>
        <v>0.57329842931937169</v>
      </c>
      <c r="F16" s="108">
        <f t="shared" si="17"/>
        <v>0.41425546930134088</v>
      </c>
      <c r="G16" s="108">
        <f t="shared" si="17"/>
        <v>0.36933265410086602</v>
      </c>
      <c r="H16" s="108">
        <f t="shared" si="17"/>
        <v>0.39855446566855962</v>
      </c>
      <c r="I16" s="108">
        <f t="shared" si="17"/>
        <v>0.67839195979899503</v>
      </c>
      <c r="J16" s="108">
        <f t="shared" si="17"/>
        <v>0.7196995561625128</v>
      </c>
      <c r="K16" s="108">
        <f t="shared" si="17"/>
        <v>0.60042036431574031</v>
      </c>
      <c r="L16" s="108">
        <f t="shared" si="17"/>
        <v>0.49947033898305082</v>
      </c>
      <c r="M16" s="321"/>
      <c r="N16" s="113">
        <f>SUM(B16:L16)/10</f>
        <v>0.59608775157000848</v>
      </c>
      <c r="U16" s="4" t="s">
        <v>169</v>
      </c>
      <c r="V16" s="196"/>
      <c r="W16" s="196">
        <v>6</v>
      </c>
      <c r="X16" s="196">
        <v>7</v>
      </c>
      <c r="Y16" s="196">
        <v>10</v>
      </c>
      <c r="Z16" s="196">
        <v>19</v>
      </c>
      <c r="AA16" s="196">
        <v>101</v>
      </c>
      <c r="AB16" s="196">
        <v>7</v>
      </c>
      <c r="AC16" s="196">
        <v>4</v>
      </c>
      <c r="AD16" s="196">
        <v>9</v>
      </c>
      <c r="AE16" s="196">
        <v>4</v>
      </c>
      <c r="AF16" s="197">
        <v>4</v>
      </c>
      <c r="AG16" s="125">
        <f t="shared" ref="AG16:AG21" si="18">POWER(AF16/W16,0.1)-1</f>
        <v>-3.9735499207781966E-2</v>
      </c>
      <c r="AH16" s="99"/>
      <c r="AI16" s="99"/>
      <c r="AJ16" s="99"/>
      <c r="AK16" s="121"/>
      <c r="AL16" s="99"/>
      <c r="AQ16" s="195"/>
      <c r="AR16" s="195"/>
      <c r="AS16" s="195"/>
      <c r="AT16" s="195"/>
      <c r="AU16" s="195"/>
      <c r="AV16" s="195"/>
      <c r="AW16" s="195"/>
    </row>
    <row r="17" spans="1:58" ht="27.6">
      <c r="A17" s="4" t="s">
        <v>406</v>
      </c>
      <c r="B17" s="108">
        <f t="shared" ref="B17:H17" si="19">B6/B$13</f>
        <v>0.21661237785016288</v>
      </c>
      <c r="C17" s="108">
        <f t="shared" si="19"/>
        <v>0.21353746978243351</v>
      </c>
      <c r="D17" s="108">
        <f t="shared" si="19"/>
        <v>0.20757825370675453</v>
      </c>
      <c r="E17" s="108">
        <f t="shared" si="19"/>
        <v>0.21029668411867364</v>
      </c>
      <c r="F17" s="108">
        <f t="shared" si="19"/>
        <v>0.18913196894848272</v>
      </c>
      <c r="G17" s="108">
        <f t="shared" si="19"/>
        <v>0.13295975547631178</v>
      </c>
      <c r="H17" s="108">
        <f t="shared" si="19"/>
        <v>0.15539494062983997</v>
      </c>
      <c r="I17" s="104" t="s">
        <v>407</v>
      </c>
      <c r="J17" s="104" t="s">
        <v>407</v>
      </c>
      <c r="K17" s="104" t="s">
        <v>407</v>
      </c>
      <c r="L17" s="104" t="s">
        <v>407</v>
      </c>
      <c r="M17" s="104"/>
      <c r="N17" s="106"/>
      <c r="O17" s="125">
        <f>POWER(S13/O13,0.2)-1</f>
        <v>9.7400788009183614E-2</v>
      </c>
      <c r="U17" s="4" t="s">
        <v>170</v>
      </c>
      <c r="V17" s="196"/>
      <c r="W17" s="196">
        <v>6</v>
      </c>
      <c r="X17" s="196">
        <v>5</v>
      </c>
      <c r="Y17" s="196">
        <v>6</v>
      </c>
      <c r="Z17" s="196">
        <v>5</v>
      </c>
      <c r="AA17" s="196">
        <v>4</v>
      </c>
      <c r="AB17" s="196">
        <v>5</v>
      </c>
      <c r="AC17" s="196">
        <v>5</v>
      </c>
      <c r="AD17" s="196">
        <v>6</v>
      </c>
      <c r="AE17" s="196">
        <v>4</v>
      </c>
      <c r="AF17" s="197">
        <v>5</v>
      </c>
      <c r="AG17" s="125">
        <f t="shared" si="18"/>
        <v>-1.806695543808734E-2</v>
      </c>
      <c r="AH17" s="99"/>
      <c r="AI17" s="99"/>
      <c r="AJ17" s="99"/>
      <c r="AK17" s="121"/>
      <c r="AL17" s="99"/>
      <c r="AQ17" s="195"/>
      <c r="AR17" s="195"/>
      <c r="AT17" s="195"/>
      <c r="AU17" s="195"/>
      <c r="AV17" s="195"/>
      <c r="AW17" s="195"/>
    </row>
    <row r="18" spans="1:58" ht="27.6">
      <c r="A18" s="4" t="s">
        <v>409</v>
      </c>
      <c r="B18" s="104" t="s">
        <v>407</v>
      </c>
      <c r="C18" s="104" t="s">
        <v>407</v>
      </c>
      <c r="D18" s="104" t="s">
        <v>407</v>
      </c>
      <c r="E18" s="104" t="s">
        <v>407</v>
      </c>
      <c r="F18" s="104" t="s">
        <v>407</v>
      </c>
      <c r="G18" s="104" t="s">
        <v>407</v>
      </c>
      <c r="H18" s="104" t="s">
        <v>407</v>
      </c>
      <c r="I18" s="108">
        <f t="shared" ref="I18:L20" si="20">I7/I$13</f>
        <v>6.683417085427136E-2</v>
      </c>
      <c r="J18" s="108">
        <f t="shared" si="20"/>
        <v>5.1212017753499491E-2</v>
      </c>
      <c r="K18" s="108">
        <f t="shared" si="20"/>
        <v>3.5497431106959368E-2</v>
      </c>
      <c r="L18" s="108">
        <f t="shared" si="20"/>
        <v>3.787076271186441E-2</v>
      </c>
      <c r="M18" s="108"/>
      <c r="N18" s="106">
        <f>SUM(I18:L18)/4</f>
        <v>4.7853595606648661E-2</v>
      </c>
      <c r="R18" t="s">
        <v>277</v>
      </c>
      <c r="U18" s="4" t="s">
        <v>171</v>
      </c>
      <c r="V18" s="196"/>
      <c r="W18" s="196"/>
      <c r="X18" s="196"/>
      <c r="Y18" s="196"/>
      <c r="Z18" s="196"/>
      <c r="AA18" s="196"/>
      <c r="AB18" s="196">
        <v>69</v>
      </c>
      <c r="AC18" s="196">
        <v>71</v>
      </c>
      <c r="AD18" s="196">
        <v>67</v>
      </c>
      <c r="AE18" s="196">
        <v>66</v>
      </c>
      <c r="AF18" s="197">
        <v>84</v>
      </c>
      <c r="AG18" s="125"/>
      <c r="AH18" s="99"/>
      <c r="AI18" s="99"/>
      <c r="AJ18" s="99"/>
      <c r="AK18" s="121"/>
      <c r="AL18" s="99"/>
      <c r="AQ18" s="195"/>
      <c r="AR18" s="195"/>
      <c r="AS18" s="195"/>
      <c r="AV18" s="195"/>
      <c r="AW18" s="195"/>
    </row>
    <row r="19" spans="1:58" ht="27.6">
      <c r="A19" s="4" t="s">
        <v>411</v>
      </c>
      <c r="B19" s="108">
        <f t="shared" ref="B19:H20" si="21">B8/B$13</f>
        <v>9.6905537459283389E-2</v>
      </c>
      <c r="C19" s="108">
        <f t="shared" si="21"/>
        <v>9.9919419822723607E-2</v>
      </c>
      <c r="D19" s="108">
        <f t="shared" si="21"/>
        <v>9.4728171334431635E-2</v>
      </c>
      <c r="E19" s="108">
        <f t="shared" si="21"/>
        <v>0.12739965095986039</v>
      </c>
      <c r="F19" s="108">
        <f t="shared" si="21"/>
        <v>0.12702893436838392</v>
      </c>
      <c r="G19" s="108">
        <f t="shared" si="21"/>
        <v>0.14926133469179828</v>
      </c>
      <c r="H19" s="108">
        <f t="shared" si="21"/>
        <v>0.20185854414042334</v>
      </c>
      <c r="I19" s="108">
        <f t="shared" si="20"/>
        <v>0.15879396984924624</v>
      </c>
      <c r="J19" s="108">
        <f t="shared" si="20"/>
        <v>0.14919767838852852</v>
      </c>
      <c r="K19" s="108">
        <f t="shared" si="20"/>
        <v>8.7342363381597385E-2</v>
      </c>
      <c r="L19" s="108">
        <f t="shared" si="20"/>
        <v>0.10010593220338983</v>
      </c>
      <c r="M19" s="108"/>
      <c r="N19" s="106">
        <f>SUM(B19:L19)/10</f>
        <v>0.13925415365996666</v>
      </c>
      <c r="U19" s="4" t="s">
        <v>172</v>
      </c>
      <c r="V19" s="196"/>
      <c r="W19" s="196">
        <v>12</v>
      </c>
      <c r="X19" s="196">
        <v>4</v>
      </c>
      <c r="Y19" s="196">
        <v>5</v>
      </c>
      <c r="Z19" s="196">
        <v>24</v>
      </c>
      <c r="AA19" s="196">
        <v>105</v>
      </c>
      <c r="AB19" s="196">
        <v>81</v>
      </c>
      <c r="AC19" s="196">
        <v>80</v>
      </c>
      <c r="AD19" s="196">
        <v>82</v>
      </c>
      <c r="AE19" s="196">
        <v>74</v>
      </c>
      <c r="AF19" s="197">
        <v>93</v>
      </c>
      <c r="AG19" s="125">
        <f t="shared" si="18"/>
        <v>0.22724188837127701</v>
      </c>
      <c r="AH19" s="99"/>
      <c r="AI19" s="99"/>
      <c r="AJ19" s="99"/>
      <c r="AK19" s="121"/>
      <c r="AL19" s="99"/>
      <c r="AQ19" s="334" t="s">
        <v>425</v>
      </c>
      <c r="AR19" s="335"/>
      <c r="AS19" s="335"/>
      <c r="AT19" s="335"/>
      <c r="AU19" s="335"/>
      <c r="AV19" s="335"/>
      <c r="AW19" s="335"/>
      <c r="AX19" s="335"/>
      <c r="AY19" s="336"/>
    </row>
    <row r="20" spans="1:58" ht="29.25" customHeight="1">
      <c r="A20" s="4" t="s">
        <v>413</v>
      </c>
      <c r="B20" s="108">
        <f t="shared" si="21"/>
        <v>6.7589576547231273E-2</v>
      </c>
      <c r="C20" s="108">
        <f t="shared" si="21"/>
        <v>9.1861402095084616E-2</v>
      </c>
      <c r="D20" s="108">
        <f t="shared" si="21"/>
        <v>0.10626029654036244</v>
      </c>
      <c r="E20" s="108">
        <f t="shared" si="21"/>
        <v>0.17539267015706805</v>
      </c>
      <c r="F20" s="108">
        <f t="shared" si="21"/>
        <v>0.2145377558221595</v>
      </c>
      <c r="G20" s="108">
        <f t="shared" si="21"/>
        <v>0.22873153336729496</v>
      </c>
      <c r="H20" s="108">
        <f t="shared" si="21"/>
        <v>0.23902942694889004</v>
      </c>
      <c r="I20" s="108">
        <f t="shared" si="20"/>
        <v>0.20201005025125629</v>
      </c>
      <c r="J20" s="108">
        <f t="shared" si="20"/>
        <v>0.18231478320245817</v>
      </c>
      <c r="K20" s="108">
        <f t="shared" si="20"/>
        <v>0.11466604390471742</v>
      </c>
      <c r="L20" s="108">
        <f t="shared" si="20"/>
        <v>0.23914194915254236</v>
      </c>
      <c r="M20" s="108"/>
      <c r="N20" s="106">
        <f>SUM(B20:L20)/10</f>
        <v>0.1861535487989065</v>
      </c>
      <c r="U20" s="4" t="s">
        <v>173</v>
      </c>
      <c r="V20" s="196"/>
      <c r="W20" s="196"/>
      <c r="X20" s="196"/>
      <c r="Y20" s="196"/>
      <c r="Z20" s="196"/>
      <c r="AA20" s="196">
        <v>8</v>
      </c>
      <c r="AB20" s="196">
        <v>9</v>
      </c>
      <c r="AC20" s="196">
        <v>9</v>
      </c>
      <c r="AD20" s="196">
        <v>9</v>
      </c>
      <c r="AE20" s="196">
        <v>10</v>
      </c>
      <c r="AF20" s="197">
        <v>10</v>
      </c>
      <c r="AG20" s="125"/>
      <c r="AH20" s="99"/>
      <c r="AI20" s="99"/>
      <c r="AJ20" s="99"/>
      <c r="AK20" s="121"/>
      <c r="AL20" s="99"/>
      <c r="AQ20" s="149"/>
      <c r="AR20" s="333" t="s">
        <v>426</v>
      </c>
      <c r="AS20" s="333"/>
      <c r="AT20" s="150"/>
      <c r="AU20" s="333" t="s">
        <v>427</v>
      </c>
      <c r="AV20" s="333"/>
      <c r="AW20" s="150"/>
      <c r="AX20" s="333" t="s">
        <v>428</v>
      </c>
      <c r="AY20" s="333"/>
    </row>
    <row r="21" spans="1:58" ht="29.25" customHeight="1">
      <c r="A21" s="4" t="s">
        <v>416</v>
      </c>
      <c r="B21" s="104" t="s">
        <v>407</v>
      </c>
      <c r="C21" s="104" t="s">
        <v>407</v>
      </c>
      <c r="D21" s="104" t="s">
        <v>407</v>
      </c>
      <c r="E21" s="104" t="s">
        <v>407</v>
      </c>
      <c r="F21" s="104" t="s">
        <v>407</v>
      </c>
      <c r="G21" s="104" t="s">
        <v>407</v>
      </c>
      <c r="H21" s="104" t="s">
        <v>407</v>
      </c>
      <c r="I21" s="104" t="s">
        <v>407</v>
      </c>
      <c r="J21" s="104" t="s">
        <v>407</v>
      </c>
      <c r="K21" s="104" t="s">
        <v>407</v>
      </c>
      <c r="L21" s="104" t="s">
        <v>407</v>
      </c>
      <c r="M21" s="104"/>
      <c r="N21" s="106"/>
      <c r="U21" s="131" t="s">
        <v>93</v>
      </c>
      <c r="V21" s="198">
        <v>160</v>
      </c>
      <c r="W21" s="198">
        <v>215</v>
      </c>
      <c r="X21" s="198">
        <v>216</v>
      </c>
      <c r="Y21" s="198">
        <v>271</v>
      </c>
      <c r="Z21" s="198">
        <v>335</v>
      </c>
      <c r="AA21" s="198">
        <v>473</v>
      </c>
      <c r="AB21" s="198">
        <v>478</v>
      </c>
      <c r="AC21" s="198">
        <v>539</v>
      </c>
      <c r="AD21" s="198">
        <v>553</v>
      </c>
      <c r="AE21" s="198">
        <v>574</v>
      </c>
      <c r="AF21" s="199">
        <v>503</v>
      </c>
      <c r="AG21" s="125">
        <f t="shared" si="18"/>
        <v>8.8711856325688787E-2</v>
      </c>
      <c r="AH21" s="188">
        <f>AF21*(1+AG21)</f>
        <v>547.62206373182141</v>
      </c>
      <c r="AI21" s="188">
        <f>AH21*(1+AG21)</f>
        <v>596.20263357037595</v>
      </c>
      <c r="AJ21" s="188">
        <f>AI21*(1+AG21)</f>
        <v>649.09287594066848</v>
      </c>
      <c r="AK21" s="200">
        <f>AJ21*(1+AG21)</f>
        <v>706.67510989314519</v>
      </c>
      <c r="AL21" s="188">
        <f>AK21*(1+AG21)</f>
        <v>769.36557071092625</v>
      </c>
      <c r="AM21" s="189"/>
      <c r="AQ21" s="201" t="s">
        <v>429</v>
      </c>
      <c r="AR21" s="201">
        <v>71.25</v>
      </c>
      <c r="AS21" s="201"/>
      <c r="AT21" s="180"/>
      <c r="AU21" s="180">
        <v>23.13</v>
      </c>
      <c r="AV21" s="201"/>
      <c r="AW21" s="180"/>
      <c r="AX21" s="201">
        <v>7100</v>
      </c>
      <c r="AY21" s="180"/>
    </row>
    <row r="22" spans="1:58" ht="41.4">
      <c r="A22" s="4" t="s">
        <v>430</v>
      </c>
      <c r="B22" s="109">
        <f t="shared" ref="B22:L22" si="22">B11/B$13</f>
        <v>9.8534201954397396E-2</v>
      </c>
      <c r="C22" s="109">
        <f t="shared" si="22"/>
        <v>-4.1901692183722805E-2</v>
      </c>
      <c r="D22" s="109">
        <f t="shared" si="22"/>
        <v>1.070840197693575E-2</v>
      </c>
      <c r="E22" s="109">
        <f t="shared" si="22"/>
        <v>-0.14136125654450263</v>
      </c>
      <c r="F22" s="109">
        <f t="shared" si="22"/>
        <v>1.4114326040931546E-2</v>
      </c>
      <c r="G22" s="110">
        <f t="shared" si="22"/>
        <v>2.3942944472745798E-2</v>
      </c>
      <c r="H22" s="110">
        <f t="shared" si="22"/>
        <v>-2.3231801755291687E-2</v>
      </c>
      <c r="I22" s="110">
        <f t="shared" si="22"/>
        <v>-0.16934673366834171</v>
      </c>
      <c r="J22" s="110">
        <f t="shared" si="22"/>
        <v>-0.14714919767838852</v>
      </c>
      <c r="K22" s="110">
        <f t="shared" si="22"/>
        <v>0.13171415226529659</v>
      </c>
      <c r="L22" s="110">
        <f t="shared" si="22"/>
        <v>0.1183792372881356</v>
      </c>
      <c r="M22" s="110"/>
      <c r="N22" s="123">
        <f>SUM(B22:L22)/10</f>
        <v>-1.2559741783180468E-2</v>
      </c>
      <c r="U22" s="103" t="s">
        <v>294</v>
      </c>
      <c r="V22" s="103">
        <v>2014</v>
      </c>
      <c r="W22" s="103">
        <v>2015</v>
      </c>
      <c r="X22" s="103">
        <v>2016</v>
      </c>
      <c r="Y22" s="103">
        <v>2017</v>
      </c>
      <c r="Z22" s="103">
        <v>2018</v>
      </c>
      <c r="AA22" s="103">
        <v>2019</v>
      </c>
      <c r="AB22" s="103">
        <v>2020</v>
      </c>
      <c r="AC22" s="103">
        <v>2021</v>
      </c>
      <c r="AD22" s="103">
        <v>2022</v>
      </c>
      <c r="AE22" s="103">
        <v>2023</v>
      </c>
      <c r="AF22" s="103">
        <v>2024</v>
      </c>
      <c r="AG22" s="132" t="s">
        <v>326</v>
      </c>
      <c r="AH22" s="41"/>
      <c r="AI22" s="41"/>
      <c r="AJ22" s="41"/>
      <c r="AK22" s="161"/>
      <c r="AL22" s="134"/>
      <c r="AQ22" s="201" t="s">
        <v>431</v>
      </c>
      <c r="AR22" s="180">
        <v>155.47</v>
      </c>
      <c r="AS22" s="180"/>
      <c r="AT22" s="180"/>
      <c r="AU22" s="180">
        <v>5</v>
      </c>
      <c r="AV22" s="201"/>
      <c r="AW22" s="201"/>
      <c r="AX22" s="201"/>
      <c r="AY22" s="180"/>
    </row>
    <row r="23" spans="1:58" ht="15.6">
      <c r="A23" s="4" t="s">
        <v>421</v>
      </c>
      <c r="B23" s="109">
        <f t="shared" ref="B23:L23" si="23">B12/B$13</f>
        <v>1.0586319218241042E-2</v>
      </c>
      <c r="C23" s="109">
        <f t="shared" si="23"/>
        <v>6.4464141821112004E-3</v>
      </c>
      <c r="D23" s="109">
        <f t="shared" si="23"/>
        <v>1.3179571663920923E-2</v>
      </c>
      <c r="E23" s="109">
        <f t="shared" si="23"/>
        <v>5.4973821989528798E-2</v>
      </c>
      <c r="F23" s="109">
        <f t="shared" si="23"/>
        <v>4.0931545518701484E-2</v>
      </c>
      <c r="G23" s="110">
        <f t="shared" si="23"/>
        <v>9.5771777890983192E-2</v>
      </c>
      <c r="H23" s="110">
        <f t="shared" si="23"/>
        <v>2.8394424367578729E-2</v>
      </c>
      <c r="I23" s="110">
        <f t="shared" si="23"/>
        <v>6.3316582914572858E-2</v>
      </c>
      <c r="J23" s="110">
        <f t="shared" si="23"/>
        <v>4.4725162171389554E-2</v>
      </c>
      <c r="K23" s="110">
        <f t="shared" si="23"/>
        <v>3.0359645025688931E-2</v>
      </c>
      <c r="L23" s="110">
        <f t="shared" si="23"/>
        <v>5.0317796610169488E-3</v>
      </c>
      <c r="M23" s="110"/>
      <c r="N23" s="123">
        <f>SUM(B23:L23)/10</f>
        <v>3.9371704460373365E-2</v>
      </c>
      <c r="U23" s="98" t="s">
        <v>161</v>
      </c>
      <c r="V23" s="106"/>
      <c r="W23" s="106">
        <f t="shared" ref="W23:AF23" si="24">(W21-V21)/V21</f>
        <v>0.34375</v>
      </c>
      <c r="X23" s="106">
        <f t="shared" si="24"/>
        <v>4.6511627906976744E-3</v>
      </c>
      <c r="Y23" s="106">
        <f t="shared" si="24"/>
        <v>0.25462962962962965</v>
      </c>
      <c r="Z23" s="106">
        <f t="shared" si="24"/>
        <v>0.23616236162361623</v>
      </c>
      <c r="AA23" s="106">
        <f t="shared" si="24"/>
        <v>0.41194029850746267</v>
      </c>
      <c r="AB23" s="106">
        <f t="shared" si="24"/>
        <v>1.0570824524312896E-2</v>
      </c>
      <c r="AC23" s="106">
        <f t="shared" si="24"/>
        <v>0.12761506276150628</v>
      </c>
      <c r="AD23" s="106">
        <f t="shared" si="24"/>
        <v>2.5974025974025976E-2</v>
      </c>
      <c r="AE23" s="106">
        <f t="shared" si="24"/>
        <v>3.7974683544303799E-2</v>
      </c>
      <c r="AF23" s="106">
        <f t="shared" si="24"/>
        <v>-0.12369337979094076</v>
      </c>
      <c r="AG23" s="125">
        <f>SUM(W23:AF23)/10</f>
        <v>0.13295746695646143</v>
      </c>
      <c r="AH23" s="41"/>
      <c r="AI23" s="41"/>
      <c r="AJ23" s="41"/>
      <c r="AK23" s="161"/>
      <c r="AL23" s="41"/>
      <c r="AP23" s="195"/>
      <c r="AQ23" s="185" t="s">
        <v>432</v>
      </c>
      <c r="AR23" s="202">
        <f>AR21*AR22</f>
        <v>11077.237499999999</v>
      </c>
      <c r="AS23" s="201"/>
      <c r="AT23" s="185" t="s">
        <v>433</v>
      </c>
      <c r="AU23" s="202">
        <f>AU21*AU22</f>
        <v>115.64999999999999</v>
      </c>
      <c r="AV23" s="201"/>
      <c r="AW23" s="202" t="s">
        <v>434</v>
      </c>
      <c r="AX23" s="202">
        <f>AX21</f>
        <v>7100</v>
      </c>
      <c r="AY23" s="180"/>
      <c r="BD23" t="s">
        <v>435</v>
      </c>
      <c r="BE23" s="117">
        <f>AR23/$AS$24</f>
        <v>0.60940159361399115</v>
      </c>
      <c r="BF23" s="118">
        <f>AR23/$AS$24</f>
        <v>0.60940159361399115</v>
      </c>
    </row>
    <row r="24" spans="1:58" ht="15.6">
      <c r="A24" s="203" t="s">
        <v>377</v>
      </c>
      <c r="B24" s="111">
        <f t="shared" ref="B24:L24" si="25">SUM(B16:B23)</f>
        <v>1</v>
      </c>
      <c r="C24" s="111">
        <f t="shared" si="25"/>
        <v>1</v>
      </c>
      <c r="D24" s="111">
        <f t="shared" si="25"/>
        <v>1</v>
      </c>
      <c r="E24" s="111">
        <f t="shared" si="25"/>
        <v>1</v>
      </c>
      <c r="F24" s="111">
        <f t="shared" si="25"/>
        <v>1</v>
      </c>
      <c r="G24" s="111">
        <f t="shared" si="25"/>
        <v>1</v>
      </c>
      <c r="H24" s="111">
        <f t="shared" si="25"/>
        <v>1</v>
      </c>
      <c r="I24" s="111">
        <f t="shared" si="25"/>
        <v>1</v>
      </c>
      <c r="J24" s="111">
        <f t="shared" si="25"/>
        <v>1</v>
      </c>
      <c r="K24" s="111">
        <f t="shared" si="25"/>
        <v>1</v>
      </c>
      <c r="L24" s="111">
        <f t="shared" si="25"/>
        <v>1</v>
      </c>
      <c r="M24" s="111"/>
      <c r="N24" s="111"/>
      <c r="AP24" s="195"/>
      <c r="AQ24" s="202" t="s">
        <v>436</v>
      </c>
      <c r="AR24" s="202"/>
      <c r="AS24" s="202">
        <f>AR23+AX23</f>
        <v>18177.237499999999</v>
      </c>
      <c r="AT24" s="201"/>
      <c r="AU24" s="201"/>
      <c r="AV24" s="201"/>
      <c r="AW24" s="201"/>
      <c r="AX24" s="180"/>
      <c r="AY24" s="180"/>
      <c r="BD24" t="s">
        <v>437</v>
      </c>
      <c r="BE24" s="117">
        <f>AU23/$AS$24</f>
        <v>6.3623529152875948E-3</v>
      </c>
      <c r="BF24" s="118">
        <f t="shared" ref="BF24:BF25" si="26">BE24/$AS$24</f>
        <v>3.5001759289812852E-7</v>
      </c>
    </row>
    <row r="25" spans="1:58" ht="36" customHeight="1">
      <c r="A25" s="24" t="s">
        <v>388</v>
      </c>
      <c r="B25" s="338" t="s">
        <v>438</v>
      </c>
      <c r="C25" s="339"/>
      <c r="D25" s="339"/>
      <c r="E25" s="339"/>
      <c r="F25" s="339"/>
      <c r="G25" s="339"/>
      <c r="H25" s="339"/>
      <c r="I25" s="339"/>
      <c r="J25" s="339"/>
      <c r="K25" s="339"/>
      <c r="L25" s="339"/>
      <c r="M25" s="339"/>
      <c r="N25" s="339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Q25" s="185" t="s">
        <v>439</v>
      </c>
      <c r="AR25" s="180"/>
      <c r="AS25" s="151">
        <f>7.58/100</f>
        <v>7.5800000000000006E-2</v>
      </c>
      <c r="AT25" s="201"/>
      <c r="AU25" s="180"/>
      <c r="AV25" s="201"/>
      <c r="AW25" s="201"/>
      <c r="AX25" s="180"/>
      <c r="AY25" s="180"/>
      <c r="BD25" t="s">
        <v>440</v>
      </c>
      <c r="BE25" s="117">
        <f>AX23/$AS$24</f>
        <v>0.3905984063860089</v>
      </c>
      <c r="BF25" s="118">
        <f t="shared" si="26"/>
        <v>2.1488326066378838E-5</v>
      </c>
    </row>
    <row r="26" spans="1:58" ht="24" customHeight="1">
      <c r="A26" s="103" t="s">
        <v>294</v>
      </c>
      <c r="B26" s="103">
        <v>2014</v>
      </c>
      <c r="C26" s="103">
        <v>2015</v>
      </c>
      <c r="D26" s="103">
        <v>2016</v>
      </c>
      <c r="E26" s="103">
        <v>2017</v>
      </c>
      <c r="F26" s="103">
        <v>2018</v>
      </c>
      <c r="G26" s="103">
        <v>2019</v>
      </c>
      <c r="H26" s="103">
        <v>2020</v>
      </c>
      <c r="I26" s="103">
        <v>2021</v>
      </c>
      <c r="J26" s="103">
        <v>2022</v>
      </c>
      <c r="K26" s="103">
        <v>2023</v>
      </c>
      <c r="L26" s="103">
        <v>2024</v>
      </c>
      <c r="M26" s="103"/>
      <c r="N26" s="103" t="s">
        <v>326</v>
      </c>
      <c r="U26" s="345"/>
      <c r="V26" s="342" t="s">
        <v>441</v>
      </c>
      <c r="W26" s="344"/>
      <c r="X26" s="344"/>
      <c r="Y26" s="344"/>
      <c r="Z26" s="344"/>
      <c r="AQ26" s="202" t="s">
        <v>442</v>
      </c>
      <c r="AR26" s="201"/>
      <c r="AS26" s="151">
        <f>AS27/AS28*(1-AS29)</f>
        <v>2.9652665716210499E-2</v>
      </c>
      <c r="AT26" s="201"/>
      <c r="AU26" s="201"/>
      <c r="AV26" s="201"/>
      <c r="AW26" s="201"/>
      <c r="AX26" s="180"/>
      <c r="AY26" s="180"/>
      <c r="BE26" s="117">
        <f>SUM(BE23:BE25)</f>
        <v>1.0063623529152876</v>
      </c>
    </row>
    <row r="27" spans="1:58" ht="36" customHeight="1">
      <c r="A27" s="4" t="s">
        <v>404</v>
      </c>
      <c r="B27" s="106"/>
      <c r="C27" s="106">
        <f t="shared" ref="C27:K27" si="27">(C5-B5)/B5</f>
        <v>0.24920127795527156</v>
      </c>
      <c r="D27" s="106">
        <f t="shared" si="27"/>
        <v>-0.11892583120204604</v>
      </c>
      <c r="E27" s="106">
        <f t="shared" si="27"/>
        <v>-4.6444121915820029E-2</v>
      </c>
      <c r="F27" s="106">
        <f t="shared" si="27"/>
        <v>-0.106544901065449</v>
      </c>
      <c r="G27" s="106">
        <f t="shared" si="27"/>
        <v>0.23509369676320271</v>
      </c>
      <c r="H27" s="106">
        <f t="shared" si="27"/>
        <v>6.4827586206896548E-2</v>
      </c>
      <c r="I27" s="106">
        <f t="shared" si="27"/>
        <v>0.74870466321243523</v>
      </c>
      <c r="J27" s="106">
        <f t="shared" si="27"/>
        <v>0.56148148148148147</v>
      </c>
      <c r="K27" s="106">
        <f t="shared" si="27"/>
        <v>0.21963946869070208</v>
      </c>
      <c r="L27" s="106">
        <f>(L5-K5)/K5</f>
        <v>-0.26643329443796188</v>
      </c>
      <c r="M27" s="106"/>
      <c r="N27" s="106">
        <f>SUM(C27:L27)/10</f>
        <v>0.15406000256887126</v>
      </c>
      <c r="U27" s="345"/>
      <c r="V27" s="127" t="s">
        <v>396</v>
      </c>
      <c r="W27" s="127" t="s">
        <v>397</v>
      </c>
      <c r="X27" s="127" t="s">
        <v>398</v>
      </c>
      <c r="Y27" s="133" t="s">
        <v>399</v>
      </c>
      <c r="Z27" s="133" t="s">
        <v>400</v>
      </c>
      <c r="AQ27" s="201" t="s">
        <v>443</v>
      </c>
      <c r="AR27" s="201"/>
      <c r="AS27" s="201">
        <f>-'Income sheet'!B39</f>
        <v>270</v>
      </c>
      <c r="AT27" s="201"/>
      <c r="AU27" s="201"/>
      <c r="AV27" s="201"/>
      <c r="AW27" s="204"/>
      <c r="AX27" s="180"/>
      <c r="AY27" s="180"/>
    </row>
    <row r="28" spans="1:58" ht="15.6">
      <c r="A28" s="4" t="s">
        <v>406</v>
      </c>
      <c r="B28" s="106"/>
      <c r="C28" s="106">
        <f t="shared" ref="C28:H28" si="28">(C6-B6)/B6</f>
        <v>-3.7593984962406013E-3</v>
      </c>
      <c r="D28" s="106">
        <f t="shared" si="28"/>
        <v>-4.9056603773584909E-2</v>
      </c>
      <c r="E28" s="106">
        <f t="shared" si="28"/>
        <v>-4.3650793650793648E-2</v>
      </c>
      <c r="F28" s="106">
        <f t="shared" si="28"/>
        <v>0.11203319502074689</v>
      </c>
      <c r="G28" s="106">
        <f t="shared" si="28"/>
        <v>-2.6119402985074626E-2</v>
      </c>
      <c r="H28" s="106">
        <f t="shared" si="28"/>
        <v>0.1532567049808429</v>
      </c>
      <c r="I28" s="104" t="s">
        <v>407</v>
      </c>
      <c r="J28" s="104" t="s">
        <v>407</v>
      </c>
      <c r="K28" s="104" t="s">
        <v>407</v>
      </c>
      <c r="L28" s="104" t="s">
        <v>407</v>
      </c>
      <c r="M28" s="104"/>
      <c r="N28" s="106"/>
      <c r="U28" s="152" t="s">
        <v>377</v>
      </c>
      <c r="V28" s="205">
        <f>O13</f>
        <v>3990.6704835185797</v>
      </c>
      <c r="W28" s="205">
        <f t="shared" ref="W28:X28" si="29">P13</f>
        <v>4389.8760525614798</v>
      </c>
      <c r="X28" s="206">
        <f t="shared" si="29"/>
        <v>4919.4009972156109</v>
      </c>
      <c r="Y28" s="196">
        <f>R13</f>
        <v>5570.9021962584056</v>
      </c>
      <c r="Z28" s="196">
        <f>S13</f>
        <v>6351.4401109966766</v>
      </c>
      <c r="AQ28" s="201" t="s">
        <v>444</v>
      </c>
      <c r="AR28" s="201"/>
      <c r="AS28" s="201">
        <f>AX23</f>
        <v>7100</v>
      </c>
      <c r="AT28" s="201"/>
      <c r="AU28" s="201"/>
      <c r="AV28" s="201"/>
      <c r="AW28" s="201"/>
      <c r="AX28" s="180"/>
      <c r="AY28" s="180"/>
    </row>
    <row r="29" spans="1:58" ht="27.6">
      <c r="A29" s="4" t="s">
        <v>409</v>
      </c>
      <c r="B29" s="106"/>
      <c r="C29" s="104" t="s">
        <v>407</v>
      </c>
      <c r="D29" s="104" t="s">
        <v>407</v>
      </c>
      <c r="E29" s="104" t="s">
        <v>407</v>
      </c>
      <c r="F29" s="104" t="s">
        <v>407</v>
      </c>
      <c r="G29" s="104" t="s">
        <v>407</v>
      </c>
      <c r="H29" s="104" t="s">
        <v>407</v>
      </c>
      <c r="I29" s="104" t="s">
        <v>407</v>
      </c>
      <c r="J29" s="106">
        <f t="shared" ref="J29:K31" si="30">(J7-I7)/I7</f>
        <v>0.12781954887218044</v>
      </c>
      <c r="K29" s="106">
        <f t="shared" si="30"/>
        <v>1.3333333333333334E-2</v>
      </c>
      <c r="L29" s="106">
        <f>(L7-K7)/K7</f>
        <v>-5.921052631578947E-2</v>
      </c>
      <c r="M29" s="106"/>
      <c r="N29" s="106">
        <f>SUM(C29:L29)/3</f>
        <v>2.7314118629908107E-2</v>
      </c>
      <c r="U29" s="153" t="s">
        <v>445</v>
      </c>
      <c r="V29" s="106">
        <f>(V28-L13)/L13</f>
        <v>5.6851293304708596E-2</v>
      </c>
      <c r="W29" s="106">
        <f>(W28-V28)/V28</f>
        <v>0.10003471113228073</v>
      </c>
      <c r="X29" s="113">
        <f>(X28-W28)/W28</f>
        <v>0.1206241220284921</v>
      </c>
      <c r="Y29" s="165">
        <f>(Y28-X28)/X28</f>
        <v>0.13243506667001642</v>
      </c>
      <c r="Z29" s="106">
        <f>(Z28-Y28)/Y28</f>
        <v>0.14010978603474764</v>
      </c>
      <c r="AQ29" s="202" t="s">
        <v>446</v>
      </c>
      <c r="AR29" s="201"/>
      <c r="AS29" s="151">
        <f>AS30/AS31</f>
        <v>0.22024471635150167</v>
      </c>
      <c r="AT29" s="201"/>
      <c r="AU29" s="201"/>
      <c r="AV29" s="201"/>
      <c r="AW29" s="201"/>
      <c r="AX29" s="180"/>
      <c r="AY29" s="180"/>
    </row>
    <row r="30" spans="1:58" ht="15.6">
      <c r="A30" s="4" t="s">
        <v>411</v>
      </c>
      <c r="B30" s="106"/>
      <c r="C30" s="106">
        <f t="shared" ref="C30:I31" si="31">(C8-B8)/B8</f>
        <v>4.2016806722689079E-2</v>
      </c>
      <c r="D30" s="106">
        <f t="shared" si="31"/>
        <v>-7.2580645161290328E-2</v>
      </c>
      <c r="E30" s="106">
        <f t="shared" si="31"/>
        <v>0.26956521739130435</v>
      </c>
      <c r="F30" s="106">
        <f t="shared" si="31"/>
        <v>0.23287671232876711</v>
      </c>
      <c r="G30" s="106">
        <f t="shared" si="31"/>
        <v>0.62777777777777777</v>
      </c>
      <c r="H30" s="106">
        <f t="shared" si="31"/>
        <v>0.33447098976109213</v>
      </c>
      <c r="I30" s="106">
        <f t="shared" si="31"/>
        <v>-0.1918158567774936</v>
      </c>
      <c r="J30" s="106">
        <f t="shared" si="30"/>
        <v>0.38291139240506328</v>
      </c>
      <c r="K30" s="106">
        <f t="shared" si="30"/>
        <v>-0.14416475972540047</v>
      </c>
      <c r="L30" s="106">
        <f>(L8-K8)/K8</f>
        <v>1.06951871657754E-2</v>
      </c>
      <c r="M30" s="106"/>
      <c r="N30" s="106">
        <f>SUM(C30:L30)/10</f>
        <v>0.14917528218882847</v>
      </c>
      <c r="U30" s="207" t="s">
        <v>447</v>
      </c>
      <c r="V30" s="196">
        <f>AH9</f>
        <v>2770.5483168364444</v>
      </c>
      <c r="W30" s="196">
        <f>AI9</f>
        <v>3118.1517797198949</v>
      </c>
      <c r="X30" s="196">
        <f>AJ9</f>
        <v>3511.179994063953</v>
      </c>
      <c r="Y30" s="205">
        <f>AK9</f>
        <v>3955.7359885149499</v>
      </c>
      <c r="Z30" s="205">
        <f>AL9</f>
        <v>4458.7575716504443</v>
      </c>
      <c r="AQ30" s="201" t="s">
        <v>448</v>
      </c>
      <c r="AR30" s="201"/>
      <c r="AS30" s="201">
        <f>'Income sheet'!B65</f>
        <v>198</v>
      </c>
      <c r="AT30" s="201"/>
      <c r="AU30" s="201"/>
      <c r="AV30" s="201"/>
      <c r="AW30" s="201"/>
      <c r="AX30" s="180"/>
      <c r="AY30" s="180"/>
    </row>
    <row r="31" spans="1:58" ht="15.6">
      <c r="A31" s="4" t="s">
        <v>413</v>
      </c>
      <c r="B31" s="106"/>
      <c r="C31" s="106">
        <f t="shared" si="31"/>
        <v>0.37349397590361444</v>
      </c>
      <c r="D31" s="106">
        <f t="shared" si="31"/>
        <v>0.13157894736842105</v>
      </c>
      <c r="E31" s="106">
        <f t="shared" si="31"/>
        <v>0.55813953488372092</v>
      </c>
      <c r="F31" s="106">
        <f t="shared" si="31"/>
        <v>0.51243781094527363</v>
      </c>
      <c r="G31" s="106">
        <f t="shared" si="31"/>
        <v>0.47697368421052633</v>
      </c>
      <c r="H31" s="106">
        <f t="shared" si="31"/>
        <v>3.1180400890868598E-2</v>
      </c>
      <c r="I31" s="106">
        <f t="shared" si="31"/>
        <v>-0.13174946004319654</v>
      </c>
      <c r="J31" s="106">
        <f t="shared" si="30"/>
        <v>0.32835820895522388</v>
      </c>
      <c r="K31" s="106">
        <f t="shared" si="30"/>
        <v>-8.0524344569288392E-2</v>
      </c>
      <c r="L31" s="106">
        <f>(L9-K9)/K9</f>
        <v>0.83910386965376782</v>
      </c>
      <c r="M31" s="106"/>
      <c r="N31" s="106">
        <f>SUM(C31:L31)/10</f>
        <v>0.30389926281989321</v>
      </c>
      <c r="U31" s="152" t="s">
        <v>93</v>
      </c>
      <c r="V31" s="196">
        <f>AH21</f>
        <v>547.62206373182141</v>
      </c>
      <c r="W31" s="196">
        <f>AI21</f>
        <v>596.20263357037595</v>
      </c>
      <c r="X31" s="196">
        <f>AJ21</f>
        <v>649.09287594066848</v>
      </c>
      <c r="Y31" s="196">
        <f>AK21</f>
        <v>706.67510989314519</v>
      </c>
      <c r="Z31" s="196">
        <f>AL21</f>
        <v>769.36557071092625</v>
      </c>
      <c r="AQ31" s="180" t="s">
        <v>449</v>
      </c>
      <c r="AR31" s="180"/>
      <c r="AS31" s="180">
        <f>'Income sheet'!B56</f>
        <v>899</v>
      </c>
      <c r="AT31" s="180"/>
      <c r="AU31" s="180"/>
      <c r="AV31" s="180"/>
      <c r="AW31" s="180"/>
      <c r="AX31" s="180"/>
      <c r="AY31" s="180"/>
    </row>
    <row r="32" spans="1:58" ht="15.6">
      <c r="A32" s="4" t="s">
        <v>416</v>
      </c>
      <c r="B32" s="106"/>
      <c r="C32" s="104" t="s">
        <v>407</v>
      </c>
      <c r="D32" s="104" t="s">
        <v>407</v>
      </c>
      <c r="E32" s="104" t="s">
        <v>407</v>
      </c>
      <c r="F32" s="104" t="s">
        <v>407</v>
      </c>
      <c r="G32" s="104" t="s">
        <v>407</v>
      </c>
      <c r="H32" s="104" t="s">
        <v>407</v>
      </c>
      <c r="I32" s="104" t="s">
        <v>407</v>
      </c>
      <c r="J32" s="104" t="s">
        <v>407</v>
      </c>
      <c r="K32" s="104" t="s">
        <v>407</v>
      </c>
      <c r="L32" s="104" t="s">
        <v>407</v>
      </c>
      <c r="M32" s="104"/>
      <c r="N32" s="106"/>
      <c r="U32" s="154" t="s">
        <v>387</v>
      </c>
      <c r="V32" s="196">
        <f>V34+V31</f>
        <v>1220.1221666821352</v>
      </c>
      <c r="W32" s="196">
        <f t="shared" ref="W32:Z32" si="32">W34+W31</f>
        <v>1271.7242728415849</v>
      </c>
      <c r="X32" s="196">
        <f t="shared" si="32"/>
        <v>1408.2210031516579</v>
      </c>
      <c r="Y32" s="196">
        <f t="shared" si="32"/>
        <v>1615.1662077434557</v>
      </c>
      <c r="Z32" s="196">
        <f t="shared" si="32"/>
        <v>1892.6825393462323</v>
      </c>
      <c r="AQ32" s="185" t="s">
        <v>450</v>
      </c>
      <c r="AR32" s="185"/>
      <c r="AS32" s="151">
        <f>AS33/AU21</f>
        <v>2.8300000000000002E-2</v>
      </c>
      <c r="AT32" s="180"/>
      <c r="AU32" s="180"/>
      <c r="AV32" s="180"/>
      <c r="AW32" s="180"/>
      <c r="AX32" s="180"/>
      <c r="AY32" s="180"/>
    </row>
    <row r="33" spans="1:51" ht="27" customHeight="1">
      <c r="A33" s="4" t="s">
        <v>430</v>
      </c>
      <c r="B33" s="107"/>
      <c r="C33" s="107">
        <f t="shared" ref="C33:K33" si="33">(C11-B11)/B11</f>
        <v>-1.4297520661157024</v>
      </c>
      <c r="D33" s="107">
        <f t="shared" si="33"/>
        <v>-1.25</v>
      </c>
      <c r="E33" s="107">
        <f t="shared" si="33"/>
        <v>-13.461538461538462</v>
      </c>
      <c r="F33" s="107">
        <f t="shared" si="33"/>
        <v>-1.1234567901234569</v>
      </c>
      <c r="G33" s="107">
        <f t="shared" si="33"/>
        <v>1.35</v>
      </c>
      <c r="H33" s="107">
        <f t="shared" si="33"/>
        <v>-1.9574468085106382</v>
      </c>
      <c r="I33" s="107">
        <f t="shared" si="33"/>
        <v>6.4888888888888889</v>
      </c>
      <c r="J33" s="107">
        <f t="shared" si="33"/>
        <v>0.27893175074183979</v>
      </c>
      <c r="K33" s="107">
        <f t="shared" si="33"/>
        <v>-2.308584686774942</v>
      </c>
      <c r="L33" s="107">
        <f>(L11-K11)/K11</f>
        <v>-0.20744680851063829</v>
      </c>
      <c r="M33" s="107"/>
      <c r="N33" s="106">
        <f>SUM(C33:L33)/10</f>
        <v>-1.3620404981943108</v>
      </c>
      <c r="U33" s="153" t="s">
        <v>451</v>
      </c>
      <c r="V33" s="106">
        <f>V32/V28</f>
        <v>0.30574365178012691</v>
      </c>
      <c r="W33" s="106">
        <f>W32/W28</f>
        <v>0.28969480176998108</v>
      </c>
      <c r="X33" s="106">
        <f t="shared" ref="X33:Z33" si="34">X32/X28</f>
        <v>0.28625863269709328</v>
      </c>
      <c r="Y33" s="106">
        <f t="shared" si="34"/>
        <v>0.2899290188271933</v>
      </c>
      <c r="Z33" s="106">
        <f t="shared" si="34"/>
        <v>0.29799266091941939</v>
      </c>
      <c r="AQ33" s="180" t="s">
        <v>452</v>
      </c>
      <c r="AR33" s="180"/>
      <c r="AS33" s="180">
        <v>0.65457900000000002</v>
      </c>
      <c r="AT33" s="180"/>
      <c r="AU33" s="180"/>
      <c r="AV33" s="180"/>
      <c r="AW33" s="180"/>
      <c r="AX33" s="180"/>
      <c r="AY33" s="180"/>
    </row>
    <row r="34" spans="1:51" ht="17.399999999999999">
      <c r="A34" s="105" t="s">
        <v>421</v>
      </c>
      <c r="B34" s="107"/>
      <c r="C34" s="107">
        <f t="shared" ref="C34:K34" si="35">(C12-B12)/B12</f>
        <v>-0.38461538461538464</v>
      </c>
      <c r="D34" s="107">
        <f t="shared" si="35"/>
        <v>1</v>
      </c>
      <c r="E34" s="107">
        <f t="shared" si="35"/>
        <v>2.9375</v>
      </c>
      <c r="F34" s="107">
        <f t="shared" si="35"/>
        <v>-7.9365079365079361E-2</v>
      </c>
      <c r="G34" s="107">
        <f t="shared" si="35"/>
        <v>2.2413793103448274</v>
      </c>
      <c r="H34" s="107">
        <f t="shared" si="35"/>
        <v>-0.70744680851063835</v>
      </c>
      <c r="I34" s="107">
        <f t="shared" si="35"/>
        <v>1.290909090909091</v>
      </c>
      <c r="J34" s="107">
        <f t="shared" si="35"/>
        <v>3.968253968253968E-2</v>
      </c>
      <c r="K34" s="107">
        <f t="shared" si="35"/>
        <v>-7.6335877862595417E-3</v>
      </c>
      <c r="L34" s="107">
        <f>(L12-K12)/K12</f>
        <v>-0.85384615384615381</v>
      </c>
      <c r="M34" s="107"/>
      <c r="N34" s="106">
        <f>SUM(C34:L34)/10</f>
        <v>0.54765639268129429</v>
      </c>
      <c r="U34" s="154" t="s">
        <v>386</v>
      </c>
      <c r="V34" s="188">
        <f>V28-V30-V31</f>
        <v>672.50010295031382</v>
      </c>
      <c r="W34" s="188">
        <f>W28-W30-W31</f>
        <v>675.52163927120898</v>
      </c>
      <c r="X34" s="188">
        <f>X28-X30-X31</f>
        <v>759.12812721098942</v>
      </c>
      <c r="Y34" s="188">
        <f>Y28-Y30-Y31</f>
        <v>908.49109785031055</v>
      </c>
      <c r="Z34" s="188">
        <f>Z28-Z30-Z31</f>
        <v>1123.316968635306</v>
      </c>
      <c r="AQ34" s="180"/>
      <c r="AR34" s="180"/>
      <c r="AS34" s="180"/>
      <c r="AT34" s="180"/>
      <c r="AU34" s="180"/>
      <c r="AV34" s="180"/>
      <c r="AW34" s="180"/>
      <c r="AX34" s="180"/>
      <c r="AY34" s="180"/>
    </row>
    <row r="35" spans="1:51">
      <c r="A35" s="208" t="s">
        <v>377</v>
      </c>
      <c r="B35" s="208"/>
      <c r="C35" s="208">
        <f t="shared" ref="C35:K35" si="36">(C13-B13)/B13</f>
        <v>1.0586319218241042E-2</v>
      </c>
      <c r="D35" s="208">
        <f t="shared" si="36"/>
        <v>-2.1756647864625302E-2</v>
      </c>
      <c r="E35" s="208">
        <f t="shared" si="36"/>
        <v>-5.6013179571663921E-2</v>
      </c>
      <c r="F35" s="208">
        <f t="shared" si="36"/>
        <v>0.23647469458987783</v>
      </c>
      <c r="G35" s="208">
        <f t="shared" si="36"/>
        <v>0.38532110091743121</v>
      </c>
      <c r="H35" s="208">
        <f t="shared" si="36"/>
        <v>-1.3245033112582781E-2</v>
      </c>
      <c r="I35" s="208">
        <f t="shared" si="36"/>
        <v>2.7361899845121322E-2</v>
      </c>
      <c r="J35" s="208">
        <f t="shared" si="36"/>
        <v>0.47185929648241204</v>
      </c>
      <c r="K35" s="208">
        <f t="shared" si="36"/>
        <v>0.46193240013656539</v>
      </c>
      <c r="L35" s="208">
        <f>(L13-K13)/K13</f>
        <v>-0.11816907986921998</v>
      </c>
      <c r="M35" s="208"/>
      <c r="N35" s="106">
        <f>SUM(C35:L35)/10</f>
        <v>0.13843517707715569</v>
      </c>
      <c r="U35" s="153" t="s">
        <v>453</v>
      </c>
      <c r="V35" s="106">
        <f>V34/V28</f>
        <v>0.16851807377425199</v>
      </c>
      <c r="W35" s="106">
        <f t="shared" ref="W35:X35" si="37">W34/W28</f>
        <v>0.15388171127907907</v>
      </c>
      <c r="X35" s="106">
        <f t="shared" si="37"/>
        <v>0.15431312219529517</v>
      </c>
      <c r="Y35" s="106">
        <f>Y34/Y28</f>
        <v>0.16307791195122434</v>
      </c>
      <c r="Z35" s="106">
        <f>Z34/Z28</f>
        <v>0.17686020004981731</v>
      </c>
      <c r="AQ35" s="180"/>
      <c r="AR35" s="180"/>
      <c r="AS35" s="180"/>
      <c r="AT35" s="180"/>
      <c r="AU35" s="180"/>
      <c r="AV35" s="180"/>
      <c r="AW35" s="180"/>
      <c r="AX35" s="180"/>
      <c r="AY35" s="180"/>
    </row>
    <row r="36" spans="1:51" ht="15.6">
      <c r="U36" s="152" t="s">
        <v>446</v>
      </c>
      <c r="V36" s="106">
        <f>AS29</f>
        <v>0.22024471635150167</v>
      </c>
      <c r="W36" s="106">
        <f>AS29</f>
        <v>0.22024471635150167</v>
      </c>
      <c r="X36" s="106">
        <f>AS29</f>
        <v>0.22024471635150167</v>
      </c>
      <c r="Y36" s="106">
        <f>AS29</f>
        <v>0.22024471635150167</v>
      </c>
      <c r="Z36" s="106">
        <f>AS29</f>
        <v>0.22024471635150167</v>
      </c>
      <c r="AQ36" s="209" t="s">
        <v>425</v>
      </c>
      <c r="AR36" s="126">
        <f>(AR23/AS24 * AS25) + (AU23/AS24 * AS32) + (AX23/AS24 * AS26)</f>
        <v>5.7954979357292033E-2</v>
      </c>
      <c r="AS36" s="180"/>
      <c r="AT36" s="180"/>
      <c r="AU36" s="180"/>
      <c r="AV36" s="180"/>
      <c r="AW36" s="180"/>
      <c r="AX36" s="180"/>
      <c r="AY36" s="180"/>
    </row>
    <row r="37" spans="1:51" ht="17.399999999999999">
      <c r="U37" s="152" t="s">
        <v>454</v>
      </c>
      <c r="V37" s="188">
        <f>V34*(1-V36)</f>
        <v>524.38550852966625</v>
      </c>
      <c r="W37" s="188">
        <f t="shared" ref="W37:X37" si="38">W34*(1-W36)</f>
        <v>526.74156744062009</v>
      </c>
      <c r="X37" s="188">
        <f t="shared" si="38"/>
        <v>591.93416815895841</v>
      </c>
      <c r="Y37" s="188">
        <f>Y34*(1-Y36)</f>
        <v>708.40073369640459</v>
      </c>
      <c r="Z37" s="188">
        <f>Z34*(1-Z36)</f>
        <v>875.91234150539435</v>
      </c>
    </row>
    <row r="38" spans="1:51">
      <c r="U38" s="152" t="s">
        <v>455</v>
      </c>
      <c r="V38" s="210">
        <f>AH21</f>
        <v>547.62206373182141</v>
      </c>
      <c r="W38" s="210">
        <f t="shared" ref="W38:Z38" si="39">AI21</f>
        <v>596.20263357037595</v>
      </c>
      <c r="X38" s="210">
        <f t="shared" si="39"/>
        <v>649.09287594066848</v>
      </c>
      <c r="Y38" s="210">
        <f t="shared" si="39"/>
        <v>706.67510989314519</v>
      </c>
      <c r="Z38" s="210">
        <f t="shared" si="39"/>
        <v>769.36557071092625</v>
      </c>
      <c r="AR38" s="92"/>
    </row>
    <row r="39" spans="1:51" ht="15.6">
      <c r="U39" s="152" t="s">
        <v>456</v>
      </c>
      <c r="V39" s="196">
        <f>BB11</f>
        <v>108.01729017598996</v>
      </c>
      <c r="W39" s="196">
        <f t="shared" ref="W39:Z39" si="40">BC11</f>
        <v>94.70094037715694</v>
      </c>
      <c r="X39" s="196">
        <f t="shared" si="40"/>
        <v>92.533066673272515</v>
      </c>
      <c r="Y39" s="196">
        <f t="shared" si="40"/>
        <v>98.396187006396076</v>
      </c>
      <c r="Z39" s="196">
        <f t="shared" si="40"/>
        <v>111.64578052894785</v>
      </c>
      <c r="AQ39" s="283" t="s">
        <v>457</v>
      </c>
      <c r="AR39" s="281"/>
    </row>
    <row r="40" spans="1:51" ht="15.6">
      <c r="U40" s="152" t="s">
        <v>458</v>
      </c>
      <c r="V40" s="211">
        <f>BT6</f>
        <v>642</v>
      </c>
      <c r="W40" s="211">
        <f t="shared" ref="W40:Z40" si="41">BU6</f>
        <v>693.36</v>
      </c>
      <c r="X40" s="211">
        <f t="shared" si="41"/>
        <v>748.82880000000011</v>
      </c>
      <c r="Y40" s="211">
        <f t="shared" si="41"/>
        <v>808.73510400000021</v>
      </c>
      <c r="Z40" s="211">
        <f t="shared" si="41"/>
        <v>930.04536960000019</v>
      </c>
    </row>
    <row r="41" spans="1:51" ht="15.6">
      <c r="U41" s="146" t="s">
        <v>459</v>
      </c>
      <c r="V41" s="196">
        <f>V37+V38-V39-V40</f>
        <v>321.99028208549771</v>
      </c>
      <c r="W41" s="196">
        <f t="shared" ref="W41:Z41" si="42">W37+W38-W39-W40</f>
        <v>334.88326063383909</v>
      </c>
      <c r="X41" s="196">
        <f t="shared" si="42"/>
        <v>399.66517742635426</v>
      </c>
      <c r="Y41" s="196">
        <f t="shared" si="42"/>
        <v>507.9445525831535</v>
      </c>
      <c r="Z41" s="196">
        <f t="shared" si="42"/>
        <v>603.58676208737256</v>
      </c>
      <c r="AQ41" s="287" t="s">
        <v>460</v>
      </c>
      <c r="AR41" s="284">
        <f>AS29</f>
        <v>0.22024471635150167</v>
      </c>
    </row>
    <row r="42" spans="1:51" ht="17.399999999999999">
      <c r="A42" s="339" t="s">
        <v>461</v>
      </c>
      <c r="B42" s="339"/>
      <c r="C42" s="339"/>
      <c r="D42" s="339"/>
      <c r="E42" s="339"/>
      <c r="F42" s="339"/>
      <c r="G42" s="339"/>
      <c r="H42" s="339"/>
      <c r="I42" s="339"/>
      <c r="J42" s="339"/>
      <c r="K42" s="339"/>
      <c r="L42" s="339"/>
      <c r="M42" s="322"/>
      <c r="W42" s="164"/>
      <c r="X42" s="164"/>
      <c r="Y42" s="164"/>
      <c r="Z42" s="164"/>
      <c r="AA42">
        <v>2025</v>
      </c>
      <c r="AB42">
        <v>2026</v>
      </c>
      <c r="AC42">
        <v>2027</v>
      </c>
      <c r="AD42">
        <v>2028</v>
      </c>
      <c r="AE42">
        <v>2029</v>
      </c>
      <c r="AO42" s="283" t="s">
        <v>462</v>
      </c>
      <c r="AQ42" s="287" t="s">
        <v>463</v>
      </c>
      <c r="AR42" s="284">
        <f>AS26</f>
        <v>2.9652665716210499E-2</v>
      </c>
    </row>
    <row r="43" spans="1:51" ht="17.399999999999999">
      <c r="A43" s="103" t="s">
        <v>394</v>
      </c>
      <c r="B43" s="24">
        <v>2014</v>
      </c>
      <c r="C43" s="24">
        <v>2015</v>
      </c>
      <c r="D43" s="24">
        <v>2016</v>
      </c>
      <c r="E43" s="24">
        <v>2017</v>
      </c>
      <c r="F43" s="24">
        <v>2018</v>
      </c>
      <c r="G43" s="24">
        <v>2019</v>
      </c>
      <c r="H43" s="24">
        <v>2020</v>
      </c>
      <c r="I43" s="24">
        <v>2021</v>
      </c>
      <c r="J43" s="24">
        <v>2022</v>
      </c>
      <c r="K43" s="24">
        <v>2023</v>
      </c>
      <c r="L43" s="24">
        <v>2024</v>
      </c>
      <c r="M43" s="323"/>
      <c r="Z43" t="s">
        <v>464</v>
      </c>
      <c r="AA43">
        <f>V41/(1+$V$44)^1</f>
        <v>304.35159186178879</v>
      </c>
      <c r="AB43">
        <f>W41/(1+$V$44)^2</f>
        <v>299.1982614724389</v>
      </c>
      <c r="AC43">
        <f>X41/(1+$V$44)^3</f>
        <v>337.51629827487011</v>
      </c>
      <c r="AD43">
        <f>Y41/(1+$V$44)^4</f>
        <v>405.45957360611078</v>
      </c>
      <c r="AE43">
        <f>Z41/(1+$V$44)^5</f>
        <v>455.41126752486349</v>
      </c>
      <c r="AO43" s="283" t="s">
        <v>465</v>
      </c>
      <c r="AQ43" s="287" t="s">
        <v>466</v>
      </c>
      <c r="AR43" s="284">
        <f>AS25</f>
        <v>7.5800000000000006E-2</v>
      </c>
    </row>
    <row r="44" spans="1:51" ht="39.75" customHeight="1">
      <c r="A44" s="4" t="s">
        <v>404</v>
      </c>
      <c r="B44" s="114">
        <v>7279</v>
      </c>
      <c r="C44" s="114">
        <v>8769</v>
      </c>
      <c r="D44" s="114">
        <v>7504</v>
      </c>
      <c r="E44" s="114">
        <v>7372</v>
      </c>
      <c r="F44" s="114">
        <v>8502</v>
      </c>
      <c r="G44" s="114">
        <v>9049</v>
      </c>
      <c r="H44" s="114">
        <v>8763</v>
      </c>
      <c r="I44" s="114">
        <v>12877</v>
      </c>
      <c r="J44" s="114">
        <v>15171</v>
      </c>
      <c r="K44" s="114">
        <v>15311</v>
      </c>
      <c r="L44" s="114">
        <v>13204</v>
      </c>
      <c r="M44" s="324"/>
      <c r="U44" s="143" t="s">
        <v>467</v>
      </c>
      <c r="V44" s="164">
        <f>AR36</f>
        <v>5.7954979357292033E-2</v>
      </c>
      <c r="AA44">
        <f>SUM(AA43:AE43)</f>
        <v>1801.9369927400721</v>
      </c>
      <c r="AO44" s="283" t="s">
        <v>468</v>
      </c>
      <c r="AQ44" s="287" t="s">
        <v>469</v>
      </c>
      <c r="AR44" s="285">
        <f>AS28</f>
        <v>7100</v>
      </c>
      <c r="AW44">
        <v>78.41</v>
      </c>
      <c r="AX44">
        <v>70.819999999999993</v>
      </c>
    </row>
    <row r="45" spans="1:51" ht="15.6">
      <c r="A45" s="4" t="s">
        <v>406</v>
      </c>
      <c r="B45" s="114">
        <v>6235</v>
      </c>
      <c r="C45" s="114">
        <v>6508</v>
      </c>
      <c r="D45" s="114">
        <v>6470</v>
      </c>
      <c r="E45" s="114">
        <v>6435</v>
      </c>
      <c r="F45" s="114">
        <v>6227</v>
      </c>
      <c r="G45" s="114">
        <v>6288</v>
      </c>
      <c r="H45" s="114">
        <v>6763</v>
      </c>
      <c r="I45" s="114" t="s">
        <v>470</v>
      </c>
      <c r="J45" s="114" t="s">
        <v>470</v>
      </c>
      <c r="K45" s="114" t="s">
        <v>470</v>
      </c>
      <c r="L45" s="114" t="s">
        <v>470</v>
      </c>
      <c r="M45" s="324"/>
      <c r="U45" s="144" t="s">
        <v>471</v>
      </c>
      <c r="V45" s="212">
        <f>V41/(1+V44)+W41/(1+V44)^2+X41/(1+V44)^3+Y41/(1+V44)^4+Z41/(1+V44)^5</f>
        <v>1801.9369927400721</v>
      </c>
      <c r="AQ45" s="287" t="s">
        <v>472</v>
      </c>
      <c r="AR45" s="285">
        <f>AU23</f>
        <v>115.64999999999999</v>
      </c>
    </row>
    <row r="46" spans="1:51" ht="27.6">
      <c r="A46" s="4" t="s">
        <v>409</v>
      </c>
      <c r="B46" s="114" t="s">
        <v>470</v>
      </c>
      <c r="C46" s="114" t="s">
        <v>470</v>
      </c>
      <c r="D46" s="114" t="s">
        <v>470</v>
      </c>
      <c r="E46" s="114" t="s">
        <v>470</v>
      </c>
      <c r="F46" s="114" t="s">
        <v>470</v>
      </c>
      <c r="G46" s="114" t="s">
        <v>470</v>
      </c>
      <c r="H46" s="114" t="s">
        <v>470</v>
      </c>
      <c r="I46" s="114">
        <v>1923</v>
      </c>
      <c r="J46" s="114">
        <v>1917</v>
      </c>
      <c r="K46" s="114">
        <v>1851</v>
      </c>
      <c r="L46" s="114">
        <v>2211</v>
      </c>
      <c r="M46" s="324"/>
      <c r="AQ46" s="287" t="s">
        <v>473</v>
      </c>
      <c r="AR46" s="286">
        <f>AR23</f>
        <v>11077.237499999999</v>
      </c>
      <c r="AW46">
        <f>(AW44-AX44)/AX44</f>
        <v>0.10717311493928275</v>
      </c>
    </row>
    <row r="47" spans="1:51">
      <c r="A47" s="4" t="s">
        <v>411</v>
      </c>
      <c r="B47" s="114"/>
      <c r="C47" s="114">
        <v>1054</v>
      </c>
      <c r="D47" s="114">
        <v>1012</v>
      </c>
      <c r="E47" s="114">
        <v>1018</v>
      </c>
      <c r="F47" s="114">
        <v>1070</v>
      </c>
      <c r="G47" s="114">
        <v>2061</v>
      </c>
      <c r="H47" s="114">
        <v>1938</v>
      </c>
      <c r="I47" s="114">
        <v>1923</v>
      </c>
      <c r="J47" s="114">
        <v>2668</v>
      </c>
      <c r="K47" s="114">
        <v>2698</v>
      </c>
      <c r="L47" s="114">
        <v>3178</v>
      </c>
      <c r="M47" s="324"/>
      <c r="AQ47" s="287" t="s">
        <v>474</v>
      </c>
      <c r="AR47" s="286">
        <f>AS24</f>
        <v>18177.237499999999</v>
      </c>
    </row>
    <row r="48" spans="1:51">
      <c r="A48" s="4" t="s">
        <v>413</v>
      </c>
      <c r="B48" s="114">
        <v>740</v>
      </c>
      <c r="C48" s="114">
        <v>897</v>
      </c>
      <c r="D48" s="114">
        <v>997</v>
      </c>
      <c r="E48" s="114">
        <v>2369</v>
      </c>
      <c r="F48" s="114">
        <v>4430</v>
      </c>
      <c r="G48" s="114">
        <v>7129</v>
      </c>
      <c r="H48" s="114">
        <v>6342</v>
      </c>
      <c r="I48" s="114">
        <v>6382</v>
      </c>
      <c r="J48" s="114">
        <v>8817</v>
      </c>
      <c r="K48" s="114">
        <v>12627</v>
      </c>
      <c r="L48" s="114">
        <v>19228</v>
      </c>
      <c r="M48" s="324"/>
      <c r="AQ48" s="287" t="s">
        <v>475</v>
      </c>
      <c r="AR48" s="284">
        <f>AR36</f>
        <v>5.7954979357292033E-2</v>
      </c>
    </row>
    <row r="49" spans="1:43" ht="18.75" customHeight="1">
      <c r="A49" s="4" t="s">
        <v>416</v>
      </c>
      <c r="B49" s="114" t="s">
        <v>470</v>
      </c>
      <c r="C49" s="114" t="s">
        <v>470</v>
      </c>
      <c r="D49" s="114" t="s">
        <v>470</v>
      </c>
      <c r="E49" s="114" t="s">
        <v>470</v>
      </c>
      <c r="F49" s="114" t="s">
        <v>470</v>
      </c>
      <c r="G49" s="114" t="s">
        <v>470</v>
      </c>
      <c r="H49" s="114" t="s">
        <v>470</v>
      </c>
      <c r="I49" s="114" t="s">
        <v>470</v>
      </c>
      <c r="J49" s="114" t="s">
        <v>470</v>
      </c>
      <c r="K49" s="114" t="s">
        <v>470</v>
      </c>
      <c r="L49" s="114" t="s">
        <v>470</v>
      </c>
      <c r="M49" s="324"/>
      <c r="U49" s="342" t="s">
        <v>476</v>
      </c>
      <c r="V49" s="343"/>
      <c r="AA49" s="340" t="s">
        <v>477</v>
      </c>
      <c r="AB49" s="341"/>
      <c r="AC49" s="341"/>
      <c r="AD49" s="341"/>
      <c r="AE49" s="341"/>
      <c r="AF49" s="341"/>
    </row>
    <row r="50" spans="1:43" ht="18">
      <c r="A50" s="115" t="s">
        <v>394</v>
      </c>
      <c r="B50" s="116">
        <v>2014</v>
      </c>
      <c r="C50" s="116">
        <v>2015</v>
      </c>
      <c r="D50" s="116">
        <v>2016</v>
      </c>
      <c r="E50" s="116">
        <v>2017</v>
      </c>
      <c r="F50" s="116">
        <v>2018</v>
      </c>
      <c r="G50" s="116">
        <v>2019</v>
      </c>
      <c r="H50" s="116">
        <v>2020</v>
      </c>
      <c r="I50" s="116">
        <v>2021</v>
      </c>
      <c r="J50" s="116">
        <v>2022</v>
      </c>
      <c r="K50" s="116">
        <v>2023</v>
      </c>
      <c r="L50" s="116">
        <v>2024</v>
      </c>
      <c r="M50" s="325"/>
      <c r="U50" s="142" t="s">
        <v>478</v>
      </c>
      <c r="V50" s="163">
        <v>0.03</v>
      </c>
      <c r="AA50" s="218">
        <f>V62</f>
        <v>79.401462409019274</v>
      </c>
      <c r="AB50" s="164">
        <f>0.056</f>
        <v>5.6000000000000001E-2</v>
      </c>
      <c r="AC50" s="164">
        <v>5.7000000000000002E-2</v>
      </c>
      <c r="AD50" s="164">
        <f>0.058</f>
        <v>5.8000000000000003E-2</v>
      </c>
      <c r="AE50" s="164">
        <f>0.059</f>
        <v>5.8999999999999997E-2</v>
      </c>
      <c r="AF50" s="164">
        <f>0.06</f>
        <v>0.06</v>
      </c>
      <c r="AG50" s="219" t="s">
        <v>479</v>
      </c>
    </row>
    <row r="51" spans="1:43" ht="15.6">
      <c r="A51" s="4" t="s">
        <v>480</v>
      </c>
      <c r="B51" s="114">
        <v>49</v>
      </c>
      <c r="C51" s="114">
        <v>33</v>
      </c>
      <c r="D51" s="114">
        <v>18</v>
      </c>
      <c r="E51" s="114">
        <v>22</v>
      </c>
      <c r="F51" s="114">
        <v>50</v>
      </c>
      <c r="G51" s="114">
        <v>55</v>
      </c>
      <c r="H51" s="114">
        <v>47</v>
      </c>
      <c r="I51" s="114">
        <v>102</v>
      </c>
      <c r="J51" s="114">
        <v>162</v>
      </c>
      <c r="K51" s="114">
        <v>134</v>
      </c>
      <c r="L51" s="114">
        <v>63</v>
      </c>
      <c r="M51" s="324"/>
      <c r="U51" s="141" t="s">
        <v>481</v>
      </c>
      <c r="V51" s="196">
        <f>Z41*(1+V50)/(V44-V50)</f>
        <v>22239.128028110143</v>
      </c>
      <c r="AA51" s="164">
        <v>0.01</v>
      </c>
      <c r="AB51" s="220">
        <f t="dataTable" ref="AB51:AF56" dt2D="1" dtr="1" r1="V44" r2="V50"/>
        <v>36.45641221890795</v>
      </c>
      <c r="AC51" s="220">
        <v>34.73971673575398</v>
      </c>
      <c r="AD51" s="220">
        <v>33.094893129990979</v>
      </c>
      <c r="AE51" s="220">
        <v>31.517539378328792</v>
      </c>
      <c r="AF51" s="220">
        <v>30.003605629527225</v>
      </c>
      <c r="AQ51" s="280"/>
    </row>
    <row r="52" spans="1:43" ht="18.75" customHeight="1">
      <c r="A52" s="337" t="s">
        <v>404</v>
      </c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26"/>
      <c r="U52" s="142" t="s">
        <v>482</v>
      </c>
      <c r="V52" s="196">
        <f>V51/Z32</f>
        <v>11.750057162672379</v>
      </c>
      <c r="AA52" s="164">
        <v>1.4999999999999999E-2</v>
      </c>
      <c r="AB52" s="220">
        <v>44.733274915184168</v>
      </c>
      <c r="AC52" s="220">
        <v>42.617717424410259</v>
      </c>
      <c r="AD52" s="220">
        <v>40.600930948699016</v>
      </c>
      <c r="AE52" s="220">
        <v>38.676179250954299</v>
      </c>
      <c r="AF52" s="220">
        <v>36.837324881741104</v>
      </c>
    </row>
    <row r="53" spans="1:43" ht="27.6">
      <c r="A53" s="4" t="s">
        <v>483</v>
      </c>
      <c r="B53" s="114">
        <f>B44*B51/1000</f>
        <v>356.67099999999999</v>
      </c>
      <c r="C53" s="114">
        <f t="shared" ref="C53:L53" si="43">C44*C51/1000</f>
        <v>289.37700000000001</v>
      </c>
      <c r="D53" s="114">
        <f t="shared" si="43"/>
        <v>135.072</v>
      </c>
      <c r="E53" s="114">
        <f t="shared" si="43"/>
        <v>162.184</v>
      </c>
      <c r="F53" s="114">
        <f t="shared" si="43"/>
        <v>425.1</v>
      </c>
      <c r="G53" s="114">
        <f t="shared" si="43"/>
        <v>497.69499999999999</v>
      </c>
      <c r="H53" s="114">
        <f t="shared" si="43"/>
        <v>411.86099999999999</v>
      </c>
      <c r="I53" s="114">
        <f t="shared" si="43"/>
        <v>1313.454</v>
      </c>
      <c r="J53" s="114">
        <f t="shared" si="43"/>
        <v>2457.7020000000002</v>
      </c>
      <c r="K53" s="114">
        <f t="shared" si="43"/>
        <v>2051.674</v>
      </c>
      <c r="L53" s="114">
        <f t="shared" si="43"/>
        <v>831.85199999999998</v>
      </c>
      <c r="M53" s="324"/>
      <c r="U53" s="142" t="s">
        <v>484</v>
      </c>
      <c r="V53" s="196">
        <f>V51/(1+V44)^5</f>
        <v>16779.608367990153</v>
      </c>
      <c r="Z53" s="219" t="s">
        <v>478</v>
      </c>
      <c r="AA53" s="164">
        <v>0.02</v>
      </c>
      <c r="AB53" s="220">
        <v>55.309266138203803</v>
      </c>
      <c r="AC53" s="220">
        <v>52.624907488379066</v>
      </c>
      <c r="AD53" s="220">
        <v>50.082241877593411</v>
      </c>
      <c r="AE53" s="220">
        <v>47.67036780886842</v>
      </c>
      <c r="AF53" s="220">
        <v>45.379473947008485</v>
      </c>
      <c r="AQ53" s="282"/>
    </row>
    <row r="54" spans="1:43" ht="15.6">
      <c r="A54" s="4" t="s">
        <v>485</v>
      </c>
      <c r="B54" s="114">
        <f t="shared" ref="B54:L54" si="44">B5-B55-B53</f>
        <v>54.329000000000008</v>
      </c>
      <c r="C54" s="114">
        <f t="shared" si="44"/>
        <v>58.62299999999999</v>
      </c>
      <c r="D54" s="114">
        <f t="shared" si="44"/>
        <v>85.927999999999997</v>
      </c>
      <c r="E54" s="114">
        <f t="shared" si="44"/>
        <v>78.816000000000003</v>
      </c>
      <c r="F54" s="114">
        <f t="shared" si="44"/>
        <v>44.899999999999977</v>
      </c>
      <c r="G54" s="114">
        <f t="shared" si="44"/>
        <v>24.305000000000007</v>
      </c>
      <c r="H54" s="114">
        <f t="shared" si="44"/>
        <v>54.13900000000001</v>
      </c>
      <c r="I54" s="114">
        <f t="shared" si="44"/>
        <v>51.546000000000049</v>
      </c>
      <c r="J54" s="114">
        <f t="shared" si="44"/>
        <v>-72.702000000000226</v>
      </c>
      <c r="K54" s="114">
        <f t="shared" si="44"/>
        <v>-54.673999999999978</v>
      </c>
      <c r="L54" s="114">
        <f t="shared" si="44"/>
        <v>79.148000000000025</v>
      </c>
      <c r="M54" s="324"/>
      <c r="U54" s="145" t="s">
        <v>471</v>
      </c>
      <c r="V54" s="196">
        <f>V45</f>
        <v>1801.9369927400721</v>
      </c>
      <c r="AA54" s="164">
        <v>2.5000000000000001E-2</v>
      </c>
      <c r="AB54" s="220">
        <v>69.296867433165261</v>
      </c>
      <c r="AC54" s="218">
        <v>65.759344447338151</v>
      </c>
      <c r="AD54" s="218">
        <v>62.436677330395192</v>
      </c>
      <c r="AE54" s="218">
        <v>59.309905942639602</v>
      </c>
      <c r="AF54" s="220">
        <v>56.362237030923666</v>
      </c>
    </row>
    <row r="55" spans="1:43" ht="15.6">
      <c r="A55" s="4" t="s">
        <v>486</v>
      </c>
      <c r="B55" s="114">
        <v>215</v>
      </c>
      <c r="C55" s="114">
        <v>434</v>
      </c>
      <c r="D55" s="114">
        <v>468</v>
      </c>
      <c r="E55" s="114">
        <v>416</v>
      </c>
      <c r="F55" s="114">
        <v>117</v>
      </c>
      <c r="G55" s="114">
        <v>203</v>
      </c>
      <c r="H55" s="114">
        <v>306</v>
      </c>
      <c r="I55" s="114">
        <v>-15</v>
      </c>
      <c r="J55" s="114">
        <v>-277</v>
      </c>
      <c r="K55" s="114">
        <v>574</v>
      </c>
      <c r="L55" s="114">
        <v>975</v>
      </c>
      <c r="M55" s="324"/>
      <c r="U55" s="141" t="s">
        <v>487</v>
      </c>
      <c r="V55" s="196">
        <f>V54+V53</f>
        <v>18581.545360730226</v>
      </c>
      <c r="AA55" s="164">
        <v>0.03</v>
      </c>
      <c r="AB55" s="220">
        <v>88.664315380034935</v>
      </c>
      <c r="AC55" s="218">
        <v>83.758387687393153</v>
      </c>
      <c r="AD55" s="221">
        <v>79.203411159197614</v>
      </c>
      <c r="AE55" s="218">
        <v>74.963077915642288</v>
      </c>
      <c r="AF55" s="220">
        <v>71.005921142810578</v>
      </c>
      <c r="AQ55" s="280"/>
    </row>
    <row r="56" spans="1:43" ht="15.6">
      <c r="A56" s="4" t="s">
        <v>488</v>
      </c>
      <c r="B56" s="99">
        <f>SUM(B53:B55)</f>
        <v>626</v>
      </c>
      <c r="C56" s="99">
        <f t="shared" ref="C56:K56" si="45">SUM(C53:C55)</f>
        <v>782</v>
      </c>
      <c r="D56" s="99">
        <f t="shared" si="45"/>
        <v>689</v>
      </c>
      <c r="E56" s="99">
        <f t="shared" si="45"/>
        <v>657</v>
      </c>
      <c r="F56" s="99">
        <f t="shared" si="45"/>
        <v>587</v>
      </c>
      <c r="G56" s="99">
        <f t="shared" si="45"/>
        <v>725</v>
      </c>
      <c r="H56" s="99">
        <f t="shared" si="45"/>
        <v>772</v>
      </c>
      <c r="I56" s="99">
        <f t="shared" si="45"/>
        <v>1350</v>
      </c>
      <c r="J56" s="99">
        <f t="shared" si="45"/>
        <v>2108</v>
      </c>
      <c r="K56" s="99">
        <f t="shared" si="45"/>
        <v>2571</v>
      </c>
      <c r="L56" s="99">
        <f>SUM(L53:L55)</f>
        <v>1886</v>
      </c>
      <c r="M56" s="327"/>
      <c r="U56" s="142" t="s">
        <v>489</v>
      </c>
      <c r="V56" s="196">
        <f>AX23</f>
        <v>7100</v>
      </c>
      <c r="AA56" s="164">
        <v>3.5000000000000003E-2</v>
      </c>
      <c r="AB56" s="220">
        <v>117.25435758731881</v>
      </c>
      <c r="AC56" s="218">
        <v>109.93881421838229</v>
      </c>
      <c r="AD56" s="218">
        <v>103.2600292613924</v>
      </c>
      <c r="AE56" s="218">
        <v>97.138404877396027</v>
      </c>
      <c r="AF56" s="220">
        <v>91.507078899452281</v>
      </c>
    </row>
    <row r="57" spans="1:43" ht="15.6">
      <c r="A57" s="4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328"/>
      <c r="U57" s="145" t="s">
        <v>490</v>
      </c>
      <c r="V57" s="196">
        <f>'Balance Sheet'!B3</f>
        <v>865</v>
      </c>
      <c r="AQ57" s="280"/>
    </row>
    <row r="58" spans="1:43" ht="15.6">
      <c r="A58" s="4" t="s">
        <v>491</v>
      </c>
      <c r="B58" s="99">
        <v>7279</v>
      </c>
      <c r="C58" s="99">
        <v>8769</v>
      </c>
      <c r="D58" s="99">
        <v>7504</v>
      </c>
      <c r="E58" s="99">
        <v>7372</v>
      </c>
      <c r="F58" s="99">
        <v>8502</v>
      </c>
      <c r="G58" s="99">
        <v>9049</v>
      </c>
      <c r="H58" s="99">
        <v>8763</v>
      </c>
      <c r="I58" s="99">
        <v>12877</v>
      </c>
      <c r="J58" s="99">
        <v>15171</v>
      </c>
      <c r="K58" s="99">
        <v>15311</v>
      </c>
      <c r="L58" s="99">
        <v>13204</v>
      </c>
      <c r="M58" s="327"/>
      <c r="N58" s="117"/>
      <c r="U58" s="141" t="s">
        <v>492</v>
      </c>
      <c r="V58" s="196">
        <f>V56-V57</f>
        <v>6235</v>
      </c>
    </row>
    <row r="59" spans="1:43" ht="15.6">
      <c r="A59" s="4" t="s">
        <v>493</v>
      </c>
      <c r="B59" s="119"/>
      <c r="C59" s="119"/>
      <c r="D59" s="119"/>
      <c r="E59" s="119"/>
      <c r="F59" s="119"/>
      <c r="G59" s="119"/>
      <c r="H59" s="119"/>
      <c r="I59" s="119"/>
      <c r="J59" s="119">
        <f>(J58-I58)/I58</f>
        <v>0.17814708394812456</v>
      </c>
      <c r="K59" s="119">
        <f>(K58-J58)/J58</f>
        <v>9.228132621448816E-3</v>
      </c>
      <c r="L59" s="119">
        <f>(L58-K58)/K58</f>
        <v>-0.13761348050421265</v>
      </c>
      <c r="M59" s="328"/>
      <c r="N59" s="129">
        <f>AVERAGE(K60:L60)</f>
        <v>-0.35134512622074809</v>
      </c>
      <c r="O59" s="129">
        <f>AVERAGE(J60:L60)</f>
        <v>-3.8151652774616372E-2</v>
      </c>
      <c r="U59" s="142" t="s">
        <v>494</v>
      </c>
      <c r="V59" s="196">
        <v>2</v>
      </c>
      <c r="AQ59" s="280"/>
    </row>
    <row r="60" spans="1:43" ht="15.6">
      <c r="A60" s="4" t="s">
        <v>495</v>
      </c>
      <c r="B60" s="112"/>
      <c r="C60" s="119">
        <f t="shared" ref="C60:K60" si="46">(C51-B51)/B51</f>
        <v>-0.32653061224489793</v>
      </c>
      <c r="D60" s="119">
        <f t="shared" si="46"/>
        <v>-0.45454545454545453</v>
      </c>
      <c r="E60" s="119">
        <f t="shared" si="46"/>
        <v>0.22222222222222221</v>
      </c>
      <c r="F60" s="119">
        <f t="shared" si="46"/>
        <v>1.2727272727272727</v>
      </c>
      <c r="G60" s="119">
        <f t="shared" si="46"/>
        <v>0.1</v>
      </c>
      <c r="H60" s="119">
        <f t="shared" si="46"/>
        <v>-0.14545454545454545</v>
      </c>
      <c r="I60" s="119">
        <f t="shared" si="46"/>
        <v>1.1702127659574468</v>
      </c>
      <c r="J60" s="119">
        <f t="shared" si="46"/>
        <v>0.58823529411764708</v>
      </c>
      <c r="K60" s="119">
        <f t="shared" si="46"/>
        <v>-0.1728395061728395</v>
      </c>
      <c r="L60" s="119">
        <f>(L51-K51)/K51</f>
        <v>-0.52985074626865669</v>
      </c>
      <c r="M60" s="328"/>
      <c r="N60" s="129">
        <f>AVERAGE(K61:L61)</f>
        <v>-1.1867979471439893</v>
      </c>
      <c r="O60" s="129">
        <f>AVERAGE(J61:L61)</f>
        <v>5.0310235907928957</v>
      </c>
      <c r="U60" s="141" t="s">
        <v>366</v>
      </c>
      <c r="V60" s="196">
        <f>V55-V58-V59</f>
        <v>12344.545360730226</v>
      </c>
    </row>
    <row r="61" spans="1:43" ht="15.6">
      <c r="A61" s="4" t="s">
        <v>496</v>
      </c>
      <c r="B61" s="112"/>
      <c r="C61" s="119">
        <f t="shared" ref="C61:K61" si="47">(C55-B55)/B55</f>
        <v>1.0186046511627906</v>
      </c>
      <c r="D61" s="119">
        <f t="shared" si="47"/>
        <v>7.8341013824884786E-2</v>
      </c>
      <c r="E61" s="119">
        <f t="shared" si="47"/>
        <v>-0.1111111111111111</v>
      </c>
      <c r="F61" s="119">
        <f t="shared" si="47"/>
        <v>-0.71875</v>
      </c>
      <c r="G61" s="119">
        <f t="shared" si="47"/>
        <v>0.7350427350427351</v>
      </c>
      <c r="H61" s="119">
        <f t="shared" si="47"/>
        <v>0.5073891625615764</v>
      </c>
      <c r="I61" s="119">
        <f t="shared" si="47"/>
        <v>-1.0490196078431373</v>
      </c>
      <c r="J61" s="119">
        <f t="shared" si="47"/>
        <v>17.466666666666665</v>
      </c>
      <c r="K61" s="119">
        <f t="shared" si="47"/>
        <v>-3.0722021660649821</v>
      </c>
      <c r="L61" s="119">
        <f>(L55-K55)/K55</f>
        <v>0.69860627177700352</v>
      </c>
      <c r="M61" s="328"/>
      <c r="N61" s="129">
        <f>N60/N59</f>
        <v>3.3778693898782906</v>
      </c>
      <c r="O61" s="129">
        <f>O60/O59</f>
        <v>-131.86908626250161</v>
      </c>
      <c r="U61" s="142" t="s">
        <v>497</v>
      </c>
      <c r="V61" s="211">
        <f>AR22</f>
        <v>155.47</v>
      </c>
      <c r="Y61" s="141" t="s">
        <v>498</v>
      </c>
      <c r="Z61" s="141" t="s">
        <v>366</v>
      </c>
      <c r="AQ61" s="282"/>
    </row>
    <row r="62" spans="1:43" ht="27.6">
      <c r="A62" s="4" t="s">
        <v>499</v>
      </c>
      <c r="B62" s="112"/>
      <c r="C62" s="120">
        <f>C61/C60</f>
        <v>-3.1194767441860467</v>
      </c>
      <c r="D62" s="120">
        <f t="shared" ref="D62:J62" si="48">D61/D60</f>
        <v>-0.17235023041474654</v>
      </c>
      <c r="E62" s="120">
        <f t="shared" si="48"/>
        <v>-0.5</v>
      </c>
      <c r="F62" s="120">
        <f t="shared" si="48"/>
        <v>-0.5647321428571429</v>
      </c>
      <c r="G62" s="120">
        <f t="shared" si="48"/>
        <v>7.350427350427351</v>
      </c>
      <c r="H62" s="120">
        <f t="shared" si="48"/>
        <v>-3.4883004926108381</v>
      </c>
      <c r="I62" s="120">
        <f t="shared" si="48"/>
        <v>-0.89643493761140824</v>
      </c>
      <c r="J62" s="120">
        <f t="shared" si="48"/>
        <v>29.693333333333328</v>
      </c>
      <c r="K62" s="120">
        <f>K61/K60</f>
        <v>17.774883960804541</v>
      </c>
      <c r="L62" s="120">
        <f>L61/L60</f>
        <v>-1.3184963439171615</v>
      </c>
      <c r="M62" s="329"/>
      <c r="U62" s="156" t="s">
        <v>500</v>
      </c>
      <c r="V62" s="218">
        <f>V60/V61</f>
        <v>79.401462409019274</v>
      </c>
      <c r="X62" s="196">
        <v>18581.545360730226</v>
      </c>
      <c r="Y62" s="196">
        <v>6235</v>
      </c>
      <c r="Z62" s="196">
        <v>12344.545360730226</v>
      </c>
      <c r="AA62" s="196">
        <v>2</v>
      </c>
    </row>
    <row r="63" spans="1:43">
      <c r="A63" s="4" t="s">
        <v>501</v>
      </c>
      <c r="L63" s="118">
        <f>AVERAGE(J62:L62)</f>
        <v>15.383240316740237</v>
      </c>
      <c r="M63" s="118"/>
      <c r="U63" s="140"/>
    </row>
    <row r="64" spans="1:43" ht="15" thickBot="1">
      <c r="A64" s="106"/>
      <c r="O64" t="s">
        <v>425</v>
      </c>
    </row>
    <row r="65" spans="12:18" ht="15" thickBot="1">
      <c r="M65" s="332">
        <f>V62</f>
        <v>79.401462409019274</v>
      </c>
      <c r="N65" s="237">
        <v>3.7999999999999999E-2</v>
      </c>
      <c r="O65" s="237">
        <v>4.8000000000000001E-2</v>
      </c>
      <c r="P65" s="237">
        <v>5.8000000000000003E-2</v>
      </c>
      <c r="Q65" s="237">
        <v>6.8000000000000005E-2</v>
      </c>
      <c r="R65" s="237">
        <v>7.8E-2</v>
      </c>
    </row>
    <row r="66" spans="12:18" ht="15" thickBot="1">
      <c r="M66" s="238">
        <v>0.02</v>
      </c>
    </row>
    <row r="67" spans="12:18" ht="15" thickBot="1">
      <c r="M67" s="238">
        <v>2.5000000000000001E-2</v>
      </c>
    </row>
    <row r="68" spans="12:18" ht="15" thickBot="1">
      <c r="L68" t="s">
        <v>502</v>
      </c>
      <c r="M68" s="238">
        <v>0.03</v>
      </c>
    </row>
    <row r="69" spans="12:18" ht="15" thickBot="1">
      <c r="M69" s="238">
        <v>3.5000000000000003E-2</v>
      </c>
    </row>
    <row r="70" spans="12:18" ht="15" thickBot="1">
      <c r="M70" s="238">
        <v>0.04</v>
      </c>
    </row>
  </sheetData>
  <mergeCells count="25">
    <mergeCell ref="BH2:BX2"/>
    <mergeCell ref="B2:N2"/>
    <mergeCell ref="AQ3:BA3"/>
    <mergeCell ref="AH2:AL2"/>
    <mergeCell ref="V13:AG13"/>
    <mergeCell ref="AH13:AL13"/>
    <mergeCell ref="O2:S2"/>
    <mergeCell ref="V2:AG2"/>
    <mergeCell ref="B4:N4"/>
    <mergeCell ref="AP2:BF2"/>
    <mergeCell ref="BB3:BF3"/>
    <mergeCell ref="BI3:BS3"/>
    <mergeCell ref="BT3:BX3"/>
    <mergeCell ref="B14:N14"/>
    <mergeCell ref="A42:L42"/>
    <mergeCell ref="U49:V49"/>
    <mergeCell ref="V26:Z26"/>
    <mergeCell ref="U26:U27"/>
    <mergeCell ref="AR20:AS20"/>
    <mergeCell ref="AU20:AV20"/>
    <mergeCell ref="AX20:AY20"/>
    <mergeCell ref="AQ19:AY19"/>
    <mergeCell ref="A52:L52"/>
    <mergeCell ref="B25:N25"/>
    <mergeCell ref="AA49:AF49"/>
  </mergeCells>
  <phoneticPr fontId="2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8B65-CF63-41CA-9CD1-594679CB0AC9}">
  <dimension ref="A1"/>
  <sheetViews>
    <sheetView workbookViewId="0">
      <selection activeCell="K20" sqref="K20"/>
    </sheetView>
  </sheetViews>
  <sheetFormatPr defaultColWidth="8.88671875" defaultRowHeight="14.4"/>
  <sheetData/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60B8-1FDB-4254-BFD3-242E6352D28E}">
  <dimension ref="A1:S43"/>
  <sheetViews>
    <sheetView topLeftCell="F12" zoomScale="125" zoomScaleNormal="100" workbookViewId="0">
      <selection activeCell="A18" sqref="A18"/>
    </sheetView>
  </sheetViews>
  <sheetFormatPr defaultColWidth="8.88671875" defaultRowHeight="13.5" customHeight="1"/>
  <cols>
    <col min="1" max="1" width="10.109375" customWidth="1"/>
    <col min="3" max="5" width="10.6640625" customWidth="1"/>
    <col min="6" max="6" width="27.6640625" customWidth="1"/>
    <col min="7" max="7" width="10.88671875" customWidth="1"/>
    <col min="9" max="9" width="24" customWidth="1"/>
    <col min="10" max="10" width="20.109375" customWidth="1"/>
    <col min="11" max="11" width="17.109375" customWidth="1"/>
    <col min="13" max="13" width="12.33203125" bestFit="1" customWidth="1"/>
    <col min="14" max="16" width="9.33203125" bestFit="1" customWidth="1"/>
    <col min="17" max="17" width="34.6640625" bestFit="1" customWidth="1"/>
    <col min="18" max="18" width="8.88671875" bestFit="1" customWidth="1"/>
  </cols>
  <sheetData>
    <row r="1" spans="1:19" ht="39.6">
      <c r="A1" s="147" t="s">
        <v>394</v>
      </c>
      <c r="B1" s="147" t="s">
        <v>503</v>
      </c>
      <c r="C1" s="147" t="s">
        <v>294</v>
      </c>
      <c r="F1" s="383" t="s">
        <v>294</v>
      </c>
      <c r="G1" s="384"/>
      <c r="H1" s="101"/>
      <c r="I1" s="147" t="s">
        <v>504</v>
      </c>
      <c r="J1" s="181">
        <f>B3*(1+G2)</f>
        <v>2.706630498</v>
      </c>
      <c r="K1" s="117"/>
      <c r="L1" s="235"/>
      <c r="N1" t="s">
        <v>505</v>
      </c>
    </row>
    <row r="2" spans="1:19" ht="27" customHeight="1">
      <c r="A2" s="232" t="s">
        <v>506</v>
      </c>
      <c r="B2" s="233">
        <f>J1</f>
        <v>2.706630498</v>
      </c>
      <c r="C2" s="234">
        <f>AVERAGE(C3:C12)</f>
        <v>6.8209999999999993E-2</v>
      </c>
      <c r="F2" s="147" t="s">
        <v>507</v>
      </c>
      <c r="G2" s="182">
        <f>C2</f>
        <v>6.8209999999999993E-2</v>
      </c>
      <c r="H2" s="101"/>
      <c r="I2" s="147" t="s">
        <v>508</v>
      </c>
      <c r="J2" s="181">
        <f>J1*(1+G2)</f>
        <v>2.8912497642685802</v>
      </c>
      <c r="K2" s="117"/>
      <c r="L2" s="235"/>
      <c r="N2" s="239">
        <f>J8</f>
        <v>73.304749398964205</v>
      </c>
      <c r="O2" s="237">
        <v>6.2199999999999998E-2</v>
      </c>
      <c r="P2" s="237">
        <v>6.7199999999999996E-2</v>
      </c>
      <c r="Q2" s="237">
        <v>7.2157499999999999E-2</v>
      </c>
      <c r="R2" s="237">
        <v>7.7200000000000005E-2</v>
      </c>
      <c r="S2" s="237">
        <v>8.2199999999999995E-2</v>
      </c>
    </row>
    <row r="3" spans="1:19" ht="26.4">
      <c r="A3" s="180">
        <v>2024</v>
      </c>
      <c r="B3" s="181">
        <v>2.5337999999999998</v>
      </c>
      <c r="C3" s="182">
        <v>6.0199999999999997E-2</v>
      </c>
      <c r="D3" s="235"/>
      <c r="F3" s="147" t="s">
        <v>509</v>
      </c>
      <c r="G3" s="182">
        <v>0.03</v>
      </c>
      <c r="H3" s="101"/>
      <c r="I3" s="147" t="s">
        <v>510</v>
      </c>
      <c r="J3" s="181">
        <f>J2*(1+G2)</f>
        <v>3.0884619106893405</v>
      </c>
      <c r="K3" s="117"/>
      <c r="L3" s="235"/>
      <c r="N3" s="238">
        <v>0.02</v>
      </c>
      <c r="O3" s="242">
        <f t="dataTable" ref="O3:S7" dt2D="1" dtr="1" r1="G17" r2="G3"/>
        <v>75.881499804112181</v>
      </c>
      <c r="P3" s="242">
        <v>67.720458834609232</v>
      </c>
      <c r="Q3" s="242">
        <v>61.17562190589053</v>
      </c>
      <c r="R3" s="242">
        <v>55.684240485252118</v>
      </c>
      <c r="S3" s="242">
        <v>51.119934896805631</v>
      </c>
    </row>
    <row r="4" spans="1:19" ht="14.4">
      <c r="A4" s="180">
        <v>2023</v>
      </c>
      <c r="B4" s="181">
        <v>2.39</v>
      </c>
      <c r="C4" s="182">
        <v>5.9900000000000002E-2</v>
      </c>
      <c r="F4" s="101"/>
      <c r="G4" s="101"/>
      <c r="H4" s="101"/>
      <c r="I4" s="147" t="s">
        <v>511</v>
      </c>
      <c r="J4" s="181">
        <f>J3*(1+G2)</f>
        <v>3.2991258976174609</v>
      </c>
      <c r="K4" s="117"/>
      <c r="L4" s="235"/>
      <c r="M4" s="101"/>
      <c r="N4" s="238">
        <v>2.5000000000000001E-2</v>
      </c>
      <c r="O4" s="242">
        <v>84.698989348686226</v>
      </c>
      <c r="P4" s="243">
        <v>74.540512886793437</v>
      </c>
      <c r="Q4" s="243">
        <v>66.597174069271276</v>
      </c>
      <c r="R4" s="243">
        <v>60.067262195103858</v>
      </c>
      <c r="S4" s="242">
        <v>54.730781181188092</v>
      </c>
    </row>
    <row r="5" spans="1:19" ht="14.4">
      <c r="A5" s="180">
        <v>2022</v>
      </c>
      <c r="B5" s="181">
        <v>2.2599999999999998</v>
      </c>
      <c r="C5" s="182">
        <v>6.3700000000000007E-2</v>
      </c>
      <c r="F5" s="383" t="s">
        <v>512</v>
      </c>
      <c r="G5" s="384"/>
      <c r="H5" s="101"/>
      <c r="I5" s="147" t="s">
        <v>513</v>
      </c>
      <c r="J5" s="181">
        <f>J4*(1+G2)</f>
        <v>3.5241592750939481</v>
      </c>
      <c r="K5" s="117"/>
      <c r="L5" s="235"/>
      <c r="M5" s="101"/>
      <c r="N5" s="238">
        <v>0.03</v>
      </c>
      <c r="O5" s="242">
        <v>96.254829683500603</v>
      </c>
      <c r="P5" s="243">
        <v>83.193914802468015</v>
      </c>
      <c r="Q5" s="241">
        <v>73.304749398964233</v>
      </c>
      <c r="R5" s="243">
        <v>65.378890199415707</v>
      </c>
      <c r="S5" s="242">
        <v>59.033360470241497</v>
      </c>
    </row>
    <row r="6" spans="1:19" ht="14.4">
      <c r="A6" s="180">
        <v>2021</v>
      </c>
      <c r="B6" s="181">
        <v>2.12</v>
      </c>
      <c r="C6" s="182">
        <v>6.8000000000000005E-2</v>
      </c>
      <c r="F6" s="148" t="s">
        <v>514</v>
      </c>
      <c r="G6" s="231">
        <v>3.3599999999999998E-2</v>
      </c>
      <c r="H6" s="101"/>
      <c r="I6" s="385" t="s">
        <v>515</v>
      </c>
      <c r="J6" s="384"/>
      <c r="K6" s="270" t="s">
        <v>516</v>
      </c>
      <c r="L6" s="262"/>
      <c r="M6" s="101"/>
      <c r="N6" s="238">
        <v>3.5000000000000003E-2</v>
      </c>
      <c r="O6" s="242">
        <v>112.05914072964383</v>
      </c>
      <c r="P6" s="243">
        <v>94.534708617420449</v>
      </c>
      <c r="Q6" s="243">
        <v>81.817498739205007</v>
      </c>
      <c r="R6" s="243">
        <v>71.949197825602425</v>
      </c>
      <c r="S6" s="242">
        <v>64.247503167992676</v>
      </c>
    </row>
    <row r="7" spans="1:19" ht="14.4">
      <c r="A7" s="180">
        <v>2020</v>
      </c>
      <c r="B7" s="181">
        <v>1.99</v>
      </c>
      <c r="C7" s="182">
        <v>7.0099999999999996E-2</v>
      </c>
      <c r="F7" s="101"/>
      <c r="G7" s="101"/>
      <c r="H7" s="101"/>
      <c r="I7" s="147" t="s">
        <v>517</v>
      </c>
      <c r="J7" s="235">
        <f>J5/(G17-G3)</f>
        <v>83.595072646479196</v>
      </c>
      <c r="K7" s="316">
        <f>NPV(G17,J1,J2,J3,J4,)</f>
        <v>10.042252676965058</v>
      </c>
      <c r="L7" s="101"/>
      <c r="M7" s="101"/>
      <c r="N7" s="238">
        <v>0.04</v>
      </c>
      <c r="O7" s="242">
        <v>134.98251080558131</v>
      </c>
      <c r="P7" s="242">
        <v>110.04491192316416</v>
      </c>
      <c r="Q7" s="242">
        <v>92.977453036373618</v>
      </c>
      <c r="R7" s="242">
        <v>80.285717179258668</v>
      </c>
      <c r="S7" s="242">
        <v>70.69722470407352</v>
      </c>
    </row>
    <row r="8" spans="1:19" ht="14.4">
      <c r="A8" s="180">
        <v>2019</v>
      </c>
      <c r="B8" s="181">
        <v>1.86</v>
      </c>
      <c r="C8" s="182">
        <v>7.2300000000000003E-2</v>
      </c>
      <c r="F8" s="383" t="s">
        <v>518</v>
      </c>
      <c r="G8" s="384"/>
      <c r="H8" s="101"/>
      <c r="I8" s="147" t="s">
        <v>519</v>
      </c>
      <c r="J8" s="236">
        <f>NPV(G17,J1,J2,J3,J4+J7)</f>
        <v>73.304749398964205</v>
      </c>
      <c r="K8" s="167">
        <f>NPV(G17,0,0,0,J7)</f>
        <v>63.262496721999156</v>
      </c>
      <c r="L8" s="101"/>
      <c r="M8" s="101"/>
    </row>
    <row r="9" spans="1:19" ht="26.4">
      <c r="A9" s="180">
        <v>2018</v>
      </c>
      <c r="B9" s="181">
        <v>1.73</v>
      </c>
      <c r="C9" s="182">
        <v>7.1199999999999999E-2</v>
      </c>
      <c r="F9" s="148" t="s">
        <v>520</v>
      </c>
      <c r="G9" s="182">
        <v>0.10920000000000001</v>
      </c>
      <c r="H9" s="101"/>
      <c r="K9" s="316">
        <f>K8+K7</f>
        <v>73.304749398964219</v>
      </c>
    </row>
    <row r="10" spans="1:19" ht="26.4">
      <c r="A10" s="180">
        <v>2017</v>
      </c>
      <c r="B10" s="181">
        <v>1.62</v>
      </c>
      <c r="C10" s="182">
        <v>6.9500000000000006E-2</v>
      </c>
      <c r="F10" s="148" t="s">
        <v>521</v>
      </c>
      <c r="G10" s="182">
        <v>0.10349999999999999</v>
      </c>
      <c r="H10" s="101"/>
      <c r="R10" s="270" t="s">
        <v>522</v>
      </c>
      <c r="S10">
        <v>6.8209999999999993E-2</v>
      </c>
    </row>
    <row r="11" spans="1:19" ht="14.4">
      <c r="A11" s="180">
        <v>2016</v>
      </c>
      <c r="B11" s="181">
        <v>1.51</v>
      </c>
      <c r="C11" s="182">
        <v>7.0900000000000005E-2</v>
      </c>
      <c r="F11" s="148" t="s">
        <v>523</v>
      </c>
      <c r="G11" s="182">
        <f>AVERAGE(G9:G10)</f>
        <v>0.10635</v>
      </c>
      <c r="H11" s="244"/>
      <c r="I11" s="101"/>
      <c r="J11" s="101"/>
      <c r="K11" s="270" t="s">
        <v>524</v>
      </c>
      <c r="L11" s="270" t="s">
        <v>525</v>
      </c>
      <c r="M11" s="270" t="s">
        <v>526</v>
      </c>
      <c r="N11" s="270" t="s">
        <v>527</v>
      </c>
      <c r="O11" s="270" t="s">
        <v>528</v>
      </c>
      <c r="R11" t="s">
        <v>529</v>
      </c>
      <c r="S11">
        <v>0.03</v>
      </c>
    </row>
    <row r="12" spans="1:19" ht="14.4">
      <c r="A12" s="180">
        <v>2015</v>
      </c>
      <c r="B12" s="181">
        <v>1.41</v>
      </c>
      <c r="C12" s="182">
        <v>7.6300000000000007E-2</v>
      </c>
      <c r="F12" s="101"/>
      <c r="G12" s="101"/>
      <c r="H12" s="101"/>
      <c r="I12" s="101"/>
      <c r="J12" s="101"/>
      <c r="K12" s="235">
        <f>J1</f>
        <v>2.706630498</v>
      </c>
      <c r="L12" s="235">
        <f>J2</f>
        <v>2.8912497642685802</v>
      </c>
      <c r="M12" s="235">
        <f>J3</f>
        <v>3.0884619106893405</v>
      </c>
      <c r="N12" s="235">
        <f>J4</f>
        <v>3.2991258976174609</v>
      </c>
      <c r="O12" s="235">
        <f>J5</f>
        <v>3.5241592750939481</v>
      </c>
    </row>
    <row r="13" spans="1:19" ht="14.4">
      <c r="A13" s="180">
        <v>2014</v>
      </c>
      <c r="B13" s="181">
        <v>1.31</v>
      </c>
      <c r="C13" s="182">
        <v>3.9699999999999999E-2</v>
      </c>
      <c r="F13" s="383" t="s">
        <v>530</v>
      </c>
      <c r="G13" s="384"/>
      <c r="H13" s="101"/>
      <c r="I13" s="101"/>
      <c r="J13" s="101"/>
      <c r="R13" t="s">
        <v>531</v>
      </c>
    </row>
    <row r="14" spans="1:19" ht="14.4">
      <c r="A14" s="180">
        <v>2013</v>
      </c>
      <c r="B14" s="181">
        <v>1.26</v>
      </c>
      <c r="C14" s="180"/>
      <c r="D14" s="117">
        <f>AVERAGE(C3:C12)</f>
        <v>6.8209999999999993E-2</v>
      </c>
      <c r="F14" s="386">
        <v>0.53</v>
      </c>
      <c r="G14" s="387"/>
      <c r="H14" s="101"/>
      <c r="I14" s="101"/>
      <c r="J14" s="101"/>
      <c r="R14" t="s">
        <v>514</v>
      </c>
      <c r="S14">
        <v>3.3599999999999998E-2</v>
      </c>
    </row>
    <row r="15" spans="1:19" ht="14.4">
      <c r="F15" s="101"/>
      <c r="G15" s="101"/>
      <c r="H15" s="101"/>
    </row>
    <row r="16" spans="1:19" ht="14.4">
      <c r="F16" s="383" t="s">
        <v>532</v>
      </c>
      <c r="G16" s="384"/>
      <c r="R16" t="s">
        <v>533</v>
      </c>
    </row>
    <row r="17" spans="3:19" ht="14.4">
      <c r="C17" s="117"/>
      <c r="F17" s="261" t="s">
        <v>534</v>
      </c>
      <c r="G17" s="240">
        <f>G6+F14*(G11-G6)</f>
        <v>7.2157500000000013E-2</v>
      </c>
      <c r="R17" t="s">
        <v>520</v>
      </c>
      <c r="S17">
        <v>0.10920000000000001</v>
      </c>
    </row>
    <row r="18" spans="3:19" ht="14.4">
      <c r="C18" s="117"/>
      <c r="F18" s="101"/>
      <c r="G18" s="101"/>
      <c r="R18" t="s">
        <v>521</v>
      </c>
      <c r="S18">
        <v>0.10349999999999999</v>
      </c>
    </row>
    <row r="19" spans="3:19" ht="15" customHeight="1">
      <c r="F19" s="101"/>
      <c r="G19" s="101"/>
      <c r="R19" t="s">
        <v>523</v>
      </c>
      <c r="S19">
        <v>0.10635</v>
      </c>
    </row>
    <row r="20" spans="3:19" ht="14.4">
      <c r="F20" s="101"/>
      <c r="G20" s="101"/>
    </row>
    <row r="21" spans="3:19" ht="14.4">
      <c r="F21" s="101"/>
      <c r="G21" s="101"/>
    </row>
    <row r="22" spans="3:19" ht="14.4">
      <c r="F22" s="101"/>
      <c r="G22" s="101"/>
    </row>
    <row r="23" spans="3:19" ht="13.5" customHeight="1" thickBot="1"/>
    <row r="24" spans="3:19" ht="15" customHeight="1">
      <c r="Q24" s="294" t="s">
        <v>535</v>
      </c>
      <c r="R24" s="295">
        <v>6.8199999999999997E-2</v>
      </c>
    </row>
    <row r="25" spans="3:19" ht="15" customHeight="1" thickBot="1">
      <c r="Q25" s="296" t="s">
        <v>536</v>
      </c>
      <c r="R25" s="297">
        <v>0.03</v>
      </c>
    </row>
    <row r="26" spans="3:19" ht="14.4">
      <c r="H26" s="101"/>
      <c r="Q26" s="298" t="s">
        <v>531</v>
      </c>
      <c r="R26" s="299">
        <v>3.3599999999999998E-2</v>
      </c>
    </row>
    <row r="27" spans="3:19" ht="14.4">
      <c r="H27" s="101"/>
      <c r="Q27" s="300" t="s">
        <v>533</v>
      </c>
      <c r="R27" s="301">
        <v>0.10639999999999999</v>
      </c>
    </row>
    <row r="28" spans="3:19" ht="14.4">
      <c r="H28" s="101"/>
      <c r="Q28" s="298" t="s">
        <v>537</v>
      </c>
      <c r="R28" s="302">
        <v>0.53</v>
      </c>
    </row>
    <row r="29" spans="3:19" ht="14.4">
      <c r="F29" t="s">
        <v>277</v>
      </c>
      <c r="Q29" s="300" t="s">
        <v>538</v>
      </c>
      <c r="R29" s="303">
        <v>83.6</v>
      </c>
    </row>
    <row r="30" spans="3:19" ht="13.5" customHeight="1" thickBot="1">
      <c r="Q30" s="296" t="s">
        <v>539</v>
      </c>
      <c r="R30" s="304">
        <v>73.3</v>
      </c>
    </row>
    <row r="37" spans="11:14" ht="13.5" customHeight="1">
      <c r="K37" s="216" t="s">
        <v>370</v>
      </c>
      <c r="L37" s="216">
        <v>2022</v>
      </c>
      <c r="M37" s="216">
        <v>2023</v>
      </c>
      <c r="N37" s="216">
        <v>2024</v>
      </c>
    </row>
    <row r="38" spans="11:14" ht="13.5" customHeight="1">
      <c r="K38" s="307" t="s">
        <v>281</v>
      </c>
      <c r="L38" s="305">
        <v>4.7E-2</v>
      </c>
      <c r="M38" s="305">
        <v>0.122</v>
      </c>
      <c r="N38" s="305">
        <v>0.191</v>
      </c>
    </row>
    <row r="39" spans="11:14" ht="13.5" customHeight="1">
      <c r="K39" s="306" t="s">
        <v>285</v>
      </c>
      <c r="L39" s="305">
        <v>4.4999999999999998E-2</v>
      </c>
      <c r="M39" s="305">
        <v>0.182</v>
      </c>
      <c r="N39" s="305">
        <v>0.153</v>
      </c>
    </row>
    <row r="40" spans="11:14" ht="13.5" customHeight="1">
      <c r="K40" s="306" t="s">
        <v>540</v>
      </c>
      <c r="L40" s="306">
        <v>1.58</v>
      </c>
      <c r="M40" s="306">
        <v>1.26</v>
      </c>
      <c r="N40" s="306">
        <v>1.1200000000000001</v>
      </c>
    </row>
    <row r="41" spans="11:14" ht="13.5" customHeight="1">
      <c r="K41" s="306" t="s">
        <v>541</v>
      </c>
      <c r="L41" s="305">
        <v>3.78E-2</v>
      </c>
      <c r="M41" s="305">
        <v>3.78E-2</v>
      </c>
      <c r="N41" s="305">
        <v>3.78E-2</v>
      </c>
    </row>
    <row r="43" spans="11:14" ht="13.5" customHeight="1">
      <c r="K43" s="306"/>
    </row>
  </sheetData>
  <sortState xmlns:xlrd2="http://schemas.microsoft.com/office/spreadsheetml/2017/richdata2" ref="A3:C13">
    <sortCondition descending="1" ref="A2:A13"/>
  </sortState>
  <mergeCells count="7">
    <mergeCell ref="F16:G16"/>
    <mergeCell ref="F5:G5"/>
    <mergeCell ref="F1:G1"/>
    <mergeCell ref="I6:J6"/>
    <mergeCell ref="F8:G8"/>
    <mergeCell ref="F13:G13"/>
    <mergeCell ref="F14:G14"/>
  </mergeCells>
  <phoneticPr fontId="2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B587-3173-4801-AD8B-3425DED40898}">
  <dimension ref="A1:AB248"/>
  <sheetViews>
    <sheetView zoomScale="125" zoomScaleNormal="85" workbookViewId="0">
      <selection activeCell="L119" sqref="L119"/>
    </sheetView>
  </sheetViews>
  <sheetFormatPr defaultColWidth="8.88671875" defaultRowHeight="14.4"/>
  <cols>
    <col min="1" max="1" width="13.109375" customWidth="1"/>
    <col min="2" max="3" width="14.33203125" customWidth="1"/>
    <col min="4" max="4" width="33.88671875" customWidth="1"/>
    <col min="5" max="5" width="21" customWidth="1"/>
    <col min="6" max="6" width="17.88671875" customWidth="1"/>
    <col min="7" max="7" width="35.6640625" customWidth="1"/>
    <col min="9" max="9" width="12.109375" customWidth="1"/>
    <col min="12" max="12" width="18.109375" customWidth="1"/>
    <col min="13" max="13" width="26.33203125" customWidth="1"/>
    <col min="14" max="14" width="21.109375" customWidth="1"/>
    <col min="15" max="15" width="22.6640625" customWidth="1"/>
    <col min="17" max="17" width="18.109375" customWidth="1"/>
    <col min="18" max="18" width="20.88671875" bestFit="1" customWidth="1"/>
    <col min="19" max="19" width="16.88671875" bestFit="1" customWidth="1"/>
    <col min="21" max="21" width="37.88671875" customWidth="1"/>
    <col min="22" max="22" width="20" customWidth="1"/>
    <col min="24" max="24" width="18.33203125" customWidth="1"/>
  </cols>
  <sheetData>
    <row r="1" spans="1:28" ht="15.6">
      <c r="A1" s="393" t="s">
        <v>542</v>
      </c>
      <c r="B1" s="394"/>
      <c r="E1" s="171" t="s">
        <v>543</v>
      </c>
      <c r="F1" s="171" t="s">
        <v>544</v>
      </c>
      <c r="R1" s="389" t="s">
        <v>545</v>
      </c>
      <c r="S1" s="389"/>
      <c r="U1" s="390" t="s">
        <v>546</v>
      </c>
      <c r="V1" s="390"/>
      <c r="X1" s="391" t="s">
        <v>547</v>
      </c>
      <c r="Y1" s="392"/>
      <c r="Z1" s="392"/>
      <c r="AA1" s="392"/>
      <c r="AB1" s="392"/>
    </row>
    <row r="2" spans="1:28" ht="15.6">
      <c r="A2" s="41" t="s">
        <v>548</v>
      </c>
      <c r="B2" s="168">
        <v>0.11</v>
      </c>
      <c r="E2" s="172" t="s">
        <v>549</v>
      </c>
      <c r="F2" s="173" t="s">
        <v>550</v>
      </c>
      <c r="R2" s="290" t="s">
        <v>551</v>
      </c>
      <c r="S2" s="82">
        <v>71.28</v>
      </c>
      <c r="U2" s="290" t="s">
        <v>552</v>
      </c>
      <c r="V2" s="291">
        <f>DCF!V50</f>
        <v>0.03</v>
      </c>
      <c r="X2" s="289"/>
      <c r="Y2" s="289" t="s">
        <v>553</v>
      </c>
      <c r="Z2" s="289" t="s">
        <v>554</v>
      </c>
      <c r="AA2" s="289" t="s">
        <v>555</v>
      </c>
      <c r="AB2" s="289" t="s">
        <v>556</v>
      </c>
    </row>
    <row r="3" spans="1:28" ht="15.6">
      <c r="A3" s="41" t="s">
        <v>557</v>
      </c>
      <c r="B3" s="168">
        <v>0.81</v>
      </c>
      <c r="E3" s="172" t="s">
        <v>558</v>
      </c>
      <c r="F3" s="173" t="s">
        <v>559</v>
      </c>
      <c r="R3" s="290" t="s">
        <v>560</v>
      </c>
      <c r="S3" s="82" t="s">
        <v>561</v>
      </c>
      <c r="U3" s="290" t="s">
        <v>562</v>
      </c>
      <c r="V3" s="292">
        <f>DCF!V62</f>
        <v>79.401462409019274</v>
      </c>
      <c r="X3" s="289" t="s">
        <v>563</v>
      </c>
      <c r="Y3" s="92"/>
      <c r="Z3" s="92"/>
      <c r="AA3" s="92"/>
      <c r="AB3" s="92"/>
    </row>
    <row r="4" spans="1:28" ht="15.6">
      <c r="A4" s="41" t="s">
        <v>564</v>
      </c>
      <c r="B4" s="168">
        <v>0.08</v>
      </c>
      <c r="E4" s="172" t="s">
        <v>565</v>
      </c>
      <c r="F4" s="173" t="s">
        <v>566</v>
      </c>
      <c r="R4" s="290" t="s">
        <v>567</v>
      </c>
      <c r="S4" s="82" t="s">
        <v>568</v>
      </c>
      <c r="U4" s="290" t="s">
        <v>569</v>
      </c>
      <c r="V4" s="291">
        <f>V2</f>
        <v>0.03</v>
      </c>
      <c r="X4" s="289" t="s">
        <v>570</v>
      </c>
      <c r="Y4" s="92"/>
      <c r="Z4" s="92"/>
      <c r="AA4" s="92"/>
      <c r="AB4" s="92"/>
    </row>
    <row r="5" spans="1:28" ht="15.6">
      <c r="E5" s="172" t="s">
        <v>571</v>
      </c>
      <c r="F5" s="173" t="s">
        <v>572</v>
      </c>
      <c r="R5" s="290" t="s">
        <v>573</v>
      </c>
      <c r="S5" s="82">
        <v>73.05</v>
      </c>
      <c r="U5" s="290" t="s">
        <v>574</v>
      </c>
      <c r="V5" s="292">
        <f>'DDM_2-Stage'!J8</f>
        <v>73.304749398964205</v>
      </c>
      <c r="X5" s="289" t="s">
        <v>575</v>
      </c>
      <c r="Y5" s="92"/>
      <c r="Z5" s="92"/>
      <c r="AA5" s="92"/>
      <c r="AB5" s="92"/>
    </row>
    <row r="6" spans="1:28">
      <c r="R6" s="290" t="s">
        <v>576</v>
      </c>
      <c r="S6" s="82">
        <v>43.9</v>
      </c>
      <c r="U6" s="290" t="s">
        <v>577</v>
      </c>
      <c r="V6" s="292">
        <f>CCA!I33</f>
        <v>83.583079136690657</v>
      </c>
      <c r="X6" s="289" t="s">
        <v>578</v>
      </c>
      <c r="Y6" s="92"/>
      <c r="Z6" s="92"/>
      <c r="AA6" s="92"/>
      <c r="AB6" s="92"/>
    </row>
    <row r="7" spans="1:28">
      <c r="U7" s="290" t="s">
        <v>579</v>
      </c>
      <c r="V7" s="292">
        <f>0.5*V3+0.3*V5+0.2*V6</f>
        <v>78.408771851537026</v>
      </c>
    </row>
    <row r="8" spans="1:28">
      <c r="S8" s="278"/>
      <c r="U8" s="290" t="s">
        <v>580</v>
      </c>
      <c r="V8" s="291">
        <f>(V7-S2)/S2</f>
        <v>0.10001082844468329</v>
      </c>
    </row>
    <row r="9" spans="1:28">
      <c r="X9" s="293" t="s">
        <v>581</v>
      </c>
    </row>
    <row r="13" spans="1:28">
      <c r="W13" s="288"/>
    </row>
    <row r="19" spans="1:22">
      <c r="A19" s="393" t="s">
        <v>582</v>
      </c>
      <c r="B19" s="394"/>
    </row>
    <row r="20" spans="1:22" ht="15.6">
      <c r="A20" s="41" t="s">
        <v>583</v>
      </c>
      <c r="B20" s="168">
        <v>0.59</v>
      </c>
      <c r="L20" s="171">
        <v>2020</v>
      </c>
      <c r="M20" s="171">
        <v>2021</v>
      </c>
      <c r="N20" s="171">
        <v>2022</v>
      </c>
      <c r="O20" s="171">
        <v>2023</v>
      </c>
      <c r="P20" s="171">
        <v>2024</v>
      </c>
      <c r="R20" s="171">
        <v>2020</v>
      </c>
      <c r="S20" s="171">
        <v>2021</v>
      </c>
      <c r="T20" s="171">
        <v>2022</v>
      </c>
      <c r="U20" s="171">
        <v>2023</v>
      </c>
      <c r="V20" s="171">
        <v>2024</v>
      </c>
    </row>
    <row r="21" spans="1:22">
      <c r="A21" s="41" t="s">
        <v>584</v>
      </c>
      <c r="B21" s="168">
        <v>0.27</v>
      </c>
      <c r="L21" s="176">
        <v>0.4</v>
      </c>
      <c r="M21" s="176">
        <v>0.39</v>
      </c>
      <c r="N21" s="176">
        <v>0.3</v>
      </c>
      <c r="O21" s="176">
        <v>0.35</v>
      </c>
      <c r="P21" s="176">
        <v>0.4</v>
      </c>
      <c r="R21" s="215">
        <v>3.5</v>
      </c>
      <c r="S21" s="215">
        <v>2.8</v>
      </c>
      <c r="T21" s="215">
        <v>2.6</v>
      </c>
      <c r="U21" s="215">
        <v>2.6</v>
      </c>
      <c r="V21" s="215">
        <v>3.2</v>
      </c>
    </row>
    <row r="22" spans="1:22">
      <c r="A22" s="41" t="s">
        <v>585</v>
      </c>
      <c r="B22" s="168">
        <v>0.14000000000000001</v>
      </c>
    </row>
    <row r="23" spans="1:22">
      <c r="O23" s="320"/>
      <c r="P23" s="320"/>
      <c r="Q23" s="320"/>
    </row>
    <row r="24" spans="1:22">
      <c r="O24" s="320"/>
      <c r="P24" s="320"/>
      <c r="Q24" s="320"/>
    </row>
    <row r="25" spans="1:22">
      <c r="O25" s="320"/>
      <c r="P25" s="320"/>
      <c r="Q25" s="320"/>
    </row>
    <row r="36" spans="1:17">
      <c r="A36" s="170"/>
    </row>
    <row r="46" spans="1:17">
      <c r="L46" s="395" t="s">
        <v>478</v>
      </c>
      <c r="M46" s="396" t="s">
        <v>479</v>
      </c>
      <c r="N46" s="396"/>
      <c r="O46" s="396"/>
      <c r="P46" s="396"/>
      <c r="Q46" s="396"/>
    </row>
    <row r="47" spans="1:17">
      <c r="L47" s="395"/>
      <c r="M47" s="226">
        <v>5.6000000000000001E-2</v>
      </c>
      <c r="N47" s="226">
        <v>5.7000000000000002E-2</v>
      </c>
      <c r="O47" s="226">
        <v>5.8000000000000003E-2</v>
      </c>
      <c r="P47" s="226">
        <v>5.8999999999999997E-2</v>
      </c>
      <c r="Q47" s="226">
        <v>0.06</v>
      </c>
    </row>
    <row r="48" spans="1:17">
      <c r="L48" s="227">
        <v>0.01</v>
      </c>
      <c r="M48" s="228">
        <v>36.45641221890795</v>
      </c>
      <c r="N48" s="228">
        <v>34.73971673575398</v>
      </c>
      <c r="O48" s="228">
        <v>33.094893129990979</v>
      </c>
      <c r="P48" s="228">
        <v>31.517539378328792</v>
      </c>
      <c r="Q48" s="228">
        <v>30.003605629527225</v>
      </c>
    </row>
    <row r="49" spans="12:17">
      <c r="L49" s="227">
        <v>1.4999999999999999E-2</v>
      </c>
      <c r="M49" s="228">
        <v>44.733274915184168</v>
      </c>
      <c r="N49" s="228">
        <v>42.617717424410259</v>
      </c>
      <c r="O49" s="228">
        <v>40.600930948699016</v>
      </c>
      <c r="P49" s="228">
        <v>38.676179250954299</v>
      </c>
      <c r="Q49" s="228">
        <v>36.837324881741104</v>
      </c>
    </row>
    <row r="50" spans="12:17">
      <c r="L50" s="227">
        <v>0.02</v>
      </c>
      <c r="M50" s="228">
        <v>55.309266138203803</v>
      </c>
      <c r="N50" s="228">
        <v>52.624907488379066</v>
      </c>
      <c r="O50" s="228">
        <v>50.082241877593411</v>
      </c>
      <c r="P50" s="228">
        <v>47.67036780886842</v>
      </c>
      <c r="Q50" s="228">
        <v>45.379473947008485</v>
      </c>
    </row>
    <row r="51" spans="12:17">
      <c r="L51" s="227">
        <v>2.5000000000000001E-2</v>
      </c>
      <c r="M51" s="228">
        <v>69.296867433165261</v>
      </c>
      <c r="N51" s="229">
        <v>65.759344447338151</v>
      </c>
      <c r="O51" s="229">
        <v>62.436677330395192</v>
      </c>
      <c r="P51" s="229">
        <v>59.309905942639602</v>
      </c>
      <c r="Q51" s="228">
        <v>56.362237030923666</v>
      </c>
    </row>
    <row r="52" spans="12:17">
      <c r="L52" s="227">
        <v>0.03</v>
      </c>
      <c r="M52" s="228">
        <v>88.664315380034935</v>
      </c>
      <c r="N52" s="229">
        <v>83.758387687393153</v>
      </c>
      <c r="O52" s="230">
        <v>79.203411159197614</v>
      </c>
      <c r="P52" s="229">
        <v>74.963077915642288</v>
      </c>
      <c r="Q52" s="228">
        <v>71.005921142810578</v>
      </c>
    </row>
    <row r="53" spans="12:17">
      <c r="L53" s="227">
        <v>3.5000000000000003E-2</v>
      </c>
      <c r="M53" s="228">
        <v>117.25435758731881</v>
      </c>
      <c r="N53" s="229">
        <v>109.93881421838229</v>
      </c>
      <c r="O53" s="229">
        <v>103.2600292613924</v>
      </c>
      <c r="P53" s="229">
        <v>97.138404877396027</v>
      </c>
      <c r="Q53" s="228">
        <v>91.507078899452281</v>
      </c>
    </row>
    <row r="57" spans="12:17">
      <c r="L57" s="397" t="s">
        <v>478</v>
      </c>
      <c r="M57" s="398" t="s">
        <v>586</v>
      </c>
      <c r="N57" s="398"/>
      <c r="O57" s="398"/>
      <c r="P57" s="398"/>
      <c r="Q57" s="398"/>
    </row>
    <row r="58" spans="12:17">
      <c r="L58" s="397" t="s">
        <v>587</v>
      </c>
      <c r="M58" s="263">
        <v>6.2199999999999998E-2</v>
      </c>
      <c r="N58" s="263">
        <v>6.7199999999999996E-2</v>
      </c>
      <c r="O58" s="263">
        <v>7.2157499999999999E-2</v>
      </c>
      <c r="P58" s="263">
        <v>7.7200000000000005E-2</v>
      </c>
      <c r="Q58" s="263">
        <v>8.2199999999999995E-2</v>
      </c>
    </row>
    <row r="59" spans="12:17">
      <c r="L59" s="263">
        <v>0.02</v>
      </c>
      <c r="M59" s="264">
        <v>75.881499804112181</v>
      </c>
      <c r="N59" s="264">
        <v>67.720458834609232</v>
      </c>
      <c r="O59" s="264">
        <v>61.17562190589053</v>
      </c>
      <c r="P59" s="264">
        <v>55.684240485252118</v>
      </c>
      <c r="Q59" s="264">
        <v>51.119934896805631</v>
      </c>
    </row>
    <row r="60" spans="12:17">
      <c r="L60" s="263">
        <v>2.5000000000000001E-2</v>
      </c>
      <c r="M60" s="264">
        <v>84.698989348686226</v>
      </c>
      <c r="N60" s="265">
        <v>74.540512886793437</v>
      </c>
      <c r="O60" s="265">
        <v>66.597174069271276</v>
      </c>
      <c r="P60" s="265">
        <v>60.067262195103858</v>
      </c>
      <c r="Q60" s="264">
        <v>54.730781181188092</v>
      </c>
    </row>
    <row r="61" spans="12:17">
      <c r="L61" s="263">
        <v>0.03</v>
      </c>
      <c r="M61" s="264">
        <v>96.254829683500603</v>
      </c>
      <c r="N61" s="265">
        <v>83.193914802468015</v>
      </c>
      <c r="O61" s="266">
        <v>73.304749398964233</v>
      </c>
      <c r="P61" s="265">
        <v>65.378890199415707</v>
      </c>
      <c r="Q61" s="264">
        <v>59.033360470241497</v>
      </c>
    </row>
    <row r="62" spans="12:17">
      <c r="L62" s="263">
        <v>3.5000000000000003E-2</v>
      </c>
      <c r="M62" s="264">
        <v>112.05914072964383</v>
      </c>
      <c r="N62" s="265">
        <v>94.534708617420449</v>
      </c>
      <c r="O62" s="265">
        <v>81.817498739205007</v>
      </c>
      <c r="P62" s="265">
        <v>71.949197825602425</v>
      </c>
      <c r="Q62" s="264">
        <v>64.247503167992676</v>
      </c>
    </row>
    <row r="63" spans="12:17">
      <c r="L63" s="263">
        <v>0.04</v>
      </c>
      <c r="M63" s="264">
        <v>134.98251080558131</v>
      </c>
      <c r="N63" s="264">
        <v>110.04491192316416</v>
      </c>
      <c r="O63" s="264">
        <v>92.977453036373618</v>
      </c>
      <c r="P63" s="264">
        <v>80.285717179258668</v>
      </c>
      <c r="Q63" s="264">
        <v>70.69722470407352</v>
      </c>
    </row>
    <row r="67" spans="5:21" ht="15.6">
      <c r="L67" s="269" t="s">
        <v>588</v>
      </c>
      <c r="M67" s="269" t="s">
        <v>589</v>
      </c>
      <c r="N67" s="269" t="s">
        <v>590</v>
      </c>
      <c r="O67" s="269" t="s">
        <v>591</v>
      </c>
      <c r="P67" s="171"/>
    </row>
    <row r="68" spans="5:21" ht="41.4">
      <c r="E68" s="171"/>
      <c r="F68" s="171">
        <v>2023</v>
      </c>
      <c r="G68" s="171">
        <v>2024</v>
      </c>
      <c r="L68" s="267" t="s">
        <v>592</v>
      </c>
      <c r="M68" s="267" t="s">
        <v>593</v>
      </c>
      <c r="N68" s="267" t="s">
        <v>594</v>
      </c>
      <c r="O68" s="268">
        <v>117</v>
      </c>
      <c r="P68" s="263">
        <f>(O68-O69)/O69</f>
        <v>0.48101265822784811</v>
      </c>
    </row>
    <row r="69" spans="5:21" ht="27.6">
      <c r="E69" s="172" t="s">
        <v>595</v>
      </c>
      <c r="F69" s="174">
        <v>780</v>
      </c>
      <c r="G69" s="174">
        <v>550</v>
      </c>
      <c r="L69" s="267" t="s">
        <v>596</v>
      </c>
      <c r="M69" s="267" t="s">
        <v>597</v>
      </c>
      <c r="N69" s="267" t="s">
        <v>598</v>
      </c>
      <c r="O69" s="268">
        <v>79</v>
      </c>
    </row>
    <row r="70" spans="5:21" ht="63.75" customHeight="1">
      <c r="E70" s="172" t="s">
        <v>599</v>
      </c>
      <c r="F70" s="174">
        <v>369</v>
      </c>
      <c r="G70" s="174">
        <v>656</v>
      </c>
      <c r="L70" s="267" t="s">
        <v>600</v>
      </c>
      <c r="M70" s="267" t="s">
        <v>601</v>
      </c>
      <c r="N70" s="267" t="s">
        <v>602</v>
      </c>
      <c r="O70" s="268">
        <v>45</v>
      </c>
      <c r="P70">
        <f>(O70-O69)/O69</f>
        <v>-0.43037974683544306</v>
      </c>
    </row>
    <row r="71" spans="5:21">
      <c r="E71" s="172" t="s">
        <v>603</v>
      </c>
      <c r="F71" s="174">
        <v>342</v>
      </c>
      <c r="G71" s="174">
        <v>333</v>
      </c>
    </row>
    <row r="78" spans="5:21">
      <c r="U78" s="92" t="s">
        <v>388</v>
      </c>
    </row>
    <row r="81" spans="21:26">
      <c r="V81" s="92"/>
      <c r="W81" s="92" t="s">
        <v>390</v>
      </c>
      <c r="X81" s="92"/>
      <c r="Y81" s="92"/>
      <c r="Z81" s="92"/>
    </row>
    <row r="82" spans="21:26">
      <c r="U82" s="92" t="s">
        <v>394</v>
      </c>
      <c r="V82" s="92" t="s">
        <v>396</v>
      </c>
      <c r="W82" s="92" t="s">
        <v>397</v>
      </c>
      <c r="X82" s="92" t="s">
        <v>398</v>
      </c>
      <c r="Y82" s="92" t="s">
        <v>399</v>
      </c>
      <c r="Z82" s="92" t="s">
        <v>400</v>
      </c>
    </row>
    <row r="83" spans="21:26">
      <c r="U83" s="92" t="s">
        <v>402</v>
      </c>
      <c r="V83" s="92"/>
      <c r="W83" s="92"/>
      <c r="X83" s="92"/>
      <c r="Y83" s="92"/>
      <c r="Z83" s="92"/>
    </row>
    <row r="84" spans="21:26">
      <c r="U84" s="92" t="s">
        <v>404</v>
      </c>
      <c r="V84" s="308">
        <v>2059.5634780265282</v>
      </c>
      <c r="W84" s="308">
        <v>2249.0995334150211</v>
      </c>
      <c r="X84" s="308">
        <v>2456.0780792513697</v>
      </c>
      <c r="Y84" s="308">
        <v>2682.1043007463763</v>
      </c>
      <c r="Z84" s="308">
        <v>2928.9311039634763</v>
      </c>
    </row>
    <row r="85" spans="21:26">
      <c r="U85" s="92" t="s">
        <v>409</v>
      </c>
      <c r="V85" s="308">
        <v>144.04045252873709</v>
      </c>
      <c r="W85" s="308">
        <v>145.08847527750603</v>
      </c>
      <c r="X85" s="308">
        <v>146.14412332640876</v>
      </c>
      <c r="Y85" s="308">
        <v>147.20745215630404</v>
      </c>
      <c r="Z85" s="308">
        <v>148.27851765172343</v>
      </c>
    </row>
    <row r="86" spans="21:26">
      <c r="U86" s="92" t="s">
        <v>411</v>
      </c>
      <c r="V86" s="308">
        <v>422.57014581791799</v>
      </c>
      <c r="W86" s="308">
        <v>472.39557708089012</v>
      </c>
      <c r="X86" s="308">
        <v>528.09594680108796</v>
      </c>
      <c r="Y86" s="308">
        <v>590.36397154917245</v>
      </c>
      <c r="Z86" s="308">
        <v>659.9740464105264</v>
      </c>
    </row>
    <row r="87" spans="21:26">
      <c r="U87" s="92" t="s">
        <v>413</v>
      </c>
      <c r="V87" s="308">
        <v>1110.6214071453965</v>
      </c>
      <c r="W87" s="308">
        <v>1365.9799667880627</v>
      </c>
      <c r="X87" s="308">
        <v>1680.0515978367443</v>
      </c>
      <c r="Y87" s="308">
        <v>2066.3358468065526</v>
      </c>
      <c r="Z87" s="308">
        <v>2541.43613047095</v>
      </c>
    </row>
    <row r="88" spans="21:26">
      <c r="U88" s="92" t="s">
        <v>430</v>
      </c>
      <c r="V88" s="308">
        <v>253.875</v>
      </c>
      <c r="W88" s="308">
        <v>157.3125</v>
      </c>
      <c r="X88" s="308">
        <v>109.03125</v>
      </c>
      <c r="Y88" s="308">
        <v>84.890625</v>
      </c>
      <c r="Z88" s="308">
        <v>72.8203125</v>
      </c>
    </row>
    <row r="89" spans="21:26">
      <c r="U89" s="92" t="s">
        <v>377</v>
      </c>
      <c r="V89" s="308">
        <v>3990.6704835185797</v>
      </c>
      <c r="W89" s="308">
        <v>4389.8760525614798</v>
      </c>
      <c r="X89" s="308">
        <v>4919.4009972156109</v>
      </c>
      <c r="Y89" s="308">
        <v>5570.9021962584056</v>
      </c>
      <c r="Z89" s="308">
        <v>6351.4401109966766</v>
      </c>
    </row>
    <row r="90" spans="21:26">
      <c r="U90" s="92"/>
      <c r="V90" s="92"/>
      <c r="W90" s="92"/>
      <c r="X90" s="92"/>
      <c r="Y90" s="92"/>
      <c r="Z90" s="92"/>
    </row>
    <row r="104" spans="15:17" ht="28.8">
      <c r="O104" s="216" t="s">
        <v>604</v>
      </c>
      <c r="P104" s="216" t="s">
        <v>605</v>
      </c>
      <c r="Q104" s="216" t="s">
        <v>606</v>
      </c>
    </row>
    <row r="105" spans="15:17">
      <c r="O105" s="217" t="s">
        <v>607</v>
      </c>
      <c r="P105" s="217">
        <v>3</v>
      </c>
      <c r="Q105" s="217">
        <v>3</v>
      </c>
    </row>
    <row r="106" spans="15:17">
      <c r="O106" s="217" t="s">
        <v>608</v>
      </c>
      <c r="P106" s="217">
        <v>2</v>
      </c>
      <c r="Q106" s="217">
        <v>3</v>
      </c>
    </row>
    <row r="107" spans="15:17">
      <c r="O107" s="217" t="s">
        <v>609</v>
      </c>
      <c r="P107" s="217">
        <v>2</v>
      </c>
      <c r="Q107" s="217">
        <v>2</v>
      </c>
    </row>
    <row r="108" spans="15:17">
      <c r="O108" s="217" t="s">
        <v>610</v>
      </c>
      <c r="P108" s="217">
        <v>3</v>
      </c>
      <c r="Q108" s="217">
        <v>2</v>
      </c>
    </row>
    <row r="116" spans="4:6" ht="15.6">
      <c r="D116" s="177"/>
      <c r="E116" s="177">
        <v>2013</v>
      </c>
      <c r="F116" s="177">
        <v>2023</v>
      </c>
    </row>
    <row r="117" spans="4:6">
      <c r="D117" s="175" t="s">
        <v>611</v>
      </c>
      <c r="E117" s="176">
        <v>0.53</v>
      </c>
      <c r="F117" s="176">
        <v>0.09</v>
      </c>
    </row>
    <row r="119" spans="4:6" ht="15.6">
      <c r="D119" s="177"/>
      <c r="E119" s="177">
        <v>2013</v>
      </c>
      <c r="F119" s="177">
        <v>2023</v>
      </c>
    </row>
    <row r="120" spans="4:6">
      <c r="D120" s="175" t="s">
        <v>612</v>
      </c>
      <c r="E120" s="178">
        <v>509</v>
      </c>
      <c r="F120" s="178">
        <v>1455</v>
      </c>
    </row>
    <row r="122" spans="4:6" ht="15.6">
      <c r="D122" s="177"/>
      <c r="E122" s="177">
        <v>2013</v>
      </c>
      <c r="F122" s="177">
        <v>2023</v>
      </c>
    </row>
    <row r="123" spans="4:6">
      <c r="D123" s="175" t="s">
        <v>613</v>
      </c>
      <c r="E123" s="176">
        <v>0.05</v>
      </c>
      <c r="F123" s="176">
        <v>0.5</v>
      </c>
    </row>
    <row r="125" spans="4:6" ht="15.6">
      <c r="D125" s="177"/>
      <c r="E125" s="177">
        <v>2013</v>
      </c>
      <c r="F125" s="177">
        <v>2023</v>
      </c>
    </row>
    <row r="126" spans="4:6">
      <c r="D126" s="175" t="s">
        <v>614</v>
      </c>
      <c r="E126" s="179">
        <v>1.26</v>
      </c>
      <c r="F126" s="179">
        <v>2.6</v>
      </c>
    </row>
    <row r="136" spans="2:5">
      <c r="C136" s="271"/>
    </row>
    <row r="139" spans="2:5">
      <c r="D139" t="e">
        <f>(C141-C140)/2+C140</f>
        <v>#VALUE!</v>
      </c>
    </row>
    <row r="140" spans="2:5" ht="15.75" customHeight="1">
      <c r="B140" s="388" t="s">
        <v>615</v>
      </c>
      <c r="C140" s="273" t="s">
        <v>616</v>
      </c>
    </row>
    <row r="141" spans="2:5" ht="15.75" customHeight="1">
      <c r="B141" s="388"/>
      <c r="C141" s="273" t="s">
        <v>617</v>
      </c>
      <c r="E141" s="58"/>
    </row>
    <row r="142" spans="2:5" ht="15.6">
      <c r="B142" s="275" t="s">
        <v>618</v>
      </c>
      <c r="C142" s="273">
        <f>79.4</f>
        <v>79.400000000000006</v>
      </c>
    </row>
    <row r="143" spans="2:5" ht="15.6">
      <c r="B143" s="275" t="s">
        <v>619</v>
      </c>
      <c r="C143" s="273">
        <f>'DDM_2-Stage'!J8</f>
        <v>73.304749398964205</v>
      </c>
    </row>
    <row r="144" spans="2:5" ht="15.6">
      <c r="B144" s="275" t="s">
        <v>620</v>
      </c>
      <c r="C144" s="273">
        <f>CCA!I33</f>
        <v>83.583079136690657</v>
      </c>
    </row>
    <row r="145" spans="2:17" ht="15.6">
      <c r="B145" s="272" t="s">
        <v>621</v>
      </c>
      <c r="C145" s="272" t="s">
        <v>622</v>
      </c>
    </row>
    <row r="146" spans="2:17" ht="17.399999999999999">
      <c r="B146" s="276"/>
      <c r="C146" s="274">
        <f>0.5*C142+0.3*C143+0.2*C144</f>
        <v>78.408040647027391</v>
      </c>
      <c r="M146" s="127" t="s">
        <v>396</v>
      </c>
      <c r="N146" s="127" t="s">
        <v>397</v>
      </c>
      <c r="O146" s="127" t="s">
        <v>398</v>
      </c>
      <c r="P146" s="133" t="s">
        <v>399</v>
      </c>
      <c r="Q146" s="133" t="s">
        <v>400</v>
      </c>
    </row>
    <row r="147" spans="2:17" ht="15.6">
      <c r="L147" s="275" t="s">
        <v>623</v>
      </c>
      <c r="M147" s="277">
        <v>1220.1221666821352</v>
      </c>
      <c r="N147" s="277">
        <v>1271.7242728415849</v>
      </c>
      <c r="O147" s="277">
        <v>1408.2210031516579</v>
      </c>
      <c r="P147" s="277">
        <v>1615.1662077434557</v>
      </c>
      <c r="Q147" s="277">
        <v>1892.6825393462323</v>
      </c>
    </row>
    <row r="148" spans="2:17" ht="15.6">
      <c r="D148" s="275" t="s">
        <v>624</v>
      </c>
      <c r="E148" s="277">
        <v>2059.5634780265282</v>
      </c>
      <c r="F148" s="277">
        <v>2249.0995334150211</v>
      </c>
      <c r="G148" s="277">
        <v>2456.0780792513697</v>
      </c>
      <c r="H148" s="277">
        <v>2682.1043007463763</v>
      </c>
      <c r="I148" s="277">
        <v>2928.9311039634763</v>
      </c>
      <c r="L148" s="275" t="s">
        <v>625</v>
      </c>
      <c r="M148" s="279">
        <v>0.30574365178012691</v>
      </c>
      <c r="N148" s="279">
        <v>0.28969480176998108</v>
      </c>
      <c r="O148" s="279">
        <v>0.28625863269709328</v>
      </c>
      <c r="P148" s="279">
        <v>0.2899290188271933</v>
      </c>
      <c r="Q148" s="279">
        <v>0.29799266091941939</v>
      </c>
    </row>
    <row r="149" spans="2:17" ht="15.6">
      <c r="D149" s="275" t="s">
        <v>626</v>
      </c>
      <c r="E149" s="277">
        <v>144.04045252873709</v>
      </c>
      <c r="F149" s="277">
        <v>145.08847527750603</v>
      </c>
      <c r="G149" s="277">
        <v>146.14412332640876</v>
      </c>
      <c r="H149" s="277">
        <v>147.20745215630404</v>
      </c>
      <c r="I149" s="277">
        <v>148.27851765172343</v>
      </c>
    </row>
    <row r="150" spans="2:17" ht="15.6">
      <c r="D150" s="275" t="s">
        <v>627</v>
      </c>
      <c r="E150" s="277">
        <v>422.57014581791799</v>
      </c>
      <c r="F150" s="277">
        <v>472.39557708089012</v>
      </c>
      <c r="G150" s="277">
        <v>528.09594680108796</v>
      </c>
      <c r="H150" s="277">
        <v>590.36397154917245</v>
      </c>
      <c r="I150" s="277">
        <v>659.9740464105264</v>
      </c>
    </row>
    <row r="151" spans="2:17" ht="15.6">
      <c r="D151" s="275" t="s">
        <v>628</v>
      </c>
      <c r="E151" s="277">
        <v>1110.6214071453965</v>
      </c>
      <c r="F151" s="277">
        <v>1365.9799667880627</v>
      </c>
      <c r="G151" s="277">
        <v>1680.0515978367443</v>
      </c>
      <c r="H151" s="277">
        <v>2066.3358468065526</v>
      </c>
      <c r="I151" s="277">
        <v>2541.43613047095</v>
      </c>
    </row>
    <row r="152" spans="2:17" ht="15.6">
      <c r="D152" s="275" t="s">
        <v>419</v>
      </c>
      <c r="E152" s="277">
        <v>253.875</v>
      </c>
      <c r="F152" s="277">
        <v>157.3125</v>
      </c>
      <c r="G152" s="277">
        <v>109.03125</v>
      </c>
      <c r="H152" s="277">
        <v>84.890625</v>
      </c>
      <c r="I152" s="277">
        <v>72.8203125</v>
      </c>
    </row>
    <row r="154" spans="2:17">
      <c r="E154" s="278"/>
      <c r="F154" s="278"/>
      <c r="G154" s="278"/>
      <c r="H154" s="278"/>
      <c r="I154" s="278"/>
    </row>
    <row r="155" spans="2:17">
      <c r="E155" s="277"/>
      <c r="F155" s="277"/>
      <c r="G155" s="277"/>
      <c r="H155" s="277"/>
      <c r="I155" s="277"/>
    </row>
    <row r="161" spans="4:9" ht="15.6">
      <c r="D161" s="177"/>
      <c r="E161" s="177" t="s">
        <v>396</v>
      </c>
      <c r="F161" s="177" t="s">
        <v>397</v>
      </c>
      <c r="G161" s="177" t="s">
        <v>398</v>
      </c>
      <c r="H161" s="177" t="s">
        <v>399</v>
      </c>
      <c r="I161" s="177" t="s">
        <v>400</v>
      </c>
    </row>
    <row r="162" spans="4:9" ht="15.6">
      <c r="D162" s="275" t="s">
        <v>629</v>
      </c>
      <c r="E162" s="277">
        <v>3990.6704835185797</v>
      </c>
      <c r="F162" s="277">
        <v>4389.8760525614798</v>
      </c>
      <c r="G162" s="277">
        <v>4919.4009972156109</v>
      </c>
      <c r="H162" s="277">
        <v>5570.9021962584056</v>
      </c>
      <c r="I162" s="277">
        <v>6351.4401109966766</v>
      </c>
    </row>
    <row r="163" spans="4:9" ht="15.6">
      <c r="D163" s="275" t="s">
        <v>630</v>
      </c>
      <c r="E163" s="279">
        <f>(E162-DCF!L13)/DCF!L13</f>
        <v>5.6851293304708596E-2</v>
      </c>
      <c r="F163" s="279">
        <f>(F162-E162)/E162</f>
        <v>0.10003471113228073</v>
      </c>
      <c r="G163" s="279">
        <f>(G162-F162)/F162</f>
        <v>0.1206241220284921</v>
      </c>
      <c r="H163" s="279">
        <f>(H162-G162)/G162</f>
        <v>0.13243506667001642</v>
      </c>
      <c r="I163" s="279">
        <f>(I162-H162)/H162</f>
        <v>0.14010978603474764</v>
      </c>
    </row>
    <row r="164" spans="4:9" ht="15.6">
      <c r="D164" s="275" t="s">
        <v>631</v>
      </c>
      <c r="E164" s="277">
        <v>1220.1221666821352</v>
      </c>
      <c r="F164" s="277">
        <v>1271.7242728415849</v>
      </c>
      <c r="G164" s="277">
        <v>1408.2210031516579</v>
      </c>
      <c r="H164" s="277">
        <v>1615.1662077434557</v>
      </c>
      <c r="I164" s="277">
        <v>1892.6825393462323</v>
      </c>
    </row>
    <row r="165" spans="4:9" ht="15.6">
      <c r="D165" s="275" t="s">
        <v>625</v>
      </c>
      <c r="E165" s="279">
        <v>0.30574365178012691</v>
      </c>
      <c r="F165" s="279">
        <v>0.28969480176998108</v>
      </c>
      <c r="G165" s="279">
        <v>0.28625863269709328</v>
      </c>
      <c r="H165" s="279">
        <v>0.2899290188271933</v>
      </c>
      <c r="I165" s="279">
        <v>0.29799266091941939</v>
      </c>
    </row>
    <row r="195" spans="1:6">
      <c r="A195" t="s">
        <v>632</v>
      </c>
      <c r="B195" t="s">
        <v>633</v>
      </c>
      <c r="C195" t="s">
        <v>634</v>
      </c>
      <c r="D195" t="s">
        <v>635</v>
      </c>
      <c r="E195" t="s">
        <v>636</v>
      </c>
      <c r="F195" t="s">
        <v>637</v>
      </c>
    </row>
    <row r="196" spans="1:6">
      <c r="A196" s="117">
        <v>0.36699999999999999</v>
      </c>
      <c r="B196" s="117">
        <v>7.5999999999999998E-2</v>
      </c>
      <c r="C196" s="117">
        <v>9.4E-2</v>
      </c>
      <c r="D196" s="117">
        <v>0.113</v>
      </c>
      <c r="E196" s="117">
        <v>0.13300000000000001</v>
      </c>
      <c r="F196" s="117">
        <v>0.217</v>
      </c>
    </row>
    <row r="215" spans="1:9" ht="39.6">
      <c r="A215" s="310" t="s">
        <v>394</v>
      </c>
      <c r="B215" s="310" t="s">
        <v>503</v>
      </c>
      <c r="C215" s="310" t="s">
        <v>294</v>
      </c>
      <c r="E215" s="383" t="s">
        <v>294</v>
      </c>
      <c r="F215" s="384"/>
      <c r="G215" s="101"/>
      <c r="H215" s="147" t="s">
        <v>504</v>
      </c>
      <c r="I215" s="181">
        <f>B216*(1+F216)</f>
        <v>2.7066051600000001</v>
      </c>
    </row>
    <row r="216" spans="1:9" ht="39.6">
      <c r="A216" s="312">
        <v>2024</v>
      </c>
      <c r="B216" s="311">
        <v>2.5337999999999998</v>
      </c>
      <c r="C216" s="309">
        <v>6.0199999999999997E-2</v>
      </c>
      <c r="E216" s="147" t="s">
        <v>507</v>
      </c>
      <c r="F216" s="182">
        <v>6.8199999999999997E-2</v>
      </c>
      <c r="G216" s="101"/>
      <c r="H216" s="147" t="s">
        <v>508</v>
      </c>
      <c r="I216" s="181">
        <f>I215*(1+F216)^2</f>
        <v>3.0883751740083989</v>
      </c>
    </row>
    <row r="217" spans="1:9" ht="39.6">
      <c r="A217" s="312">
        <v>2023</v>
      </c>
      <c r="B217" s="311">
        <v>2.39</v>
      </c>
      <c r="C217" s="309">
        <v>5.9900000000000002E-2</v>
      </c>
      <c r="E217" s="147" t="s">
        <v>638</v>
      </c>
      <c r="F217" s="182">
        <v>0.03</v>
      </c>
      <c r="G217" s="101"/>
      <c r="H217" s="147" t="s">
        <v>510</v>
      </c>
      <c r="I217" s="181">
        <f>I216*(1+F216)</f>
        <v>3.2990023608757717</v>
      </c>
    </row>
    <row r="218" spans="1:9" ht="39.6">
      <c r="A218" s="312">
        <v>2022</v>
      </c>
      <c r="B218" s="311">
        <v>2.2599999999999998</v>
      </c>
      <c r="C218" s="309">
        <v>6.3700000000000007E-2</v>
      </c>
      <c r="E218" s="383" t="s">
        <v>512</v>
      </c>
      <c r="F218" s="384"/>
      <c r="G218" s="101"/>
      <c r="H218" s="147" t="s">
        <v>511</v>
      </c>
      <c r="I218" s="181">
        <f>I217*(1+F216)</f>
        <v>3.5239943218874994</v>
      </c>
    </row>
    <row r="219" spans="1:9" ht="39.6">
      <c r="A219" s="312">
        <v>2021</v>
      </c>
      <c r="B219" s="311">
        <v>2.12</v>
      </c>
      <c r="C219" s="309">
        <v>6.8000000000000005E-2</v>
      </c>
      <c r="E219" s="148" t="s">
        <v>514</v>
      </c>
      <c r="F219" s="231">
        <v>3.3599999999999998E-2</v>
      </c>
      <c r="G219" s="101"/>
      <c r="H219" s="147" t="s">
        <v>513</v>
      </c>
      <c r="I219" s="181">
        <f>I218*(1+F216)</f>
        <v>3.764330734640227</v>
      </c>
    </row>
    <row r="220" spans="1:9" ht="14.4" customHeight="1">
      <c r="A220" s="312">
        <v>2020</v>
      </c>
      <c r="B220" s="311">
        <v>1.99</v>
      </c>
      <c r="C220" s="309">
        <v>7.0099999999999996E-2</v>
      </c>
      <c r="E220" s="148" t="s">
        <v>514</v>
      </c>
      <c r="F220" s="231">
        <v>3.3599999999999998E-2</v>
      </c>
      <c r="G220" s="101"/>
      <c r="H220" s="385" t="s">
        <v>515</v>
      </c>
      <c r="I220" s="384"/>
    </row>
    <row r="221" spans="1:9" ht="26.4">
      <c r="A221" s="312">
        <v>2019</v>
      </c>
      <c r="B221" s="311">
        <v>1.86</v>
      </c>
      <c r="C221" s="309">
        <v>7.2300000000000003E-2</v>
      </c>
      <c r="E221" s="101"/>
      <c r="F221" s="101"/>
      <c r="G221" s="101"/>
      <c r="H221" s="147" t="s">
        <v>517</v>
      </c>
      <c r="I221" s="235">
        <f>I219/(F231-F217)</f>
        <v>89.292076964721005</v>
      </c>
    </row>
    <row r="222" spans="1:9" ht="26.4">
      <c r="A222" s="312">
        <v>2018</v>
      </c>
      <c r="B222" s="311">
        <v>1.73</v>
      </c>
      <c r="C222" s="309">
        <v>7.1199999999999999E-2</v>
      </c>
      <c r="E222" s="383" t="s">
        <v>518</v>
      </c>
      <c r="F222" s="384"/>
      <c r="G222" s="101"/>
      <c r="H222" s="147" t="s">
        <v>519</v>
      </c>
      <c r="I222" s="236">
        <f>NPV(F231,I215,I216,I217,I218+I221)</f>
        <v>78.128552374073763</v>
      </c>
    </row>
    <row r="223" spans="1:9" ht="39.6">
      <c r="A223" s="312">
        <v>2017</v>
      </c>
      <c r="B223" s="311">
        <v>1.62</v>
      </c>
      <c r="C223" s="309">
        <v>6.9500000000000006E-2</v>
      </c>
      <c r="E223" s="148" t="s">
        <v>520</v>
      </c>
      <c r="F223" s="182">
        <v>0.10920000000000001</v>
      </c>
      <c r="G223" s="101"/>
    </row>
    <row r="224" spans="1:9" ht="39.6">
      <c r="A224" s="312">
        <v>2016</v>
      </c>
      <c r="B224" s="311">
        <v>1.51</v>
      </c>
      <c r="C224" s="309">
        <v>7.0900000000000005E-2</v>
      </c>
      <c r="E224" s="148" t="s">
        <v>521</v>
      </c>
      <c r="F224" s="182">
        <v>0.10349999999999999</v>
      </c>
      <c r="G224" s="101"/>
    </row>
    <row r="225" spans="1:12">
      <c r="A225" s="312">
        <v>2015</v>
      </c>
      <c r="B225" s="311">
        <v>1.41</v>
      </c>
      <c r="C225" s="309">
        <v>7.6300000000000007E-2</v>
      </c>
      <c r="E225" s="148" t="s">
        <v>523</v>
      </c>
      <c r="F225" s="182">
        <f>AVERAGE(F223:F224)</f>
        <v>0.10635</v>
      </c>
      <c r="G225" s="244"/>
    </row>
    <row r="226" spans="1:12" ht="28.35" customHeight="1">
      <c r="A226" s="312">
        <v>2014</v>
      </c>
      <c r="B226" s="311">
        <v>1.31</v>
      </c>
      <c r="C226" s="309">
        <v>3.9699999999999999E-2</v>
      </c>
      <c r="E226" s="101"/>
      <c r="F226" s="101"/>
      <c r="G226" s="314" t="s">
        <v>639</v>
      </c>
      <c r="H226" s="314"/>
      <c r="I226" s="314"/>
      <c r="J226" s="399"/>
      <c r="K226" s="399"/>
      <c r="L226" s="399"/>
    </row>
    <row r="227" spans="1:12">
      <c r="E227" s="383" t="s">
        <v>530</v>
      </c>
      <c r="F227" s="384"/>
      <c r="G227" s="400" t="s">
        <v>640</v>
      </c>
      <c r="H227" s="401"/>
      <c r="I227" s="401"/>
      <c r="J227" s="399"/>
      <c r="K227" s="399"/>
      <c r="L227" s="399"/>
    </row>
    <row r="228" spans="1:12">
      <c r="E228" s="386">
        <v>0.53</v>
      </c>
      <c r="F228" s="387"/>
      <c r="G228" s="400" t="s">
        <v>531</v>
      </c>
      <c r="H228" s="401"/>
      <c r="I228" s="401"/>
      <c r="J228" s="399"/>
      <c r="K228" s="399"/>
      <c r="L228" s="399"/>
    </row>
    <row r="229" spans="1:12">
      <c r="C229" s="117">
        <f>SUM(C216:C225)/10</f>
        <v>6.8209999999999993E-2</v>
      </c>
      <c r="E229" s="101"/>
      <c r="F229" s="101"/>
      <c r="G229" s="401" t="s">
        <v>641</v>
      </c>
      <c r="H229" s="401"/>
      <c r="I229" s="401"/>
    </row>
    <row r="230" spans="1:12">
      <c r="E230" s="383" t="s">
        <v>532</v>
      </c>
      <c r="F230" s="384"/>
      <c r="G230" s="400" t="s">
        <v>530</v>
      </c>
      <c r="H230" s="401"/>
      <c r="I230" s="401"/>
    </row>
    <row r="231" spans="1:12">
      <c r="E231" s="261" t="s">
        <v>534</v>
      </c>
      <c r="F231" s="240">
        <f>F220+E228*(F225-F220)</f>
        <v>7.2157500000000013E-2</v>
      </c>
      <c r="H231" s="101" t="s">
        <v>524</v>
      </c>
      <c r="I231" s="101" t="s">
        <v>525</v>
      </c>
      <c r="J231" t="s">
        <v>526</v>
      </c>
      <c r="K231" t="s">
        <v>527</v>
      </c>
      <c r="L231" t="s">
        <v>528</v>
      </c>
    </row>
    <row r="232" spans="1:12">
      <c r="G232" s="313" t="s">
        <v>642</v>
      </c>
    </row>
    <row r="242" spans="7:9" ht="17.399999999999999">
      <c r="G242" s="342" t="s">
        <v>476</v>
      </c>
      <c r="H242" s="343"/>
    </row>
    <row r="243" spans="7:9" ht="28.2">
      <c r="G243" s="314" t="s">
        <v>639</v>
      </c>
      <c r="H243" s="315">
        <v>6.8199999999999997E-2</v>
      </c>
      <c r="I243" s="314"/>
    </row>
    <row r="244" spans="7:9">
      <c r="G244" s="142" t="s">
        <v>643</v>
      </c>
      <c r="H244" s="163">
        <v>0.03</v>
      </c>
    </row>
    <row r="245" spans="7:9" ht="15.6">
      <c r="G245" s="141" t="s">
        <v>481</v>
      </c>
      <c r="H245" s="220">
        <v>83.6</v>
      </c>
    </row>
    <row r="246" spans="7:9" ht="15.6">
      <c r="G246" s="142" t="s">
        <v>644</v>
      </c>
      <c r="H246" s="220">
        <v>63.26</v>
      </c>
    </row>
    <row r="247" spans="7:9" ht="15.6">
      <c r="G247" s="145" t="s">
        <v>645</v>
      </c>
      <c r="H247" s="220">
        <v>10.039999999999999</v>
      </c>
    </row>
    <row r="248" spans="7:9" ht="15.6">
      <c r="G248" s="156" t="s">
        <v>500</v>
      </c>
      <c r="H248" s="220">
        <f>H247+H246</f>
        <v>73.3</v>
      </c>
    </row>
  </sheetData>
  <mergeCells count="25">
    <mergeCell ref="J226:L226"/>
    <mergeCell ref="J227:L227"/>
    <mergeCell ref="J228:L228"/>
    <mergeCell ref="G242:H242"/>
    <mergeCell ref="E228:F228"/>
    <mergeCell ref="E230:F230"/>
    <mergeCell ref="G227:I227"/>
    <mergeCell ref="G228:I228"/>
    <mergeCell ref="G229:I229"/>
    <mergeCell ref="G230:I230"/>
    <mergeCell ref="E215:F215"/>
    <mergeCell ref="E218:F218"/>
    <mergeCell ref="H220:I220"/>
    <mergeCell ref="E222:F222"/>
    <mergeCell ref="E227:F227"/>
    <mergeCell ref="B140:B141"/>
    <mergeCell ref="R1:S1"/>
    <mergeCell ref="U1:V1"/>
    <mergeCell ref="X1:AB1"/>
    <mergeCell ref="A1:B1"/>
    <mergeCell ref="A19:B19"/>
    <mergeCell ref="L46:L47"/>
    <mergeCell ref="M46:Q46"/>
    <mergeCell ref="L57:L58"/>
    <mergeCell ref="M57:Q57"/>
  </mergeCells>
  <phoneticPr fontId="2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CA95-658E-4BDC-B0E7-0B693BAEC531}">
  <dimension ref="A1"/>
  <sheetViews>
    <sheetView topLeftCell="A11" workbookViewId="0"/>
  </sheetViews>
  <sheetFormatPr defaultColWidth="8.88671875" defaultRowHeight="14.4"/>
  <sheetData/>
  <phoneticPr fontId="2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Balance Sheet</vt:lpstr>
      <vt:lpstr>Cash Flow</vt:lpstr>
      <vt:lpstr>Income sheet</vt:lpstr>
      <vt:lpstr>Financial Analysis</vt:lpstr>
      <vt:lpstr>CCA</vt:lpstr>
      <vt:lpstr>Caculation</vt:lpstr>
      <vt:lpstr>DCF</vt:lpstr>
      <vt:lpstr>Sheet1</vt:lpstr>
      <vt:lpstr>DDM_2-Stage</vt:lpstr>
      <vt:lpstr>Figure table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Ayuba Jimoh</dc:creator>
  <cp:keywords/>
  <dc:description/>
  <cp:lastModifiedBy>Ayuba Jimoh</cp:lastModifiedBy>
  <cp:revision/>
  <dcterms:created xsi:type="dcterms:W3CDTF">2025-10-03T23:44:00Z</dcterms:created>
  <dcterms:modified xsi:type="dcterms:W3CDTF">2026-05-03T13:28:56Z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93F2A7BD0DC84F4DACEDF1DB0B31EDCA_12</vt:lpwstr>
  </property>
  <property fmtid="{D5CDD505-2E9C-101B-9397-08002B2CF9AE}" pid="3" name="KSOProductBuildVer">
    <vt:lpwstr>2052-12.1.0.22529</vt:lpwstr>
  </property>
</Properties>
</file>