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pivotCache/pivotCacheDefinition58.xml" ContentType="application/vnd.openxmlformats-officedocument.spreadsheetml.pivotCacheDefinition+xml"/>
  <Override PartName="/xl/pivotCache/pivotCacheDefinition59.xml" ContentType="application/vnd.openxmlformats-officedocument.spreadsheetml.pivotCacheDefinition+xml"/>
  <Override PartName="/xl/pivotCache/pivotCacheDefinition60.xml" ContentType="application/vnd.openxmlformats-officedocument.spreadsheetml.pivotCacheDefinition+xml"/>
  <Override PartName="/xl/pivotCache/pivotCacheDefinition61.xml" ContentType="application/vnd.openxmlformats-officedocument.spreadsheetml.pivotCacheDefinition+xml"/>
  <Override PartName="/xl/pivotCache/pivotCacheDefinition62.xml" ContentType="application/vnd.openxmlformats-officedocument.spreadsheetml.pivotCacheDefinition+xml"/>
  <Override PartName="/xl/pivotCache/pivotCacheDefinition63.xml" ContentType="application/vnd.openxmlformats-officedocument.spreadsheetml.pivotCacheDefinition+xml"/>
  <Override PartName="/xl/pivotCache/pivotCacheDefinition64.xml" ContentType="application/vnd.openxmlformats-officedocument.spreadsheetml.pivotCacheDefinition+xml"/>
  <Override PartName="/xl/pivotCache/pivotCacheDefinition65.xml" ContentType="application/vnd.openxmlformats-officedocument.spreadsheetml.pivotCacheDefinition+xml"/>
  <Override PartName="/xl/pivotCache/pivotCacheDefinition66.xml" ContentType="application/vnd.openxmlformats-officedocument.spreadsheetml.pivotCacheDefinition+xml"/>
  <Override PartName="/xl/pivotCache/pivotCacheDefinition67.xml" ContentType="application/vnd.openxmlformats-officedocument.spreadsheetml.pivotCacheDefinition+xml"/>
  <Override PartName="/xl/pivotCache/pivotCacheDefinition68.xml" ContentType="application/vnd.openxmlformats-officedocument.spreadsheetml.pivotCacheDefinition+xml"/>
  <Override PartName="/xl/pivotCache/pivotCacheDefinition6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style8.xml" ContentType="application/vnd.ms-office.chartstyle+xml"/>
  <Override PartName="/xl/charts/colors8.xml" ContentType="application/vnd.ms-office.chartcolorstyle+xml"/>
  <Override PartName="/xl/charts/chart18.xml" ContentType="application/vnd.openxmlformats-officedocument.drawingml.chart+xml"/>
  <Override PartName="/xl/charts/style9.xml" ContentType="application/vnd.ms-office.chartstyle+xml"/>
  <Override PartName="/xl/charts/colors9.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23.xml" ContentType="application/vnd.openxmlformats-officedocument.drawingml.chart+xml"/>
  <Override PartName="/xl/charts/style10.xml" ContentType="application/vnd.ms-office.chartstyle+xml"/>
  <Override PartName="/xl/charts/colors10.xml" ContentType="application/vnd.ms-office.chartcolorstyle+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style11.xml" ContentType="application/vnd.ms-office.chartstyle+xml"/>
  <Override PartName="/xl/charts/colors11.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32.xml" ContentType="application/vnd.openxmlformats-officedocument.drawingml.chart+xml"/>
  <Override PartName="/xl/charts/chart33.xml" ContentType="application/vnd.openxmlformats-officedocument.drawingml.chart+xml"/>
  <Override PartName="/xl/charts/style12.xml" ContentType="application/vnd.ms-office.chartstyle+xml"/>
  <Override PartName="/xl/charts/colors12.xml" ContentType="application/vnd.ms-office.chartcolorstyle+xml"/>
  <Override PartName="/xl/charts/chart34.xml" ContentType="application/vnd.openxmlformats-officedocument.drawingml.chart+xml"/>
  <Override PartName="/xl/charts/style13.xml" ContentType="application/vnd.ms-office.chartstyle+xml"/>
  <Override PartName="/xl/charts/colors13.xml" ContentType="application/vnd.ms-office.chartcolorstyle+xml"/>
  <Override PartName="/xl/charts/chart3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5.xml" ContentType="application/vnd.ms-excel.slicer+xml"/>
  <Override PartName="/xl/charts/chart36.xml" ContentType="application/vnd.openxmlformats-officedocument.drawingml.chart+xml"/>
  <Override PartName="/xl/charts/chart37.xml" ContentType="application/vnd.openxmlformats-officedocument.drawingml.chart+xml"/>
  <Override PartName="/xl/charts/style15.xml" ContentType="application/vnd.ms-office.chartstyle+xml"/>
  <Override PartName="/xl/charts/colors15.xml" ContentType="application/vnd.ms-office.chartcolorstyle+xml"/>
  <Override PartName="/xl/charts/chart38.xml" ContentType="application/vnd.openxmlformats-officedocument.drawingml.chart+xml"/>
  <Override PartName="/xl/charts/style16.xml" ContentType="application/vnd.ms-office.chartstyle+xml"/>
  <Override PartName="/xl/charts/colors16.xml" ContentType="application/vnd.ms-office.chartcolorstyle+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6.xml" ContentType="application/vnd.openxmlformats-officedocument.drawing+xml"/>
  <Override PartName="/xl/charts/chart42.xml" ContentType="application/vnd.openxmlformats-officedocument.drawingml.chart+xml"/>
  <Override PartName="/xl/charts/style18.xml" ContentType="application/vnd.ms-office.chartstyle+xml"/>
  <Override PartName="/xl/charts/colors18.xml" ContentType="application/vnd.ms-office.chartcolorstyle+xml"/>
  <Override PartName="/xl/charts/chart43.xml" ContentType="application/vnd.openxmlformats-officedocument.drawingml.chart+xml"/>
  <Override PartName="/xl/charts/style19.xml" ContentType="application/vnd.ms-office.chartstyle+xml"/>
  <Override PartName="/xl/charts/colors19.xml" ContentType="application/vnd.ms-office.chartcolorstyle+xml"/>
  <Override PartName="/xl/charts/chart44.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iamti\OneDrive\Desktop\"/>
    </mc:Choice>
  </mc:AlternateContent>
  <xr:revisionPtr revIDLastSave="0" documentId="13_ncr:1_{9450A08E-5656-41AB-A3DB-DA476D0CA61A}" xr6:coauthVersionLast="47" xr6:coauthVersionMax="47" xr10:uidLastSave="{00000000-0000-0000-0000-000000000000}"/>
  <bookViews>
    <workbookView xWindow="-120" yWindow="-120" windowWidth="20730" windowHeight="11760" activeTab="2" xr2:uid="{6910699C-37A2-4986-A5A1-98E9063AB184}"/>
  </bookViews>
  <sheets>
    <sheet name="dashboard 1" sheetId="2" r:id="rId1"/>
    <sheet name="dashboard 2" sheetId="10" r:id="rId2"/>
    <sheet name="Dashoard 3" sheetId="19" r:id="rId3"/>
    <sheet name="Dashboard 4" sheetId="23" r:id="rId4"/>
    <sheet name="Dashboard 5" sheetId="24" r:id="rId5"/>
    <sheet name="Calculations 1" sheetId="4" r:id="rId6"/>
    <sheet name="calculation 2" sheetId="22" r:id="rId7"/>
    <sheet name="calculation 3 &amp; 4" sheetId="18" r:id="rId8"/>
    <sheet name="Raw sheet" sheetId="1" r:id="rId9"/>
  </sheets>
  <definedNames>
    <definedName name="_xlnm._FilterDatabase" localSheetId="8" hidden="1">'Raw sheet'!$A$1:$P$501</definedName>
    <definedName name="_xlcn.WorksheetConnection_METROBANKEXCELversion1.xlsxTable11" hidden="1">Table1[]</definedName>
    <definedName name="accounts">#REF!</definedName>
    <definedName name="age">'Calculations 1'!$B$4</definedName>
    <definedName name="amounts">#REF!</definedName>
    <definedName name="avgamounts">#REF!</definedName>
    <definedName name="avgrev">'calculation 3 &amp; 4'!$AD$7</definedName>
    <definedName name="backlog">'calculation 3 &amp; 4'!$AH$46</definedName>
    <definedName name="BALA">#REF!</definedName>
    <definedName name="BRANCH">'calculation 3 &amp; 4'!$T$3</definedName>
    <definedName name="CHECKING">#REF!</definedName>
    <definedName name="complaints">'calculation 3 &amp; 4'!$AG$2</definedName>
    <definedName name="CREDIT">#REF!</definedName>
    <definedName name="creditcard">#REF!</definedName>
    <definedName name="CUSTOMER">'Calculations 1'!$A$4</definedName>
    <definedName name="depo">#REF!</definedName>
    <definedName name="fraud">'calculation 3 &amp; 4'!$AH$6</definedName>
    <definedName name="income">'Calculations 1'!$C$4</definedName>
    <definedName name="kpiamount">'calculation 3 &amp; 4'!$I$19</definedName>
    <definedName name="kpiavgmout">'calculation 3 &amp; 4'!$I$20</definedName>
    <definedName name="kpitransac">'calculation 3 &amp; 4'!$I$21</definedName>
    <definedName name="LOAN">#REF!</definedName>
    <definedName name="loann">#REF!</definedName>
    <definedName name="loyal">'Calculations 1'!$E$9</definedName>
    <definedName name="lyamount">'calculation 3 &amp; 4'!$J$19</definedName>
    <definedName name="lyavgamont">'calculation 3 &amp; 4'!$J$20</definedName>
    <definedName name="lytrans">'calculation 3 &amp; 4'!$J$21</definedName>
    <definedName name="MARGIN">'calculation 3 &amp; 4'!$X$3</definedName>
    <definedName name="open">'calculation 3 &amp; 4'!$AK$6</definedName>
    <definedName name="OPERATING">'calculation 3 &amp; 4'!$U$3</definedName>
    <definedName name="prem">'calculation 3 &amp; 4'!$AQ$3</definedName>
    <definedName name="PROFITTT">'calculation 3 &amp; 4'!$W$3</definedName>
    <definedName name="realbalance">'calculation 2'!$A$6</definedName>
    <definedName name="realcredit">'calculation 2'!$A$2</definedName>
    <definedName name="realdeposit">'calculation 2'!$G$9</definedName>
    <definedName name="realloan">'calculation 2'!$A$4</definedName>
    <definedName name="realtransss">'calculation 3 &amp; 4'!$L$14</definedName>
    <definedName name="REALTRANSSSSSSS">'calculation 3 &amp; 4'!$N$29</definedName>
    <definedName name="resolutiion">'calculation 3 &amp; 4'!$AG$35</definedName>
    <definedName name="REVENUEE">'calculation 3 &amp; 4'!$V$3</definedName>
    <definedName name="savingsss">#REF!</definedName>
    <definedName name="Slicer_Age_group">#N/A</definedName>
    <definedName name="Slicer_Complaint_Type">#N/A</definedName>
    <definedName name="Slicer_Customer_Segment">#N/A</definedName>
    <definedName name="Slicer_Customer_Segment1">#N/A</definedName>
    <definedName name="Slicer_Customer_Segment2">#N/A</definedName>
    <definedName name="Slicer_Customer_Segment3">#N/A</definedName>
    <definedName name="Slicer_Date__Year">#N/A</definedName>
    <definedName name="Slicer_income_bracket">#N/A</definedName>
    <definedName name="Slicer_income_bracket1">#N/A</definedName>
    <definedName name="Slicer_Region">#N/A</definedName>
    <definedName name="Slicer_Region1">#N/A</definedName>
    <definedName name="STAFFS">'calculation 3 &amp; 4'!$Y$3</definedName>
    <definedName name="tenure">'Calculations 1'!$D$4</definedName>
    <definedName name="totalaccounts">'calculation 2'!$H$16</definedName>
    <definedName name="totalbalances">'calculation 2'!$B$20</definedName>
    <definedName name="totallfraudddddd">'calculation 3 &amp; 4'!$AT$9</definedName>
    <definedName name="transactions">#REF!</definedName>
    <definedName name="urgent">'calculation 3 &amp; 4'!$AM$3</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 cacheId="28" r:id="rId38"/>
    <pivotCache cacheId="29" r:id="rId39"/>
    <pivotCache cacheId="30" r:id="rId40"/>
    <pivotCache cacheId="31" r:id="rId41"/>
    <pivotCache cacheId="32" r:id="rId42"/>
    <pivotCache cacheId="33" r:id="rId43"/>
    <pivotCache cacheId="34" r:id="rId44"/>
    <pivotCache cacheId="35" r:id="rId45"/>
    <pivotCache cacheId="36" r:id="rId46"/>
    <pivotCache cacheId="37" r:id="rId47"/>
    <pivotCache cacheId="38" r:id="rId48"/>
    <pivotCache cacheId="39" r:id="rId49"/>
    <pivotCache cacheId="40" r:id="rId50"/>
    <pivotCache cacheId="41" r:id="rId51"/>
    <pivotCache cacheId="42" r:id="rId52"/>
    <pivotCache cacheId="43" r:id="rId53"/>
    <pivotCache cacheId="44" r:id="rId54"/>
    <pivotCache cacheId="45" r:id="rId55"/>
    <pivotCache cacheId="46" r:id="rId56"/>
    <pivotCache cacheId="47" r:id="rId57"/>
    <pivotCache cacheId="48" r:id="rId58"/>
    <pivotCache cacheId="49" r:id="rId59"/>
    <pivotCache cacheId="50" r:id="rId60"/>
    <pivotCache cacheId="51" r:id="rId61"/>
    <pivotCache cacheId="52" r:id="rId62"/>
    <pivotCache cacheId="53" r:id="rId63"/>
    <pivotCache cacheId="54" r:id="rId64"/>
    <pivotCache cacheId="55" r:id="rId65"/>
    <pivotCache cacheId="56" r:id="rId66"/>
    <pivotCache cacheId="57" r:id="rId67"/>
    <pivotCache cacheId="58" r:id="rId68"/>
    <pivotCache cacheId="59" r:id="rId69"/>
    <pivotCache cacheId="60" r:id="rId70"/>
    <pivotCache cacheId="61" r:id="rId71"/>
    <pivotCache cacheId="62" r:id="rId72"/>
    <pivotCache cacheId="63" r:id="rId73"/>
    <pivotCache cacheId="64" r:id="rId74"/>
  </pivotCaches>
  <extLst>
    <ext xmlns:x14="http://schemas.microsoft.com/office/spreadsheetml/2009/9/main" uri="{876F7934-8845-4945-9796-88D515C7AA90}">
      <x14:pivotCaches>
        <pivotCache cacheId="65" r:id="rId75"/>
        <pivotCache cacheId="66" r:id="rId76"/>
        <pivotCache cacheId="67" r:id="rId77"/>
        <pivotCache cacheId="68" r:id="rId78"/>
      </x14:pivotCaches>
    </ext>
    <ext xmlns:x14="http://schemas.microsoft.com/office/spreadsheetml/2009/9/main" uri="{BBE1A952-AA13-448e-AADC-164F8A28A991}">
      <x14:slicerCaches>
        <x14:slicerCache r:id="rId79"/>
        <x14:slicerCache r:id="rId80"/>
        <x14:slicerCache r:id="rId81"/>
        <x14:slicerCache r:id="rId82"/>
        <x14:slicerCache r:id="rId83"/>
        <x14:slicerCache r:id="rId84"/>
        <x14:slicerCache r:id="rId85"/>
        <x14:slicerCache r:id="rId86"/>
        <x14:slicerCache r:id="rId87"/>
        <x14:slicerCache r:id="rId88"/>
        <x14:slicerCache r:id="rId8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f90adb17-62af-412d-bf2f-5b972a123207" name="Table1" connection="Query - Table1"/>
          <x15:modelTable id="accounts_fbf450a4-2d9e-492c-b937-c37186f7be6e" name="accounts" connection="Query - accounts"/>
          <x15:modelTable id="transactions_3fc641fb-4373-4203-b099-e0e3b1ba2f48" name="transactions" connection="Query - transactions"/>
          <x15:modelTable id="branches_a6803809-67f0-4ed5-bb31-1e9da16254e2" name="branches" connection="Query - branches"/>
          <x15:modelTable id="Copy of complaints_74acf884-b83b-4d76-b03f-0217cb5d58ad" name="Copy of complaints" connection="Query - Copy of complaints"/>
          <x15:modelTable id="CLEAN COMPLAIN_f38abc28-f8df-40c7-93b5-3bb2dbe0dc84" name="CLEAN COMPLAIN" connection="Query - CLEAN COMPLAIN"/>
          <x15:modelTable id="CLEAN ACC_5189d1d4-7d0e-4951-a4ba-721509b46a2f" name="CLEAN ACC" connection="Query - CLEAN ACC"/>
          <x15:modelTable id="COMPLAINT ACCOUNT MERGE_cdd35b0a-54df-4196-8600-0f596bf5b809" name="COMPLAINT ACCOUNT MERGE" connection="Query - COMPLAINT ACCOUNT MERGE"/>
          <x15:modelTable id="Merge1_63109b0c-c883-49d6-80cb-c64e76ea41a9" name="Merge1" connection="Query - Merge1"/>
          <x15:modelTable id="Table1 1" name="Table1 1" connection="WorksheetConnection_METRO BANK EXCEL (version 1).xlsx!Table1"/>
        </x15:modelTables>
        <x15:modelRelationships>
          <x15:modelRelationship fromTable="accounts" fromColumn="CustomerID" toTable="Table1" toColumn="CustomerID"/>
          <x15:modelRelationship fromTable="transactions" fromColumn="AccountID" toTable="accounts" toColumn="AccountID"/>
          <x15:modelRelationship fromTable="Copy of complaints" fromColumn="CustomerID" toTable="Table1" toColumn="CustomerID"/>
          <x15:modelRelationship fromTable="Merge1" fromColumn="CustomerID" toTable="Table1" toColumn="CustomerID"/>
        </x15:modelRelationships>
        <x15:extLst>
          <ext xmlns:x16="http://schemas.microsoft.com/office/spreadsheetml/2014/11/main" uri="{9835A34E-60A6-4A7C-AAB8-D5F71C897F49}">
            <x16:modelTimeGroupings>
              <x16:modelTimeGrouping tableName="Copy of complaints"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01" i="1" l="1"/>
  <c r="L501" i="1"/>
  <c r="K501" i="1"/>
  <c r="K501" i="1" a="1"/>
  <c r="H501" i="1"/>
  <c r="H501" i="1" a="1"/>
  <c r="N500" i="1"/>
  <c r="L500" i="1"/>
  <c r="K500" i="1"/>
  <c r="K500" i="1" a="1"/>
  <c r="H500" i="1"/>
  <c r="H500" i="1" a="1"/>
  <c r="N499" i="1"/>
  <c r="L499" i="1"/>
  <c r="K499" i="1"/>
  <c r="K499" i="1" a="1"/>
  <c r="H499" i="1"/>
  <c r="H499" i="1" a="1"/>
  <c r="N498" i="1"/>
  <c r="L498" i="1"/>
  <c r="K498" i="1"/>
  <c r="K498" i="1" a="1"/>
  <c r="H498" i="1"/>
  <c r="H498" i="1" a="1"/>
  <c r="N497" i="1"/>
  <c r="L497" i="1"/>
  <c r="K497" i="1"/>
  <c r="K497" i="1" a="1"/>
  <c r="H497" i="1"/>
  <c r="H497" i="1" a="1"/>
  <c r="N496" i="1"/>
  <c r="L496" i="1"/>
  <c r="K496" i="1"/>
  <c r="K496" i="1" a="1"/>
  <c r="H496" i="1"/>
  <c r="H496" i="1" a="1"/>
  <c r="N495" i="1"/>
  <c r="L495" i="1"/>
  <c r="K495" i="1"/>
  <c r="K495" i="1" a="1"/>
  <c r="H495" i="1"/>
  <c r="H495" i="1" a="1"/>
  <c r="N494" i="1"/>
  <c r="L494" i="1"/>
  <c r="K494" i="1"/>
  <c r="K494" i="1" a="1"/>
  <c r="H494" i="1"/>
  <c r="H494" i="1" a="1"/>
  <c r="N493" i="1"/>
  <c r="L493" i="1"/>
  <c r="K493" i="1"/>
  <c r="K493" i="1" a="1"/>
  <c r="H493" i="1"/>
  <c r="H493" i="1" a="1"/>
  <c r="N492" i="1"/>
  <c r="L492" i="1"/>
  <c r="K492" i="1"/>
  <c r="K492" i="1" a="1"/>
  <c r="H492" i="1"/>
  <c r="H492" i="1" a="1"/>
  <c r="N491" i="1"/>
  <c r="L491" i="1"/>
  <c r="K491" i="1"/>
  <c r="K491" i="1" a="1"/>
  <c r="H491" i="1"/>
  <c r="H491" i="1" a="1"/>
  <c r="N490" i="1"/>
  <c r="L490" i="1"/>
  <c r="K490" i="1"/>
  <c r="K490" i="1" a="1"/>
  <c r="H490" i="1"/>
  <c r="H490" i="1" a="1"/>
  <c r="N489" i="1"/>
  <c r="L489" i="1"/>
  <c r="K489" i="1"/>
  <c r="K489" i="1" a="1"/>
  <c r="H489" i="1"/>
  <c r="H489" i="1" a="1"/>
  <c r="N488" i="1"/>
  <c r="L488" i="1"/>
  <c r="K488" i="1"/>
  <c r="K488" i="1" a="1"/>
  <c r="H488" i="1"/>
  <c r="H488" i="1" a="1"/>
  <c r="N487" i="1"/>
  <c r="L487" i="1"/>
  <c r="K487" i="1"/>
  <c r="K487" i="1" a="1"/>
  <c r="H487" i="1"/>
  <c r="H487" i="1" a="1"/>
  <c r="N486" i="1"/>
  <c r="L486" i="1"/>
  <c r="K486" i="1"/>
  <c r="K486" i="1" a="1"/>
  <c r="H486" i="1"/>
  <c r="H486" i="1" a="1"/>
  <c r="N485" i="1"/>
  <c r="L485" i="1"/>
  <c r="K485" i="1"/>
  <c r="K485" i="1" a="1"/>
  <c r="H485" i="1"/>
  <c r="H485" i="1" a="1"/>
  <c r="N484" i="1"/>
  <c r="L484" i="1"/>
  <c r="K484" i="1"/>
  <c r="K484" i="1" a="1"/>
  <c r="H484" i="1"/>
  <c r="H484" i="1" a="1"/>
  <c r="N483" i="1"/>
  <c r="L483" i="1"/>
  <c r="K483" i="1"/>
  <c r="K483" i="1" a="1"/>
  <c r="H483" i="1"/>
  <c r="H483" i="1" a="1"/>
  <c r="N482" i="1"/>
  <c r="L482" i="1"/>
  <c r="K482" i="1"/>
  <c r="K482" i="1" a="1"/>
  <c r="H482" i="1"/>
  <c r="H482" i="1" a="1"/>
  <c r="N481" i="1"/>
  <c r="L481" i="1"/>
  <c r="K481" i="1"/>
  <c r="K481" i="1" a="1"/>
  <c r="H481" i="1"/>
  <c r="H481" i="1" a="1"/>
  <c r="N480" i="1"/>
  <c r="L480" i="1"/>
  <c r="K480" i="1"/>
  <c r="K480" i="1" a="1"/>
  <c r="H480" i="1"/>
  <c r="H480" i="1" a="1"/>
  <c r="N479" i="1"/>
  <c r="L479" i="1"/>
  <c r="K479" i="1"/>
  <c r="K479" i="1" a="1"/>
  <c r="H479" i="1"/>
  <c r="H479" i="1" a="1"/>
  <c r="N478" i="1"/>
  <c r="L478" i="1"/>
  <c r="K478" i="1"/>
  <c r="K478" i="1" a="1"/>
  <c r="H478" i="1"/>
  <c r="H478" i="1" a="1"/>
  <c r="N477" i="1"/>
  <c r="L477" i="1"/>
  <c r="K477" i="1"/>
  <c r="K477" i="1" a="1"/>
  <c r="H477" i="1"/>
  <c r="H477" i="1" a="1"/>
  <c r="N476" i="1"/>
  <c r="L476" i="1"/>
  <c r="K476" i="1"/>
  <c r="K476" i="1" a="1"/>
  <c r="H476" i="1"/>
  <c r="H476" i="1" a="1"/>
  <c r="N475" i="1"/>
  <c r="L475" i="1"/>
  <c r="K475" i="1"/>
  <c r="K475" i="1" a="1"/>
  <c r="H475" i="1"/>
  <c r="H475" i="1" a="1"/>
  <c r="N474" i="1"/>
  <c r="L474" i="1"/>
  <c r="K474" i="1"/>
  <c r="K474" i="1" a="1"/>
  <c r="H474" i="1"/>
  <c r="H474" i="1" a="1"/>
  <c r="N473" i="1"/>
  <c r="L473" i="1"/>
  <c r="K473" i="1"/>
  <c r="K473" i="1" a="1"/>
  <c r="H473" i="1"/>
  <c r="H473" i="1" a="1"/>
  <c r="N472" i="1"/>
  <c r="L472" i="1"/>
  <c r="K472" i="1"/>
  <c r="K472" i="1" a="1"/>
  <c r="H472" i="1"/>
  <c r="H472" i="1" a="1"/>
  <c r="N471" i="1"/>
  <c r="L471" i="1"/>
  <c r="K471" i="1"/>
  <c r="K471" i="1" a="1"/>
  <c r="H471" i="1"/>
  <c r="H471" i="1" a="1"/>
  <c r="N470" i="1"/>
  <c r="L470" i="1"/>
  <c r="K470" i="1"/>
  <c r="K470" i="1" a="1"/>
  <c r="H470" i="1"/>
  <c r="H470" i="1" a="1"/>
  <c r="N469" i="1"/>
  <c r="L469" i="1"/>
  <c r="K469" i="1"/>
  <c r="K469" i="1" a="1"/>
  <c r="H469" i="1"/>
  <c r="H469" i="1" a="1"/>
  <c r="N468" i="1"/>
  <c r="L468" i="1"/>
  <c r="K468" i="1"/>
  <c r="K468" i="1" a="1"/>
  <c r="H468" i="1"/>
  <c r="H468" i="1" a="1"/>
  <c r="N467" i="1"/>
  <c r="L467" i="1"/>
  <c r="K467" i="1"/>
  <c r="K467" i="1" a="1"/>
  <c r="H467" i="1"/>
  <c r="H467" i="1" a="1"/>
  <c r="N466" i="1"/>
  <c r="L466" i="1"/>
  <c r="K466" i="1"/>
  <c r="K466" i="1" a="1"/>
  <c r="H466" i="1"/>
  <c r="H466" i="1" a="1"/>
  <c r="N465" i="1"/>
  <c r="L465" i="1"/>
  <c r="K465" i="1"/>
  <c r="K465" i="1" a="1"/>
  <c r="H465" i="1"/>
  <c r="H465" i="1" a="1"/>
  <c r="N464" i="1"/>
  <c r="L464" i="1"/>
  <c r="K464" i="1"/>
  <c r="K464" i="1" a="1"/>
  <c r="H464" i="1"/>
  <c r="H464" i="1" a="1"/>
  <c r="N463" i="1"/>
  <c r="L463" i="1"/>
  <c r="K463" i="1"/>
  <c r="K463" i="1" a="1"/>
  <c r="H463" i="1"/>
  <c r="H463" i="1" a="1"/>
  <c r="N462" i="1"/>
  <c r="L462" i="1"/>
  <c r="K462" i="1"/>
  <c r="K462" i="1" a="1"/>
  <c r="H462" i="1"/>
  <c r="H462" i="1" a="1"/>
  <c r="N461" i="1"/>
  <c r="L461" i="1"/>
  <c r="K461" i="1"/>
  <c r="K461" i="1" a="1"/>
  <c r="H461" i="1"/>
  <c r="H461" i="1" a="1"/>
  <c r="N460" i="1"/>
  <c r="L460" i="1"/>
  <c r="K460" i="1"/>
  <c r="K460" i="1" a="1"/>
  <c r="H460" i="1"/>
  <c r="H460" i="1" a="1"/>
  <c r="N459" i="1"/>
  <c r="L459" i="1"/>
  <c r="K459" i="1"/>
  <c r="K459" i="1" a="1"/>
  <c r="H459" i="1"/>
  <c r="H459" i="1" a="1"/>
  <c r="N458" i="1"/>
  <c r="L458" i="1"/>
  <c r="K458" i="1"/>
  <c r="K458" i="1" a="1"/>
  <c r="H458" i="1"/>
  <c r="H458" i="1" a="1"/>
  <c r="N457" i="1"/>
  <c r="L457" i="1"/>
  <c r="K457" i="1"/>
  <c r="K457" i="1" a="1"/>
  <c r="H457" i="1"/>
  <c r="H457" i="1" a="1"/>
  <c r="N456" i="1"/>
  <c r="L456" i="1"/>
  <c r="K456" i="1"/>
  <c r="K456" i="1" a="1"/>
  <c r="H456" i="1"/>
  <c r="H456" i="1" a="1"/>
  <c r="N455" i="1"/>
  <c r="L455" i="1"/>
  <c r="K455" i="1"/>
  <c r="K455" i="1" a="1"/>
  <c r="H455" i="1"/>
  <c r="H455" i="1" a="1"/>
  <c r="N454" i="1"/>
  <c r="L454" i="1"/>
  <c r="K454" i="1"/>
  <c r="K454" i="1" a="1"/>
  <c r="H454" i="1"/>
  <c r="H454" i="1" a="1"/>
  <c r="N453" i="1"/>
  <c r="L453" i="1"/>
  <c r="K453" i="1"/>
  <c r="K453" i="1" a="1"/>
  <c r="H453" i="1"/>
  <c r="H453" i="1" a="1"/>
  <c r="N452" i="1"/>
  <c r="L452" i="1"/>
  <c r="K452" i="1"/>
  <c r="K452" i="1" a="1"/>
  <c r="H452" i="1"/>
  <c r="H452" i="1" a="1"/>
  <c r="N451" i="1"/>
  <c r="L451" i="1"/>
  <c r="K451" i="1"/>
  <c r="K451" i="1" a="1"/>
  <c r="H451" i="1"/>
  <c r="H451" i="1" a="1"/>
  <c r="N450" i="1"/>
  <c r="L450" i="1"/>
  <c r="K450" i="1"/>
  <c r="K450" i="1" a="1"/>
  <c r="H450" i="1"/>
  <c r="H450" i="1" a="1"/>
  <c r="N449" i="1"/>
  <c r="L449" i="1"/>
  <c r="K449" i="1"/>
  <c r="K449" i="1" a="1"/>
  <c r="H449" i="1"/>
  <c r="H449" i="1" a="1"/>
  <c r="N448" i="1"/>
  <c r="L448" i="1"/>
  <c r="K448" i="1"/>
  <c r="K448" i="1" a="1"/>
  <c r="H448" i="1"/>
  <c r="H448" i="1" a="1"/>
  <c r="N447" i="1"/>
  <c r="L447" i="1"/>
  <c r="K447" i="1"/>
  <c r="K447" i="1" a="1"/>
  <c r="H447" i="1"/>
  <c r="H447" i="1" a="1"/>
  <c r="N446" i="1"/>
  <c r="L446" i="1"/>
  <c r="K446" i="1"/>
  <c r="K446" i="1" a="1"/>
  <c r="H446" i="1"/>
  <c r="H446" i="1" a="1"/>
  <c r="N445" i="1"/>
  <c r="L445" i="1"/>
  <c r="K445" i="1"/>
  <c r="K445" i="1" a="1"/>
  <c r="H445" i="1"/>
  <c r="H445" i="1" a="1"/>
  <c r="N444" i="1"/>
  <c r="L444" i="1"/>
  <c r="K444" i="1"/>
  <c r="K444" i="1" a="1"/>
  <c r="H444" i="1"/>
  <c r="H444" i="1" a="1"/>
  <c r="N443" i="1"/>
  <c r="L443" i="1"/>
  <c r="K443" i="1"/>
  <c r="K443" i="1" a="1"/>
  <c r="H443" i="1"/>
  <c r="H443" i="1" a="1"/>
  <c r="N442" i="1"/>
  <c r="L442" i="1"/>
  <c r="K442" i="1"/>
  <c r="K442" i="1" a="1"/>
  <c r="H442" i="1"/>
  <c r="H442" i="1" a="1"/>
  <c r="N441" i="1"/>
  <c r="L441" i="1"/>
  <c r="K441" i="1"/>
  <c r="K441" i="1" a="1"/>
  <c r="H441" i="1"/>
  <c r="H441" i="1" a="1"/>
  <c r="N440" i="1"/>
  <c r="L440" i="1"/>
  <c r="K440" i="1"/>
  <c r="K440" i="1" a="1"/>
  <c r="H440" i="1"/>
  <c r="H440" i="1" a="1"/>
  <c r="N439" i="1"/>
  <c r="L439" i="1"/>
  <c r="K439" i="1"/>
  <c r="K439" i="1" a="1"/>
  <c r="H439" i="1"/>
  <c r="H439" i="1" a="1"/>
  <c r="N438" i="1"/>
  <c r="L438" i="1"/>
  <c r="K438" i="1"/>
  <c r="K438" i="1" a="1"/>
  <c r="H438" i="1"/>
  <c r="H438" i="1" a="1"/>
  <c r="N437" i="1"/>
  <c r="L437" i="1"/>
  <c r="K437" i="1"/>
  <c r="K437" i="1" a="1"/>
  <c r="H437" i="1"/>
  <c r="H437" i="1" a="1"/>
  <c r="N436" i="1"/>
  <c r="L436" i="1"/>
  <c r="K436" i="1"/>
  <c r="K436" i="1" a="1"/>
  <c r="H436" i="1"/>
  <c r="H436" i="1" a="1"/>
  <c r="N435" i="1"/>
  <c r="L435" i="1"/>
  <c r="K435" i="1"/>
  <c r="K435" i="1" a="1"/>
  <c r="H435" i="1"/>
  <c r="H435" i="1" a="1"/>
  <c r="N434" i="1"/>
  <c r="L434" i="1"/>
  <c r="K434" i="1"/>
  <c r="K434" i="1" a="1"/>
  <c r="H434" i="1"/>
  <c r="H434" i="1" a="1"/>
  <c r="N433" i="1"/>
  <c r="L433" i="1"/>
  <c r="K433" i="1"/>
  <c r="K433" i="1" a="1"/>
  <c r="H433" i="1"/>
  <c r="H433" i="1" a="1"/>
  <c r="N432" i="1"/>
  <c r="L432" i="1"/>
  <c r="K432" i="1"/>
  <c r="K432" i="1" a="1"/>
  <c r="H432" i="1"/>
  <c r="H432" i="1" a="1"/>
  <c r="N431" i="1"/>
  <c r="L431" i="1"/>
  <c r="K431" i="1"/>
  <c r="K431" i="1" a="1"/>
  <c r="H431" i="1"/>
  <c r="H431" i="1" a="1"/>
  <c r="N430" i="1"/>
  <c r="L430" i="1"/>
  <c r="K430" i="1"/>
  <c r="K430" i="1" a="1"/>
  <c r="H430" i="1"/>
  <c r="H430" i="1" a="1"/>
  <c r="N429" i="1"/>
  <c r="L429" i="1"/>
  <c r="K429" i="1"/>
  <c r="K429" i="1" a="1"/>
  <c r="H429" i="1"/>
  <c r="H429" i="1" a="1"/>
  <c r="N428" i="1"/>
  <c r="L428" i="1"/>
  <c r="K428" i="1"/>
  <c r="K428" i="1" a="1"/>
  <c r="H428" i="1"/>
  <c r="H428" i="1" a="1"/>
  <c r="N427" i="1"/>
  <c r="L427" i="1"/>
  <c r="K427" i="1"/>
  <c r="K427" i="1" a="1"/>
  <c r="H427" i="1"/>
  <c r="H427" i="1" a="1"/>
  <c r="N426" i="1"/>
  <c r="L426" i="1"/>
  <c r="K426" i="1"/>
  <c r="K426" i="1" a="1"/>
  <c r="H426" i="1"/>
  <c r="H426" i="1" a="1"/>
  <c r="N425" i="1"/>
  <c r="L425" i="1"/>
  <c r="K425" i="1"/>
  <c r="K425" i="1" a="1"/>
  <c r="H425" i="1"/>
  <c r="H425" i="1" a="1"/>
  <c r="N424" i="1"/>
  <c r="L424" i="1"/>
  <c r="K424" i="1"/>
  <c r="K424" i="1" a="1"/>
  <c r="H424" i="1"/>
  <c r="H424" i="1" a="1"/>
  <c r="N423" i="1"/>
  <c r="L423" i="1"/>
  <c r="K423" i="1"/>
  <c r="K423" i="1" a="1"/>
  <c r="H423" i="1"/>
  <c r="H423" i="1" a="1"/>
  <c r="N422" i="1"/>
  <c r="L422" i="1"/>
  <c r="K422" i="1"/>
  <c r="K422" i="1" a="1"/>
  <c r="H422" i="1"/>
  <c r="H422" i="1" a="1"/>
  <c r="N421" i="1"/>
  <c r="L421" i="1"/>
  <c r="K421" i="1"/>
  <c r="K421" i="1" a="1"/>
  <c r="H421" i="1"/>
  <c r="H421" i="1" a="1"/>
  <c r="N420" i="1"/>
  <c r="L420" i="1"/>
  <c r="K420" i="1"/>
  <c r="K420" i="1" a="1"/>
  <c r="H420" i="1"/>
  <c r="H420" i="1" a="1"/>
  <c r="N419" i="1"/>
  <c r="L419" i="1"/>
  <c r="K419" i="1"/>
  <c r="K419" i="1" a="1"/>
  <c r="H419" i="1"/>
  <c r="H419" i="1" a="1"/>
  <c r="N418" i="1"/>
  <c r="L418" i="1"/>
  <c r="K418" i="1"/>
  <c r="K418" i="1" a="1"/>
  <c r="H418" i="1"/>
  <c r="H418" i="1" a="1"/>
  <c r="N417" i="1"/>
  <c r="L417" i="1"/>
  <c r="K417" i="1"/>
  <c r="K417" i="1" a="1"/>
  <c r="H417" i="1"/>
  <c r="H417" i="1" a="1"/>
  <c r="N416" i="1"/>
  <c r="L416" i="1"/>
  <c r="K416" i="1"/>
  <c r="K416" i="1" a="1"/>
  <c r="H416" i="1"/>
  <c r="H416" i="1" a="1"/>
  <c r="N415" i="1"/>
  <c r="L415" i="1"/>
  <c r="K415" i="1"/>
  <c r="K415" i="1" a="1"/>
  <c r="H415" i="1"/>
  <c r="H415" i="1" a="1"/>
  <c r="N414" i="1"/>
  <c r="L414" i="1"/>
  <c r="K414" i="1"/>
  <c r="K414" i="1" a="1"/>
  <c r="H414" i="1"/>
  <c r="H414" i="1" a="1"/>
  <c r="N413" i="1"/>
  <c r="L413" i="1"/>
  <c r="K413" i="1"/>
  <c r="K413" i="1" a="1"/>
  <c r="H413" i="1"/>
  <c r="H413" i="1" a="1"/>
  <c r="N412" i="1"/>
  <c r="L412" i="1"/>
  <c r="K412" i="1"/>
  <c r="K412" i="1" a="1"/>
  <c r="H412" i="1"/>
  <c r="H412" i="1" a="1"/>
  <c r="N411" i="1"/>
  <c r="L411" i="1"/>
  <c r="K411" i="1"/>
  <c r="K411" i="1" a="1"/>
  <c r="H411" i="1"/>
  <c r="H411" i="1" a="1"/>
  <c r="N410" i="1"/>
  <c r="L410" i="1"/>
  <c r="K410" i="1"/>
  <c r="K410" i="1" a="1"/>
  <c r="H410" i="1"/>
  <c r="H410" i="1" a="1"/>
  <c r="N409" i="1"/>
  <c r="L409" i="1"/>
  <c r="K409" i="1"/>
  <c r="K409" i="1" a="1"/>
  <c r="H409" i="1"/>
  <c r="H409" i="1" a="1"/>
  <c r="N408" i="1"/>
  <c r="L408" i="1"/>
  <c r="K408" i="1"/>
  <c r="K408" i="1" a="1"/>
  <c r="H408" i="1"/>
  <c r="H408" i="1" a="1"/>
  <c r="N407" i="1"/>
  <c r="L407" i="1"/>
  <c r="K407" i="1"/>
  <c r="K407" i="1" a="1"/>
  <c r="H407" i="1"/>
  <c r="H407" i="1" a="1"/>
  <c r="N406" i="1"/>
  <c r="L406" i="1"/>
  <c r="K406" i="1"/>
  <c r="K406" i="1" a="1"/>
  <c r="H406" i="1"/>
  <c r="H406" i="1" a="1"/>
  <c r="N405" i="1"/>
  <c r="L405" i="1"/>
  <c r="K405" i="1"/>
  <c r="K405" i="1" a="1"/>
  <c r="H405" i="1"/>
  <c r="H405" i="1" a="1"/>
  <c r="N404" i="1"/>
  <c r="L404" i="1"/>
  <c r="K404" i="1"/>
  <c r="K404" i="1" a="1"/>
  <c r="H404" i="1"/>
  <c r="H404" i="1" a="1"/>
  <c r="N403" i="1"/>
  <c r="L403" i="1"/>
  <c r="K403" i="1"/>
  <c r="K403" i="1" a="1"/>
  <c r="H403" i="1"/>
  <c r="H403" i="1" a="1"/>
  <c r="N402" i="1"/>
  <c r="L402" i="1"/>
  <c r="K402" i="1"/>
  <c r="K402" i="1" a="1"/>
  <c r="H402" i="1"/>
  <c r="H402" i="1" a="1"/>
  <c r="N401" i="1"/>
  <c r="L401" i="1"/>
  <c r="K401" i="1"/>
  <c r="K401" i="1" a="1"/>
  <c r="H401" i="1"/>
  <c r="H401" i="1" a="1"/>
  <c r="N400" i="1"/>
  <c r="L400" i="1"/>
  <c r="K400" i="1"/>
  <c r="K400" i="1" a="1"/>
  <c r="H400" i="1"/>
  <c r="H400" i="1" a="1"/>
  <c r="N399" i="1"/>
  <c r="L399" i="1"/>
  <c r="K399" i="1"/>
  <c r="K399" i="1" a="1"/>
  <c r="H399" i="1"/>
  <c r="H399" i="1" a="1"/>
  <c r="N398" i="1"/>
  <c r="L398" i="1"/>
  <c r="K398" i="1"/>
  <c r="K398" i="1" a="1"/>
  <c r="H398" i="1"/>
  <c r="H398" i="1" a="1"/>
  <c r="N397" i="1"/>
  <c r="L397" i="1"/>
  <c r="K397" i="1"/>
  <c r="K397" i="1" a="1"/>
  <c r="H397" i="1"/>
  <c r="H397" i="1" a="1"/>
  <c r="N396" i="1"/>
  <c r="L396" i="1"/>
  <c r="K396" i="1"/>
  <c r="K396" i="1" a="1"/>
  <c r="H396" i="1"/>
  <c r="H396" i="1" a="1"/>
  <c r="N395" i="1"/>
  <c r="L395" i="1"/>
  <c r="K395" i="1"/>
  <c r="K395" i="1" a="1"/>
  <c r="H395" i="1"/>
  <c r="H395" i="1" a="1"/>
  <c r="N394" i="1"/>
  <c r="L394" i="1"/>
  <c r="K394" i="1"/>
  <c r="K394" i="1" a="1"/>
  <c r="H394" i="1"/>
  <c r="H394" i="1" a="1"/>
  <c r="N393" i="1"/>
  <c r="L393" i="1"/>
  <c r="K393" i="1"/>
  <c r="K393" i="1" a="1"/>
  <c r="H393" i="1"/>
  <c r="H393" i="1" a="1"/>
  <c r="N392" i="1"/>
  <c r="L392" i="1"/>
  <c r="K392" i="1"/>
  <c r="K392" i="1" a="1"/>
  <c r="H392" i="1"/>
  <c r="H392" i="1" a="1"/>
  <c r="N391" i="1"/>
  <c r="L391" i="1"/>
  <c r="K391" i="1"/>
  <c r="K391" i="1" a="1"/>
  <c r="H391" i="1"/>
  <c r="H391" i="1" a="1"/>
  <c r="N390" i="1"/>
  <c r="L390" i="1"/>
  <c r="K390" i="1"/>
  <c r="K390" i="1" a="1"/>
  <c r="H390" i="1"/>
  <c r="H390" i="1" a="1"/>
  <c r="N389" i="1"/>
  <c r="L389" i="1"/>
  <c r="K389" i="1"/>
  <c r="K389" i="1" a="1"/>
  <c r="H389" i="1"/>
  <c r="H389" i="1" a="1"/>
  <c r="N388" i="1"/>
  <c r="L388" i="1"/>
  <c r="K388" i="1"/>
  <c r="K388" i="1" a="1"/>
  <c r="H388" i="1"/>
  <c r="H388" i="1" a="1"/>
  <c r="N387" i="1"/>
  <c r="L387" i="1"/>
  <c r="K387" i="1"/>
  <c r="K387" i="1" a="1"/>
  <c r="H387" i="1"/>
  <c r="H387" i="1" a="1"/>
  <c r="N386" i="1"/>
  <c r="L386" i="1"/>
  <c r="K386" i="1"/>
  <c r="K386" i="1" a="1"/>
  <c r="H386" i="1"/>
  <c r="H386" i="1" a="1"/>
  <c r="N385" i="1"/>
  <c r="L385" i="1"/>
  <c r="K385" i="1"/>
  <c r="K385" i="1" a="1"/>
  <c r="H385" i="1"/>
  <c r="H385" i="1" a="1"/>
  <c r="N384" i="1"/>
  <c r="L384" i="1"/>
  <c r="K384" i="1"/>
  <c r="K384" i="1" a="1"/>
  <c r="H384" i="1"/>
  <c r="H384" i="1" a="1"/>
  <c r="N383" i="1"/>
  <c r="L383" i="1"/>
  <c r="K383" i="1"/>
  <c r="K383" i="1" a="1"/>
  <c r="H383" i="1"/>
  <c r="H383" i="1" a="1"/>
  <c r="N382" i="1"/>
  <c r="L382" i="1"/>
  <c r="K382" i="1"/>
  <c r="K382" i="1" a="1"/>
  <c r="H382" i="1"/>
  <c r="H382" i="1" a="1"/>
  <c r="N381" i="1"/>
  <c r="L381" i="1"/>
  <c r="K381" i="1"/>
  <c r="K381" i="1" a="1"/>
  <c r="H381" i="1"/>
  <c r="H381" i="1" a="1"/>
  <c r="N380" i="1"/>
  <c r="L380" i="1"/>
  <c r="K380" i="1"/>
  <c r="K380" i="1" a="1"/>
  <c r="H380" i="1"/>
  <c r="H380" i="1" a="1"/>
  <c r="N379" i="1"/>
  <c r="L379" i="1"/>
  <c r="K379" i="1"/>
  <c r="K379" i="1" a="1"/>
  <c r="H379" i="1"/>
  <c r="H379" i="1" a="1"/>
  <c r="N378" i="1"/>
  <c r="L378" i="1"/>
  <c r="K378" i="1"/>
  <c r="K378" i="1" a="1"/>
  <c r="H378" i="1"/>
  <c r="H378" i="1" a="1"/>
  <c r="N377" i="1"/>
  <c r="L377" i="1"/>
  <c r="K377" i="1"/>
  <c r="K377" i="1" a="1"/>
  <c r="H377" i="1"/>
  <c r="H377" i="1" a="1"/>
  <c r="N376" i="1"/>
  <c r="L376" i="1"/>
  <c r="K376" i="1"/>
  <c r="K376" i="1" a="1"/>
  <c r="H376" i="1"/>
  <c r="H376" i="1" a="1"/>
  <c r="N375" i="1"/>
  <c r="L375" i="1"/>
  <c r="K375" i="1"/>
  <c r="K375" i="1" a="1"/>
  <c r="H375" i="1"/>
  <c r="H375" i="1" a="1"/>
  <c r="N374" i="1"/>
  <c r="L374" i="1"/>
  <c r="K374" i="1"/>
  <c r="K374" i="1" a="1"/>
  <c r="H374" i="1"/>
  <c r="H374" i="1" a="1"/>
  <c r="N373" i="1"/>
  <c r="L373" i="1"/>
  <c r="K373" i="1"/>
  <c r="K373" i="1" a="1"/>
  <c r="H373" i="1"/>
  <c r="H373" i="1" a="1"/>
  <c r="N372" i="1"/>
  <c r="L372" i="1"/>
  <c r="K372" i="1"/>
  <c r="K372" i="1" a="1"/>
  <c r="H372" i="1"/>
  <c r="H372" i="1" a="1"/>
  <c r="N371" i="1"/>
  <c r="L371" i="1"/>
  <c r="K371" i="1"/>
  <c r="K371" i="1" a="1"/>
  <c r="H371" i="1"/>
  <c r="H371" i="1" a="1"/>
  <c r="N370" i="1"/>
  <c r="L370" i="1"/>
  <c r="K370" i="1"/>
  <c r="K370" i="1" a="1"/>
  <c r="H370" i="1"/>
  <c r="H370" i="1" a="1"/>
  <c r="N369" i="1"/>
  <c r="L369" i="1"/>
  <c r="K369" i="1"/>
  <c r="K369" i="1" a="1"/>
  <c r="H369" i="1"/>
  <c r="H369" i="1" a="1"/>
  <c r="N368" i="1"/>
  <c r="L368" i="1"/>
  <c r="K368" i="1"/>
  <c r="K368" i="1" a="1"/>
  <c r="H368" i="1"/>
  <c r="H368" i="1" a="1"/>
  <c r="N367" i="1"/>
  <c r="L367" i="1"/>
  <c r="K367" i="1"/>
  <c r="K367" i="1" a="1"/>
  <c r="H367" i="1"/>
  <c r="H367" i="1" a="1"/>
  <c r="N366" i="1"/>
  <c r="L366" i="1"/>
  <c r="K366" i="1"/>
  <c r="K366" i="1" a="1"/>
  <c r="H366" i="1"/>
  <c r="H366" i="1" a="1"/>
  <c r="N365" i="1"/>
  <c r="L365" i="1"/>
  <c r="K365" i="1"/>
  <c r="K365" i="1" a="1"/>
  <c r="H365" i="1"/>
  <c r="H365" i="1" a="1"/>
  <c r="N364" i="1"/>
  <c r="L364" i="1"/>
  <c r="K364" i="1"/>
  <c r="K364" i="1" a="1"/>
  <c r="H364" i="1"/>
  <c r="H364" i="1" a="1"/>
  <c r="N363" i="1"/>
  <c r="L363" i="1"/>
  <c r="K363" i="1"/>
  <c r="K363" i="1" a="1"/>
  <c r="H363" i="1"/>
  <c r="H363" i="1" a="1"/>
  <c r="N362" i="1"/>
  <c r="L362" i="1"/>
  <c r="K362" i="1"/>
  <c r="K362" i="1" a="1"/>
  <c r="H362" i="1"/>
  <c r="H362" i="1" a="1"/>
  <c r="N361" i="1"/>
  <c r="L361" i="1"/>
  <c r="K361" i="1"/>
  <c r="K361" i="1" a="1"/>
  <c r="H361" i="1"/>
  <c r="H361" i="1" a="1"/>
  <c r="N360" i="1"/>
  <c r="L360" i="1"/>
  <c r="K360" i="1"/>
  <c r="K360" i="1" a="1"/>
  <c r="H360" i="1"/>
  <c r="H360" i="1" a="1"/>
  <c r="N359" i="1"/>
  <c r="L359" i="1"/>
  <c r="K359" i="1"/>
  <c r="K359" i="1" a="1"/>
  <c r="H359" i="1"/>
  <c r="H359" i="1" a="1"/>
  <c r="N358" i="1"/>
  <c r="L358" i="1"/>
  <c r="K358" i="1"/>
  <c r="K358" i="1" a="1"/>
  <c r="H358" i="1"/>
  <c r="H358" i="1" a="1"/>
  <c r="N357" i="1"/>
  <c r="L357" i="1"/>
  <c r="K357" i="1"/>
  <c r="K357" i="1" a="1"/>
  <c r="H357" i="1"/>
  <c r="H357" i="1" a="1"/>
  <c r="N356" i="1"/>
  <c r="L356" i="1"/>
  <c r="K356" i="1"/>
  <c r="K356" i="1" a="1"/>
  <c r="H356" i="1"/>
  <c r="H356" i="1" a="1"/>
  <c r="N355" i="1"/>
  <c r="L355" i="1"/>
  <c r="K355" i="1"/>
  <c r="K355" i="1" a="1"/>
  <c r="H355" i="1"/>
  <c r="H355" i="1" a="1"/>
  <c r="N354" i="1"/>
  <c r="L354" i="1"/>
  <c r="K354" i="1"/>
  <c r="K354" i="1" a="1"/>
  <c r="H354" i="1"/>
  <c r="H354" i="1" a="1"/>
  <c r="N353" i="1"/>
  <c r="L353" i="1"/>
  <c r="K353" i="1"/>
  <c r="K353" i="1" a="1"/>
  <c r="H353" i="1"/>
  <c r="H353" i="1" a="1"/>
  <c r="N352" i="1"/>
  <c r="L352" i="1"/>
  <c r="K352" i="1"/>
  <c r="K352" i="1" a="1"/>
  <c r="H352" i="1"/>
  <c r="H352" i="1" a="1"/>
  <c r="N351" i="1"/>
  <c r="L351" i="1"/>
  <c r="K351" i="1"/>
  <c r="K351" i="1" a="1"/>
  <c r="H351" i="1"/>
  <c r="H351" i="1" a="1"/>
  <c r="N350" i="1"/>
  <c r="L350" i="1"/>
  <c r="K350" i="1"/>
  <c r="K350" i="1" a="1"/>
  <c r="H350" i="1"/>
  <c r="H350" i="1" a="1"/>
  <c r="N349" i="1"/>
  <c r="L349" i="1"/>
  <c r="K349" i="1"/>
  <c r="K349" i="1" a="1"/>
  <c r="H349" i="1"/>
  <c r="H349" i="1" a="1"/>
  <c r="N348" i="1"/>
  <c r="L348" i="1"/>
  <c r="K348" i="1"/>
  <c r="K348" i="1" a="1"/>
  <c r="H348" i="1"/>
  <c r="H348" i="1" a="1"/>
  <c r="N347" i="1"/>
  <c r="L347" i="1"/>
  <c r="K347" i="1"/>
  <c r="K347" i="1" a="1"/>
  <c r="H347" i="1"/>
  <c r="H347" i="1" a="1"/>
  <c r="N346" i="1"/>
  <c r="L346" i="1"/>
  <c r="K346" i="1"/>
  <c r="K346" i="1" a="1"/>
  <c r="H346" i="1"/>
  <c r="H346" i="1" a="1"/>
  <c r="N345" i="1"/>
  <c r="L345" i="1"/>
  <c r="K345" i="1"/>
  <c r="K345" i="1" a="1"/>
  <c r="H345" i="1"/>
  <c r="H345" i="1" a="1"/>
  <c r="N344" i="1"/>
  <c r="L344" i="1"/>
  <c r="K344" i="1"/>
  <c r="K344" i="1" a="1"/>
  <c r="H344" i="1"/>
  <c r="H344" i="1" a="1"/>
  <c r="N343" i="1"/>
  <c r="L343" i="1"/>
  <c r="K343" i="1"/>
  <c r="K343" i="1" a="1"/>
  <c r="H343" i="1"/>
  <c r="H343" i="1" a="1"/>
  <c r="N342" i="1"/>
  <c r="L342" i="1"/>
  <c r="K342" i="1"/>
  <c r="K342" i="1" a="1"/>
  <c r="H342" i="1"/>
  <c r="H342" i="1" a="1"/>
  <c r="N341" i="1"/>
  <c r="L341" i="1"/>
  <c r="K341" i="1"/>
  <c r="K341" i="1" a="1"/>
  <c r="H341" i="1"/>
  <c r="H341" i="1" a="1"/>
  <c r="N340" i="1"/>
  <c r="L340" i="1"/>
  <c r="K340" i="1"/>
  <c r="K340" i="1" a="1"/>
  <c r="H340" i="1"/>
  <c r="H340" i="1" a="1"/>
  <c r="N339" i="1"/>
  <c r="L339" i="1"/>
  <c r="K339" i="1"/>
  <c r="K339" i="1" a="1"/>
  <c r="H339" i="1"/>
  <c r="H339" i="1" a="1"/>
  <c r="N338" i="1"/>
  <c r="L338" i="1"/>
  <c r="K338" i="1"/>
  <c r="K338" i="1" a="1"/>
  <c r="H338" i="1"/>
  <c r="H338" i="1" a="1"/>
  <c r="N337" i="1"/>
  <c r="L337" i="1"/>
  <c r="K337" i="1"/>
  <c r="K337" i="1" a="1"/>
  <c r="H337" i="1"/>
  <c r="H337" i="1" a="1"/>
  <c r="N336" i="1"/>
  <c r="L336" i="1"/>
  <c r="K336" i="1"/>
  <c r="K336" i="1" a="1"/>
  <c r="H336" i="1"/>
  <c r="H336" i="1" a="1"/>
  <c r="N335" i="1"/>
  <c r="L335" i="1"/>
  <c r="K335" i="1"/>
  <c r="K335" i="1" a="1"/>
  <c r="H335" i="1"/>
  <c r="H335" i="1" a="1"/>
  <c r="N334" i="1"/>
  <c r="L334" i="1"/>
  <c r="K334" i="1"/>
  <c r="K334" i="1" a="1"/>
  <c r="H334" i="1"/>
  <c r="H334" i="1" a="1"/>
  <c r="N333" i="1"/>
  <c r="L333" i="1"/>
  <c r="K333" i="1"/>
  <c r="K333" i="1" a="1"/>
  <c r="H333" i="1"/>
  <c r="H333" i="1" a="1"/>
  <c r="N332" i="1"/>
  <c r="L332" i="1"/>
  <c r="K332" i="1"/>
  <c r="K332" i="1" a="1"/>
  <c r="H332" i="1"/>
  <c r="H332" i="1" a="1"/>
  <c r="N331" i="1"/>
  <c r="L331" i="1"/>
  <c r="K331" i="1"/>
  <c r="K331" i="1" a="1"/>
  <c r="H331" i="1"/>
  <c r="H331" i="1" a="1"/>
  <c r="N330" i="1"/>
  <c r="L330" i="1"/>
  <c r="K330" i="1"/>
  <c r="K330" i="1" a="1"/>
  <c r="H330" i="1"/>
  <c r="H330" i="1" a="1"/>
  <c r="N329" i="1"/>
  <c r="L329" i="1"/>
  <c r="K329" i="1"/>
  <c r="K329" i="1" a="1"/>
  <c r="H329" i="1"/>
  <c r="H329" i="1" a="1"/>
  <c r="N328" i="1"/>
  <c r="L328" i="1"/>
  <c r="K328" i="1"/>
  <c r="K328" i="1" a="1"/>
  <c r="H328" i="1"/>
  <c r="H328" i="1" a="1"/>
  <c r="N327" i="1"/>
  <c r="L327" i="1"/>
  <c r="K327" i="1"/>
  <c r="K327" i="1" a="1"/>
  <c r="H327" i="1"/>
  <c r="H327" i="1" a="1"/>
  <c r="N326" i="1"/>
  <c r="L326" i="1"/>
  <c r="K326" i="1"/>
  <c r="K326" i="1" a="1"/>
  <c r="H326" i="1"/>
  <c r="H326" i="1" a="1"/>
  <c r="N325" i="1"/>
  <c r="L325" i="1"/>
  <c r="K325" i="1"/>
  <c r="K325" i="1" a="1"/>
  <c r="H325" i="1"/>
  <c r="H325" i="1" a="1"/>
  <c r="N324" i="1"/>
  <c r="L324" i="1"/>
  <c r="K324" i="1"/>
  <c r="K324" i="1" a="1"/>
  <c r="H324" i="1"/>
  <c r="H324" i="1" a="1"/>
  <c r="N323" i="1"/>
  <c r="L323" i="1"/>
  <c r="K323" i="1"/>
  <c r="K323" i="1" a="1"/>
  <c r="H323" i="1"/>
  <c r="H323" i="1" a="1"/>
  <c r="N322" i="1"/>
  <c r="L322" i="1"/>
  <c r="K322" i="1"/>
  <c r="K322" i="1" a="1"/>
  <c r="H322" i="1"/>
  <c r="H322" i="1" a="1"/>
  <c r="N321" i="1"/>
  <c r="L321" i="1"/>
  <c r="K321" i="1"/>
  <c r="K321" i="1" a="1"/>
  <c r="H321" i="1"/>
  <c r="H321" i="1" a="1"/>
  <c r="N320" i="1"/>
  <c r="L320" i="1"/>
  <c r="K320" i="1"/>
  <c r="K320" i="1" a="1"/>
  <c r="H320" i="1"/>
  <c r="H320" i="1" a="1"/>
  <c r="N319" i="1"/>
  <c r="L319" i="1"/>
  <c r="K319" i="1"/>
  <c r="K319" i="1" a="1"/>
  <c r="H319" i="1"/>
  <c r="H319" i="1" a="1"/>
  <c r="N318" i="1"/>
  <c r="L318" i="1"/>
  <c r="K318" i="1"/>
  <c r="K318" i="1" a="1"/>
  <c r="H318" i="1"/>
  <c r="H318" i="1" a="1"/>
  <c r="N317" i="1"/>
  <c r="L317" i="1"/>
  <c r="K317" i="1"/>
  <c r="K317" i="1" a="1"/>
  <c r="H317" i="1"/>
  <c r="H317" i="1" a="1"/>
  <c r="N316" i="1"/>
  <c r="L316" i="1"/>
  <c r="K316" i="1"/>
  <c r="K316" i="1" a="1"/>
  <c r="H316" i="1"/>
  <c r="H316" i="1" a="1"/>
  <c r="N315" i="1"/>
  <c r="L315" i="1"/>
  <c r="K315" i="1"/>
  <c r="K315" i="1" a="1"/>
  <c r="H315" i="1"/>
  <c r="H315" i="1" a="1"/>
  <c r="N314" i="1"/>
  <c r="L314" i="1"/>
  <c r="K314" i="1"/>
  <c r="K314" i="1" a="1"/>
  <c r="H314" i="1"/>
  <c r="H314" i="1" a="1"/>
  <c r="N313" i="1"/>
  <c r="L313" i="1"/>
  <c r="K313" i="1"/>
  <c r="K313" i="1" a="1"/>
  <c r="H313" i="1"/>
  <c r="H313" i="1" a="1"/>
  <c r="N312" i="1"/>
  <c r="L312" i="1"/>
  <c r="K312" i="1"/>
  <c r="K312" i="1" a="1"/>
  <c r="H312" i="1"/>
  <c r="H312" i="1" a="1"/>
  <c r="N311" i="1"/>
  <c r="L311" i="1"/>
  <c r="K311" i="1"/>
  <c r="K311" i="1" a="1"/>
  <c r="H311" i="1"/>
  <c r="H311" i="1" a="1"/>
  <c r="N310" i="1"/>
  <c r="L310" i="1"/>
  <c r="K310" i="1"/>
  <c r="K310" i="1" a="1"/>
  <c r="H310" i="1"/>
  <c r="H310" i="1" a="1"/>
  <c r="N309" i="1"/>
  <c r="L309" i="1"/>
  <c r="K309" i="1"/>
  <c r="K309" i="1" a="1"/>
  <c r="H309" i="1"/>
  <c r="H309" i="1" a="1"/>
  <c r="N308" i="1"/>
  <c r="L308" i="1"/>
  <c r="K308" i="1"/>
  <c r="K308" i="1" a="1"/>
  <c r="H308" i="1"/>
  <c r="H308" i="1" a="1"/>
  <c r="N307" i="1"/>
  <c r="L307" i="1"/>
  <c r="K307" i="1"/>
  <c r="K307" i="1" a="1"/>
  <c r="H307" i="1"/>
  <c r="H307" i="1" a="1"/>
  <c r="N306" i="1"/>
  <c r="L306" i="1"/>
  <c r="K306" i="1"/>
  <c r="K306" i="1" a="1"/>
  <c r="H306" i="1"/>
  <c r="H306" i="1" a="1"/>
  <c r="N305" i="1"/>
  <c r="L305" i="1"/>
  <c r="K305" i="1"/>
  <c r="K305" i="1" a="1"/>
  <c r="H305" i="1"/>
  <c r="H305" i="1" a="1"/>
  <c r="N304" i="1"/>
  <c r="L304" i="1"/>
  <c r="K304" i="1"/>
  <c r="K304" i="1" a="1"/>
  <c r="H304" i="1"/>
  <c r="H304" i="1" a="1"/>
  <c r="N303" i="1"/>
  <c r="L303" i="1"/>
  <c r="K303" i="1"/>
  <c r="K303" i="1" a="1"/>
  <c r="H303" i="1"/>
  <c r="H303" i="1" a="1"/>
  <c r="N302" i="1"/>
  <c r="L302" i="1"/>
  <c r="K302" i="1"/>
  <c r="K302" i="1" a="1"/>
  <c r="H302" i="1"/>
  <c r="H302" i="1" a="1"/>
  <c r="N301" i="1"/>
  <c r="L301" i="1"/>
  <c r="K301" i="1"/>
  <c r="K301" i="1" a="1"/>
  <c r="H301" i="1"/>
  <c r="H301" i="1" a="1"/>
  <c r="N300" i="1"/>
  <c r="L300" i="1"/>
  <c r="K300" i="1"/>
  <c r="K300" i="1" a="1"/>
  <c r="H300" i="1"/>
  <c r="H300" i="1" a="1"/>
  <c r="N299" i="1"/>
  <c r="L299" i="1"/>
  <c r="K299" i="1"/>
  <c r="K299" i="1" a="1"/>
  <c r="H299" i="1"/>
  <c r="H299" i="1" a="1"/>
  <c r="N298" i="1"/>
  <c r="L298" i="1"/>
  <c r="K298" i="1"/>
  <c r="K298" i="1" a="1"/>
  <c r="H298" i="1"/>
  <c r="H298" i="1" a="1"/>
  <c r="N297" i="1"/>
  <c r="L297" i="1"/>
  <c r="K297" i="1"/>
  <c r="K297" i="1" a="1"/>
  <c r="H297" i="1"/>
  <c r="H297" i="1" a="1"/>
  <c r="N296" i="1"/>
  <c r="L296" i="1"/>
  <c r="K296" i="1"/>
  <c r="K296" i="1" a="1"/>
  <c r="H296" i="1"/>
  <c r="H296" i="1" a="1"/>
  <c r="N295" i="1"/>
  <c r="L295" i="1"/>
  <c r="K295" i="1"/>
  <c r="K295" i="1" a="1"/>
  <c r="H295" i="1"/>
  <c r="H295" i="1" a="1"/>
  <c r="N294" i="1"/>
  <c r="L294" i="1"/>
  <c r="K294" i="1"/>
  <c r="K294" i="1" a="1"/>
  <c r="H294" i="1"/>
  <c r="H294" i="1" a="1"/>
  <c r="N293" i="1"/>
  <c r="L293" i="1"/>
  <c r="K293" i="1"/>
  <c r="K293" i="1" a="1"/>
  <c r="H293" i="1"/>
  <c r="H293" i="1" a="1"/>
  <c r="N292" i="1"/>
  <c r="L292" i="1"/>
  <c r="K292" i="1"/>
  <c r="K292" i="1" a="1"/>
  <c r="H292" i="1"/>
  <c r="H292" i="1" a="1"/>
  <c r="N291" i="1"/>
  <c r="L291" i="1"/>
  <c r="K291" i="1"/>
  <c r="K291" i="1" a="1"/>
  <c r="H291" i="1"/>
  <c r="H291" i="1" a="1"/>
  <c r="N290" i="1"/>
  <c r="L290" i="1"/>
  <c r="K290" i="1"/>
  <c r="K290" i="1" a="1"/>
  <c r="H290" i="1"/>
  <c r="H290" i="1" a="1"/>
  <c r="N289" i="1"/>
  <c r="L289" i="1"/>
  <c r="K289" i="1"/>
  <c r="K289" i="1" a="1"/>
  <c r="H289" i="1"/>
  <c r="H289" i="1" a="1"/>
  <c r="N288" i="1"/>
  <c r="L288" i="1"/>
  <c r="K288" i="1"/>
  <c r="K288" i="1" a="1"/>
  <c r="H288" i="1"/>
  <c r="H288" i="1" a="1"/>
  <c r="N287" i="1"/>
  <c r="L287" i="1"/>
  <c r="K287" i="1"/>
  <c r="K287" i="1" a="1"/>
  <c r="H287" i="1"/>
  <c r="H287" i="1" a="1"/>
  <c r="N286" i="1"/>
  <c r="L286" i="1"/>
  <c r="K286" i="1"/>
  <c r="K286" i="1" a="1"/>
  <c r="H286" i="1"/>
  <c r="H286" i="1" a="1"/>
  <c r="N285" i="1"/>
  <c r="L285" i="1"/>
  <c r="K285" i="1"/>
  <c r="K285" i="1" a="1"/>
  <c r="H285" i="1"/>
  <c r="H285" i="1" a="1"/>
  <c r="N284" i="1"/>
  <c r="L284" i="1"/>
  <c r="K284" i="1"/>
  <c r="K284" i="1" a="1"/>
  <c r="H284" i="1"/>
  <c r="H284" i="1" a="1"/>
  <c r="N283" i="1"/>
  <c r="L283" i="1"/>
  <c r="K283" i="1"/>
  <c r="K283" i="1" a="1"/>
  <c r="H283" i="1"/>
  <c r="H283" i="1" a="1"/>
  <c r="N282" i="1"/>
  <c r="L282" i="1"/>
  <c r="K282" i="1"/>
  <c r="K282" i="1" a="1"/>
  <c r="H282" i="1"/>
  <c r="H282" i="1" a="1"/>
  <c r="N281" i="1"/>
  <c r="L281" i="1"/>
  <c r="K281" i="1"/>
  <c r="K281" i="1" a="1"/>
  <c r="H281" i="1"/>
  <c r="H281" i="1" a="1"/>
  <c r="N280" i="1"/>
  <c r="L280" i="1"/>
  <c r="K280" i="1"/>
  <c r="K280" i="1" a="1"/>
  <c r="H280" i="1"/>
  <c r="H280" i="1" a="1"/>
  <c r="N279" i="1"/>
  <c r="L279" i="1"/>
  <c r="K279" i="1"/>
  <c r="K279" i="1" a="1"/>
  <c r="H279" i="1"/>
  <c r="H279" i="1" a="1"/>
  <c r="N278" i="1"/>
  <c r="L278" i="1"/>
  <c r="K278" i="1"/>
  <c r="K278" i="1" a="1"/>
  <c r="H278" i="1"/>
  <c r="H278" i="1" a="1"/>
  <c r="N277" i="1"/>
  <c r="L277" i="1"/>
  <c r="K277" i="1"/>
  <c r="K277" i="1" a="1"/>
  <c r="H277" i="1"/>
  <c r="H277" i="1" a="1"/>
  <c r="N276" i="1"/>
  <c r="L276" i="1"/>
  <c r="K276" i="1"/>
  <c r="K276" i="1" a="1"/>
  <c r="H276" i="1"/>
  <c r="H276" i="1" a="1"/>
  <c r="N275" i="1"/>
  <c r="L275" i="1"/>
  <c r="K275" i="1"/>
  <c r="K275" i="1" a="1"/>
  <c r="H275" i="1"/>
  <c r="H275" i="1" a="1"/>
  <c r="N274" i="1"/>
  <c r="L274" i="1"/>
  <c r="K274" i="1"/>
  <c r="K274" i="1" a="1"/>
  <c r="H274" i="1"/>
  <c r="H274" i="1" a="1"/>
  <c r="N273" i="1"/>
  <c r="L273" i="1"/>
  <c r="K273" i="1"/>
  <c r="K273" i="1" a="1"/>
  <c r="H273" i="1"/>
  <c r="H273" i="1" a="1"/>
  <c r="N272" i="1"/>
  <c r="L272" i="1"/>
  <c r="K272" i="1"/>
  <c r="K272" i="1" a="1"/>
  <c r="H272" i="1"/>
  <c r="H272" i="1" a="1"/>
  <c r="N271" i="1"/>
  <c r="L271" i="1"/>
  <c r="K271" i="1"/>
  <c r="K271" i="1" a="1"/>
  <c r="H271" i="1"/>
  <c r="H271" i="1" a="1"/>
  <c r="N270" i="1"/>
  <c r="L270" i="1"/>
  <c r="K270" i="1"/>
  <c r="K270" i="1" a="1"/>
  <c r="H270" i="1"/>
  <c r="H270" i="1" a="1"/>
  <c r="N269" i="1"/>
  <c r="L269" i="1"/>
  <c r="K269" i="1"/>
  <c r="K269" i="1" a="1"/>
  <c r="H269" i="1"/>
  <c r="H269" i="1" a="1"/>
  <c r="N268" i="1"/>
  <c r="L268" i="1"/>
  <c r="K268" i="1"/>
  <c r="K268" i="1" a="1"/>
  <c r="H268" i="1"/>
  <c r="H268" i="1" a="1"/>
  <c r="N267" i="1"/>
  <c r="L267" i="1"/>
  <c r="K267" i="1"/>
  <c r="K267" i="1" a="1"/>
  <c r="H267" i="1"/>
  <c r="H267" i="1" a="1"/>
  <c r="N266" i="1"/>
  <c r="L266" i="1"/>
  <c r="K266" i="1"/>
  <c r="K266" i="1" a="1"/>
  <c r="H266" i="1"/>
  <c r="H266" i="1" a="1"/>
  <c r="N265" i="1"/>
  <c r="L265" i="1"/>
  <c r="K265" i="1"/>
  <c r="K265" i="1" a="1"/>
  <c r="H265" i="1"/>
  <c r="H265" i="1" a="1"/>
  <c r="N264" i="1"/>
  <c r="L264" i="1"/>
  <c r="K264" i="1"/>
  <c r="K264" i="1" a="1"/>
  <c r="H264" i="1"/>
  <c r="H264" i="1" a="1"/>
  <c r="N263" i="1"/>
  <c r="L263" i="1"/>
  <c r="K263" i="1"/>
  <c r="K263" i="1" a="1"/>
  <c r="H263" i="1"/>
  <c r="H263" i="1" a="1"/>
  <c r="N262" i="1"/>
  <c r="L262" i="1"/>
  <c r="K262" i="1"/>
  <c r="K262" i="1" a="1"/>
  <c r="H262" i="1"/>
  <c r="H262" i="1" a="1"/>
  <c r="N261" i="1"/>
  <c r="L261" i="1"/>
  <c r="K261" i="1"/>
  <c r="K261" i="1" a="1"/>
  <c r="H261" i="1"/>
  <c r="H261" i="1" a="1"/>
  <c r="N260" i="1"/>
  <c r="L260" i="1"/>
  <c r="K260" i="1"/>
  <c r="K260" i="1" a="1"/>
  <c r="H260" i="1"/>
  <c r="H260" i="1" a="1"/>
  <c r="N259" i="1"/>
  <c r="L259" i="1"/>
  <c r="K259" i="1"/>
  <c r="K259" i="1" a="1"/>
  <c r="H259" i="1"/>
  <c r="H259" i="1" a="1"/>
  <c r="N258" i="1"/>
  <c r="L258" i="1"/>
  <c r="K258" i="1"/>
  <c r="K258" i="1" a="1"/>
  <c r="H258" i="1"/>
  <c r="H258" i="1" a="1"/>
  <c r="N257" i="1"/>
  <c r="L257" i="1"/>
  <c r="K257" i="1"/>
  <c r="K257" i="1" a="1"/>
  <c r="H257" i="1"/>
  <c r="H257" i="1" a="1"/>
  <c r="N256" i="1"/>
  <c r="L256" i="1"/>
  <c r="K256" i="1"/>
  <c r="K256" i="1" a="1"/>
  <c r="H256" i="1"/>
  <c r="H256" i="1" a="1"/>
  <c r="N255" i="1"/>
  <c r="L255" i="1"/>
  <c r="K255" i="1"/>
  <c r="K255" i="1" a="1"/>
  <c r="H255" i="1"/>
  <c r="H255" i="1" a="1"/>
  <c r="N254" i="1"/>
  <c r="L254" i="1"/>
  <c r="K254" i="1"/>
  <c r="K254" i="1" a="1"/>
  <c r="H254" i="1"/>
  <c r="H254" i="1" a="1"/>
  <c r="N253" i="1"/>
  <c r="L253" i="1"/>
  <c r="K253" i="1"/>
  <c r="K253" i="1" a="1"/>
  <c r="H253" i="1"/>
  <c r="H253" i="1" a="1"/>
  <c r="N252" i="1"/>
  <c r="L252" i="1"/>
  <c r="K252" i="1"/>
  <c r="K252" i="1" a="1"/>
  <c r="H252" i="1"/>
  <c r="H252" i="1" a="1"/>
  <c r="N251" i="1"/>
  <c r="L251" i="1"/>
  <c r="K251" i="1"/>
  <c r="K251" i="1" a="1"/>
  <c r="H251" i="1"/>
  <c r="H251" i="1" a="1"/>
  <c r="N250" i="1"/>
  <c r="L250" i="1"/>
  <c r="K250" i="1"/>
  <c r="K250" i="1" a="1"/>
  <c r="H250" i="1"/>
  <c r="H250" i="1" a="1"/>
  <c r="N249" i="1"/>
  <c r="L249" i="1"/>
  <c r="K249" i="1"/>
  <c r="K249" i="1" a="1"/>
  <c r="H249" i="1"/>
  <c r="H249" i="1" a="1"/>
  <c r="N248" i="1"/>
  <c r="L248" i="1"/>
  <c r="K248" i="1"/>
  <c r="K248" i="1" a="1"/>
  <c r="H248" i="1"/>
  <c r="H248" i="1" a="1"/>
  <c r="N247" i="1"/>
  <c r="L247" i="1"/>
  <c r="K247" i="1"/>
  <c r="K247" i="1" a="1"/>
  <c r="H247" i="1"/>
  <c r="H247" i="1" a="1"/>
  <c r="N246" i="1"/>
  <c r="L246" i="1"/>
  <c r="K246" i="1"/>
  <c r="K246" i="1" a="1"/>
  <c r="H246" i="1"/>
  <c r="H246" i="1" a="1"/>
  <c r="N245" i="1"/>
  <c r="L245" i="1"/>
  <c r="K245" i="1"/>
  <c r="K245" i="1" a="1"/>
  <c r="H245" i="1"/>
  <c r="H245" i="1" a="1"/>
  <c r="N244" i="1"/>
  <c r="L244" i="1"/>
  <c r="K244" i="1"/>
  <c r="K244" i="1" a="1"/>
  <c r="H244" i="1"/>
  <c r="H244" i="1" a="1"/>
  <c r="N243" i="1"/>
  <c r="L243" i="1"/>
  <c r="K243" i="1"/>
  <c r="K243" i="1" a="1"/>
  <c r="H243" i="1"/>
  <c r="H243" i="1" a="1"/>
  <c r="N242" i="1"/>
  <c r="L242" i="1"/>
  <c r="K242" i="1"/>
  <c r="K242" i="1" a="1"/>
  <c r="H242" i="1"/>
  <c r="H242" i="1" a="1"/>
  <c r="N241" i="1"/>
  <c r="L241" i="1"/>
  <c r="K241" i="1"/>
  <c r="K241" i="1" a="1"/>
  <c r="H241" i="1"/>
  <c r="H241" i="1" a="1"/>
  <c r="N240" i="1"/>
  <c r="L240" i="1"/>
  <c r="K240" i="1"/>
  <c r="K240" i="1" a="1"/>
  <c r="H240" i="1"/>
  <c r="H240" i="1" a="1"/>
  <c r="N239" i="1"/>
  <c r="L239" i="1"/>
  <c r="K239" i="1"/>
  <c r="K239" i="1" a="1"/>
  <c r="H239" i="1"/>
  <c r="H239" i="1" a="1"/>
  <c r="N238" i="1"/>
  <c r="L238" i="1"/>
  <c r="K238" i="1"/>
  <c r="K238" i="1" a="1"/>
  <c r="H238" i="1"/>
  <c r="H238" i="1" a="1"/>
  <c r="N237" i="1"/>
  <c r="L237" i="1"/>
  <c r="K237" i="1"/>
  <c r="K237" i="1" a="1"/>
  <c r="H237" i="1"/>
  <c r="H237" i="1" a="1"/>
  <c r="N236" i="1"/>
  <c r="L236" i="1"/>
  <c r="K236" i="1"/>
  <c r="K236" i="1" a="1"/>
  <c r="H236" i="1"/>
  <c r="H236" i="1" a="1"/>
  <c r="N235" i="1"/>
  <c r="L235" i="1"/>
  <c r="K235" i="1"/>
  <c r="K235" i="1" a="1"/>
  <c r="H235" i="1"/>
  <c r="H235" i="1" a="1"/>
  <c r="N234" i="1"/>
  <c r="L234" i="1"/>
  <c r="K234" i="1"/>
  <c r="K234" i="1" a="1"/>
  <c r="H234" i="1"/>
  <c r="H234" i="1" a="1"/>
  <c r="N233" i="1"/>
  <c r="L233" i="1"/>
  <c r="K233" i="1"/>
  <c r="K233" i="1" a="1"/>
  <c r="H233" i="1"/>
  <c r="H233" i="1" a="1"/>
  <c r="N232" i="1"/>
  <c r="L232" i="1"/>
  <c r="K232" i="1"/>
  <c r="K232" i="1" a="1"/>
  <c r="H232" i="1"/>
  <c r="H232" i="1" a="1"/>
  <c r="N231" i="1"/>
  <c r="L231" i="1"/>
  <c r="K231" i="1"/>
  <c r="K231" i="1" a="1"/>
  <c r="H231" i="1"/>
  <c r="H231" i="1" a="1"/>
  <c r="N230" i="1"/>
  <c r="L230" i="1"/>
  <c r="K230" i="1"/>
  <c r="K230" i="1" a="1"/>
  <c r="H230" i="1"/>
  <c r="H230" i="1" a="1"/>
  <c r="N229" i="1"/>
  <c r="L229" i="1"/>
  <c r="K229" i="1"/>
  <c r="K229" i="1" a="1"/>
  <c r="H229" i="1"/>
  <c r="H229" i="1" a="1"/>
  <c r="N228" i="1"/>
  <c r="L228" i="1"/>
  <c r="K228" i="1"/>
  <c r="K228" i="1" a="1"/>
  <c r="H228" i="1"/>
  <c r="H228" i="1" a="1"/>
  <c r="N227" i="1"/>
  <c r="L227" i="1"/>
  <c r="K227" i="1"/>
  <c r="K227" i="1" a="1"/>
  <c r="H227" i="1"/>
  <c r="H227" i="1" a="1"/>
  <c r="N226" i="1"/>
  <c r="L226" i="1"/>
  <c r="K226" i="1"/>
  <c r="K226" i="1" a="1"/>
  <c r="H226" i="1"/>
  <c r="H226" i="1" a="1"/>
  <c r="N225" i="1"/>
  <c r="L225" i="1"/>
  <c r="K225" i="1"/>
  <c r="K225" i="1" a="1"/>
  <c r="H225" i="1"/>
  <c r="H225" i="1" a="1"/>
  <c r="N224" i="1"/>
  <c r="L224" i="1"/>
  <c r="K224" i="1"/>
  <c r="K224" i="1" a="1"/>
  <c r="H224" i="1"/>
  <c r="H224" i="1" a="1"/>
  <c r="N223" i="1"/>
  <c r="L223" i="1"/>
  <c r="K223" i="1"/>
  <c r="K223" i="1" a="1"/>
  <c r="H223" i="1"/>
  <c r="H223" i="1" a="1"/>
  <c r="N222" i="1"/>
  <c r="L222" i="1"/>
  <c r="K222" i="1"/>
  <c r="K222" i="1" a="1"/>
  <c r="H222" i="1"/>
  <c r="H222" i="1" a="1"/>
  <c r="N221" i="1"/>
  <c r="L221" i="1"/>
  <c r="K221" i="1"/>
  <c r="K221" i="1" a="1"/>
  <c r="H221" i="1"/>
  <c r="H221" i="1" a="1"/>
  <c r="N220" i="1"/>
  <c r="L220" i="1"/>
  <c r="K220" i="1"/>
  <c r="K220" i="1" a="1"/>
  <c r="H220" i="1"/>
  <c r="H220" i="1" a="1"/>
  <c r="N219" i="1"/>
  <c r="L219" i="1"/>
  <c r="K219" i="1"/>
  <c r="K219" i="1" a="1"/>
  <c r="H219" i="1"/>
  <c r="H219" i="1" a="1"/>
  <c r="N218" i="1"/>
  <c r="L218" i="1"/>
  <c r="K218" i="1"/>
  <c r="K218" i="1" a="1"/>
  <c r="H218" i="1"/>
  <c r="H218" i="1" a="1"/>
  <c r="N217" i="1"/>
  <c r="L217" i="1"/>
  <c r="K217" i="1"/>
  <c r="K217" i="1" a="1"/>
  <c r="H217" i="1"/>
  <c r="H217" i="1" a="1"/>
  <c r="N216" i="1"/>
  <c r="L216" i="1"/>
  <c r="K216" i="1"/>
  <c r="K216" i="1" a="1"/>
  <c r="H216" i="1"/>
  <c r="H216" i="1" a="1"/>
  <c r="N215" i="1"/>
  <c r="L215" i="1"/>
  <c r="K215" i="1"/>
  <c r="K215" i="1" a="1"/>
  <c r="H215" i="1"/>
  <c r="H215" i="1" a="1"/>
  <c r="N214" i="1"/>
  <c r="L214" i="1"/>
  <c r="K214" i="1"/>
  <c r="K214" i="1" a="1"/>
  <c r="H214" i="1"/>
  <c r="H214" i="1" a="1"/>
  <c r="N213" i="1"/>
  <c r="L213" i="1"/>
  <c r="K213" i="1"/>
  <c r="K213" i="1" a="1"/>
  <c r="H213" i="1"/>
  <c r="H213" i="1" a="1"/>
  <c r="N212" i="1"/>
  <c r="L212" i="1"/>
  <c r="K212" i="1"/>
  <c r="K212" i="1" a="1"/>
  <c r="H212" i="1"/>
  <c r="H212" i="1" a="1"/>
  <c r="N211" i="1"/>
  <c r="L211" i="1"/>
  <c r="K211" i="1"/>
  <c r="K211" i="1" a="1"/>
  <c r="H211" i="1"/>
  <c r="H211" i="1" a="1"/>
  <c r="N210" i="1"/>
  <c r="L210" i="1"/>
  <c r="K210" i="1"/>
  <c r="K210" i="1" a="1"/>
  <c r="H210" i="1"/>
  <c r="H210" i="1" a="1"/>
  <c r="N209" i="1"/>
  <c r="L209" i="1"/>
  <c r="K209" i="1"/>
  <c r="K209" i="1" a="1"/>
  <c r="H209" i="1"/>
  <c r="H209" i="1" a="1"/>
  <c r="N208" i="1"/>
  <c r="L208" i="1"/>
  <c r="K208" i="1"/>
  <c r="K208" i="1" a="1"/>
  <c r="H208" i="1"/>
  <c r="H208" i="1" a="1"/>
  <c r="N207" i="1"/>
  <c r="L207" i="1"/>
  <c r="K207" i="1"/>
  <c r="K207" i="1" a="1"/>
  <c r="H207" i="1"/>
  <c r="H207" i="1" a="1"/>
  <c r="N206" i="1"/>
  <c r="L206" i="1"/>
  <c r="K206" i="1"/>
  <c r="K206" i="1" a="1"/>
  <c r="H206" i="1"/>
  <c r="H206" i="1" a="1"/>
  <c r="N205" i="1"/>
  <c r="L205" i="1"/>
  <c r="K205" i="1"/>
  <c r="K205" i="1" a="1"/>
  <c r="H205" i="1"/>
  <c r="H205" i="1" a="1"/>
  <c r="N204" i="1"/>
  <c r="L204" i="1"/>
  <c r="K204" i="1"/>
  <c r="K204" i="1" a="1"/>
  <c r="H204" i="1"/>
  <c r="H204" i="1" a="1"/>
  <c r="N203" i="1"/>
  <c r="L203" i="1"/>
  <c r="K203" i="1"/>
  <c r="K203" i="1" a="1"/>
  <c r="H203" i="1"/>
  <c r="H203" i="1" a="1"/>
  <c r="N202" i="1"/>
  <c r="L202" i="1"/>
  <c r="K202" i="1"/>
  <c r="K202" i="1" a="1"/>
  <c r="H202" i="1"/>
  <c r="H202" i="1" a="1"/>
  <c r="N201" i="1"/>
  <c r="L201" i="1"/>
  <c r="K201" i="1"/>
  <c r="K201" i="1" a="1"/>
  <c r="H201" i="1"/>
  <c r="H201" i="1" a="1"/>
  <c r="N200" i="1"/>
  <c r="L200" i="1"/>
  <c r="K200" i="1"/>
  <c r="K200" i="1" a="1"/>
  <c r="H200" i="1"/>
  <c r="H200" i="1" a="1"/>
  <c r="N199" i="1"/>
  <c r="L199" i="1"/>
  <c r="K199" i="1"/>
  <c r="K199" i="1" a="1"/>
  <c r="H199" i="1"/>
  <c r="H199" i="1" a="1"/>
  <c r="N198" i="1"/>
  <c r="L198" i="1"/>
  <c r="K198" i="1"/>
  <c r="K198" i="1" a="1"/>
  <c r="H198" i="1"/>
  <c r="H198" i="1" a="1"/>
  <c r="N197" i="1"/>
  <c r="L197" i="1"/>
  <c r="K197" i="1"/>
  <c r="K197" i="1" a="1"/>
  <c r="H197" i="1"/>
  <c r="H197" i="1" a="1"/>
  <c r="N196" i="1"/>
  <c r="L196" i="1"/>
  <c r="K196" i="1"/>
  <c r="K196" i="1" a="1"/>
  <c r="H196" i="1"/>
  <c r="H196" i="1" a="1"/>
  <c r="N195" i="1"/>
  <c r="L195" i="1"/>
  <c r="K195" i="1"/>
  <c r="K195" i="1" a="1"/>
  <c r="H195" i="1"/>
  <c r="H195" i="1" a="1"/>
  <c r="N194" i="1"/>
  <c r="L194" i="1"/>
  <c r="K194" i="1"/>
  <c r="K194" i="1" a="1"/>
  <c r="H194" i="1"/>
  <c r="H194" i="1" a="1"/>
  <c r="N193" i="1"/>
  <c r="L193" i="1"/>
  <c r="K193" i="1"/>
  <c r="K193" i="1" a="1"/>
  <c r="H193" i="1"/>
  <c r="H193" i="1" a="1"/>
  <c r="N192" i="1"/>
  <c r="L192" i="1"/>
  <c r="K192" i="1"/>
  <c r="K192" i="1" a="1"/>
  <c r="H192" i="1"/>
  <c r="H192" i="1" a="1"/>
  <c r="N191" i="1"/>
  <c r="L191" i="1"/>
  <c r="K191" i="1"/>
  <c r="K191" i="1" a="1"/>
  <c r="H191" i="1"/>
  <c r="H191" i="1" a="1"/>
  <c r="N190" i="1"/>
  <c r="L190" i="1"/>
  <c r="K190" i="1"/>
  <c r="K190" i="1" a="1"/>
  <c r="H190" i="1"/>
  <c r="H190" i="1" a="1"/>
  <c r="N189" i="1"/>
  <c r="L189" i="1"/>
  <c r="K189" i="1"/>
  <c r="K189" i="1" a="1"/>
  <c r="H189" i="1"/>
  <c r="H189" i="1" a="1"/>
  <c r="N188" i="1"/>
  <c r="L188" i="1"/>
  <c r="K188" i="1"/>
  <c r="K188" i="1" a="1"/>
  <c r="H188" i="1"/>
  <c r="H188" i="1" a="1"/>
  <c r="N187" i="1"/>
  <c r="L187" i="1"/>
  <c r="K187" i="1"/>
  <c r="K187" i="1" a="1"/>
  <c r="H187" i="1"/>
  <c r="H187" i="1" a="1"/>
  <c r="N186" i="1"/>
  <c r="L186" i="1"/>
  <c r="K186" i="1"/>
  <c r="K186" i="1" a="1"/>
  <c r="H186" i="1"/>
  <c r="H186" i="1" a="1"/>
  <c r="N185" i="1"/>
  <c r="L185" i="1"/>
  <c r="K185" i="1"/>
  <c r="K185" i="1" a="1"/>
  <c r="H185" i="1"/>
  <c r="H185" i="1" a="1"/>
  <c r="N184" i="1"/>
  <c r="L184" i="1"/>
  <c r="K184" i="1"/>
  <c r="K184" i="1" a="1"/>
  <c r="H184" i="1"/>
  <c r="H184" i="1" a="1"/>
  <c r="N183" i="1"/>
  <c r="L183" i="1"/>
  <c r="K183" i="1"/>
  <c r="K183" i="1" a="1"/>
  <c r="H183" i="1"/>
  <c r="H183" i="1" a="1"/>
  <c r="N182" i="1"/>
  <c r="L182" i="1"/>
  <c r="K182" i="1"/>
  <c r="K182" i="1" a="1"/>
  <c r="H182" i="1"/>
  <c r="H182" i="1" a="1"/>
  <c r="N181" i="1"/>
  <c r="L181" i="1"/>
  <c r="K181" i="1"/>
  <c r="K181" i="1" a="1"/>
  <c r="H181" i="1"/>
  <c r="H181" i="1" a="1"/>
  <c r="N180" i="1"/>
  <c r="L180" i="1"/>
  <c r="K180" i="1"/>
  <c r="K180" i="1" a="1"/>
  <c r="H180" i="1"/>
  <c r="H180" i="1" a="1"/>
  <c r="N179" i="1"/>
  <c r="L179" i="1"/>
  <c r="K179" i="1"/>
  <c r="K179" i="1" a="1"/>
  <c r="H179" i="1"/>
  <c r="H179" i="1" a="1"/>
  <c r="N178" i="1"/>
  <c r="L178" i="1"/>
  <c r="K178" i="1"/>
  <c r="K178" i="1" a="1"/>
  <c r="H178" i="1"/>
  <c r="H178" i="1" a="1"/>
  <c r="N177" i="1"/>
  <c r="L177" i="1"/>
  <c r="K177" i="1"/>
  <c r="K177" i="1" a="1"/>
  <c r="H177" i="1"/>
  <c r="H177" i="1" a="1"/>
  <c r="N176" i="1"/>
  <c r="L176" i="1"/>
  <c r="K176" i="1"/>
  <c r="K176" i="1" a="1"/>
  <c r="H176" i="1"/>
  <c r="H176" i="1" a="1"/>
  <c r="N175" i="1"/>
  <c r="L175" i="1"/>
  <c r="K175" i="1"/>
  <c r="K175" i="1" a="1"/>
  <c r="H175" i="1"/>
  <c r="H175" i="1" a="1"/>
  <c r="N174" i="1"/>
  <c r="L174" i="1"/>
  <c r="K174" i="1"/>
  <c r="K174" i="1" a="1"/>
  <c r="H174" i="1"/>
  <c r="H174" i="1" a="1"/>
  <c r="N173" i="1"/>
  <c r="L173" i="1"/>
  <c r="K173" i="1"/>
  <c r="K173" i="1" a="1"/>
  <c r="H173" i="1"/>
  <c r="H173" i="1" a="1"/>
  <c r="N172" i="1"/>
  <c r="L172" i="1"/>
  <c r="K172" i="1"/>
  <c r="K172" i="1" a="1"/>
  <c r="H172" i="1"/>
  <c r="H172" i="1" a="1"/>
  <c r="N171" i="1"/>
  <c r="L171" i="1"/>
  <c r="K171" i="1"/>
  <c r="K171" i="1" a="1"/>
  <c r="H171" i="1"/>
  <c r="H171" i="1" a="1"/>
  <c r="N170" i="1"/>
  <c r="L170" i="1"/>
  <c r="K170" i="1"/>
  <c r="K170" i="1" a="1"/>
  <c r="H170" i="1"/>
  <c r="H170" i="1" a="1"/>
  <c r="N169" i="1"/>
  <c r="L169" i="1"/>
  <c r="K169" i="1"/>
  <c r="K169" i="1" a="1"/>
  <c r="H169" i="1"/>
  <c r="H169" i="1" a="1"/>
  <c r="N168" i="1"/>
  <c r="L168" i="1"/>
  <c r="K168" i="1"/>
  <c r="K168" i="1" a="1"/>
  <c r="H168" i="1"/>
  <c r="H168" i="1" a="1"/>
  <c r="N167" i="1"/>
  <c r="L167" i="1"/>
  <c r="K167" i="1"/>
  <c r="K167" i="1" a="1"/>
  <c r="H167" i="1"/>
  <c r="H167" i="1" a="1"/>
  <c r="N166" i="1"/>
  <c r="L166" i="1"/>
  <c r="K166" i="1"/>
  <c r="K166" i="1" a="1"/>
  <c r="H166" i="1"/>
  <c r="H166" i="1" a="1"/>
  <c r="N165" i="1"/>
  <c r="L165" i="1"/>
  <c r="K165" i="1"/>
  <c r="K165" i="1" a="1"/>
  <c r="H165" i="1"/>
  <c r="H165" i="1" a="1"/>
  <c r="N164" i="1"/>
  <c r="L164" i="1"/>
  <c r="K164" i="1"/>
  <c r="K164" i="1" a="1"/>
  <c r="H164" i="1"/>
  <c r="H164" i="1" a="1"/>
  <c r="N163" i="1"/>
  <c r="L163" i="1"/>
  <c r="K163" i="1"/>
  <c r="K163" i="1" a="1"/>
  <c r="H163" i="1"/>
  <c r="H163" i="1" a="1"/>
  <c r="N162" i="1"/>
  <c r="L162" i="1"/>
  <c r="K162" i="1"/>
  <c r="K162" i="1" a="1"/>
  <c r="H162" i="1"/>
  <c r="H162" i="1" a="1"/>
  <c r="N161" i="1"/>
  <c r="L161" i="1"/>
  <c r="K161" i="1"/>
  <c r="K161" i="1" a="1"/>
  <c r="H161" i="1"/>
  <c r="H161" i="1" a="1"/>
  <c r="N160" i="1"/>
  <c r="L160" i="1"/>
  <c r="K160" i="1"/>
  <c r="K160" i="1" a="1"/>
  <c r="H160" i="1"/>
  <c r="H160" i="1" a="1"/>
  <c r="N159" i="1"/>
  <c r="L159" i="1"/>
  <c r="K159" i="1"/>
  <c r="K159" i="1" a="1"/>
  <c r="H159" i="1"/>
  <c r="H159" i="1" a="1"/>
  <c r="N158" i="1"/>
  <c r="L158" i="1"/>
  <c r="K158" i="1"/>
  <c r="K158" i="1" a="1"/>
  <c r="H158" i="1"/>
  <c r="H158" i="1" a="1"/>
  <c r="N157" i="1"/>
  <c r="L157" i="1"/>
  <c r="K157" i="1"/>
  <c r="K157" i="1" a="1"/>
  <c r="H157" i="1"/>
  <c r="H157" i="1" a="1"/>
  <c r="N156" i="1"/>
  <c r="L156" i="1"/>
  <c r="K156" i="1"/>
  <c r="K156" i="1" a="1"/>
  <c r="H156" i="1"/>
  <c r="H156" i="1" a="1"/>
  <c r="N155" i="1"/>
  <c r="L155" i="1"/>
  <c r="K155" i="1"/>
  <c r="K155" i="1" a="1"/>
  <c r="H155" i="1"/>
  <c r="H155" i="1" a="1"/>
  <c r="N154" i="1"/>
  <c r="L154" i="1"/>
  <c r="K154" i="1"/>
  <c r="K154" i="1" a="1"/>
  <c r="H154" i="1"/>
  <c r="H154" i="1" a="1"/>
  <c r="N153" i="1"/>
  <c r="L153" i="1"/>
  <c r="K153" i="1"/>
  <c r="K153" i="1" a="1"/>
  <c r="H153" i="1"/>
  <c r="H153" i="1" a="1"/>
  <c r="N152" i="1"/>
  <c r="L152" i="1"/>
  <c r="K152" i="1"/>
  <c r="K152" i="1" a="1"/>
  <c r="H152" i="1"/>
  <c r="H152" i="1" a="1"/>
  <c r="N151" i="1"/>
  <c r="L151" i="1"/>
  <c r="K151" i="1"/>
  <c r="K151" i="1" a="1"/>
  <c r="H151" i="1"/>
  <c r="H151" i="1" a="1"/>
  <c r="N150" i="1"/>
  <c r="L150" i="1"/>
  <c r="K150" i="1"/>
  <c r="K150" i="1" a="1"/>
  <c r="H150" i="1"/>
  <c r="H150" i="1" a="1"/>
  <c r="N149" i="1"/>
  <c r="L149" i="1"/>
  <c r="K149" i="1"/>
  <c r="K149" i="1" a="1"/>
  <c r="H149" i="1"/>
  <c r="H149" i="1" a="1"/>
  <c r="N148" i="1"/>
  <c r="L148" i="1"/>
  <c r="K148" i="1"/>
  <c r="K148" i="1" a="1"/>
  <c r="H148" i="1"/>
  <c r="H148" i="1" a="1"/>
  <c r="N147" i="1"/>
  <c r="L147" i="1"/>
  <c r="K147" i="1"/>
  <c r="K147" i="1" a="1"/>
  <c r="H147" i="1"/>
  <c r="H147" i="1" a="1"/>
  <c r="N146" i="1"/>
  <c r="L146" i="1"/>
  <c r="K146" i="1"/>
  <c r="K146" i="1" a="1"/>
  <c r="H146" i="1"/>
  <c r="H146" i="1" a="1"/>
  <c r="N145" i="1"/>
  <c r="L145" i="1"/>
  <c r="K145" i="1"/>
  <c r="K145" i="1" a="1"/>
  <c r="H145" i="1"/>
  <c r="H145" i="1" a="1"/>
  <c r="N144" i="1"/>
  <c r="L144" i="1"/>
  <c r="K144" i="1"/>
  <c r="K144" i="1" a="1"/>
  <c r="H144" i="1"/>
  <c r="H144" i="1" a="1"/>
  <c r="N143" i="1"/>
  <c r="L143" i="1"/>
  <c r="K143" i="1"/>
  <c r="K143" i="1" a="1"/>
  <c r="H143" i="1"/>
  <c r="H143" i="1" a="1"/>
  <c r="N142" i="1"/>
  <c r="L142" i="1"/>
  <c r="K142" i="1"/>
  <c r="K142" i="1" a="1"/>
  <c r="H142" i="1"/>
  <c r="H142" i="1" a="1"/>
  <c r="N141" i="1"/>
  <c r="L141" i="1"/>
  <c r="K141" i="1"/>
  <c r="K141" i="1" a="1"/>
  <c r="H141" i="1"/>
  <c r="H141" i="1" a="1"/>
  <c r="N140" i="1"/>
  <c r="L140" i="1"/>
  <c r="K140" i="1"/>
  <c r="K140" i="1" a="1"/>
  <c r="H140" i="1"/>
  <c r="H140" i="1" a="1"/>
  <c r="N139" i="1"/>
  <c r="L139" i="1"/>
  <c r="K139" i="1"/>
  <c r="K139" i="1" a="1"/>
  <c r="H139" i="1"/>
  <c r="H139" i="1" a="1"/>
  <c r="N138" i="1"/>
  <c r="L138" i="1"/>
  <c r="K138" i="1"/>
  <c r="K138" i="1" a="1"/>
  <c r="H138" i="1"/>
  <c r="H138" i="1" a="1"/>
  <c r="N137" i="1"/>
  <c r="L137" i="1"/>
  <c r="K137" i="1"/>
  <c r="K137" i="1" a="1"/>
  <c r="H137" i="1"/>
  <c r="H137" i="1" a="1"/>
  <c r="N136" i="1"/>
  <c r="L136" i="1"/>
  <c r="K136" i="1"/>
  <c r="K136" i="1" a="1"/>
  <c r="H136" i="1"/>
  <c r="H136" i="1" a="1"/>
  <c r="N135" i="1"/>
  <c r="L135" i="1"/>
  <c r="K135" i="1"/>
  <c r="K135" i="1" a="1"/>
  <c r="H135" i="1"/>
  <c r="H135" i="1" a="1"/>
  <c r="N134" i="1"/>
  <c r="L134" i="1"/>
  <c r="K134" i="1"/>
  <c r="K134" i="1" a="1"/>
  <c r="H134" i="1"/>
  <c r="H134" i="1" a="1"/>
  <c r="N133" i="1"/>
  <c r="L133" i="1"/>
  <c r="K133" i="1"/>
  <c r="K133" i="1" a="1"/>
  <c r="H133" i="1"/>
  <c r="H133" i="1" a="1"/>
  <c r="N132" i="1"/>
  <c r="L132" i="1"/>
  <c r="K132" i="1"/>
  <c r="K132" i="1" a="1"/>
  <c r="H132" i="1"/>
  <c r="H132" i="1" a="1"/>
  <c r="N131" i="1"/>
  <c r="L131" i="1"/>
  <c r="K131" i="1"/>
  <c r="K131" i="1" a="1"/>
  <c r="H131" i="1"/>
  <c r="H131" i="1" a="1"/>
  <c r="N130" i="1"/>
  <c r="L130" i="1"/>
  <c r="K130" i="1"/>
  <c r="K130" i="1" a="1"/>
  <c r="H130" i="1"/>
  <c r="H130" i="1" a="1"/>
  <c r="N129" i="1"/>
  <c r="L129" i="1"/>
  <c r="K129" i="1"/>
  <c r="K129" i="1" a="1"/>
  <c r="H129" i="1"/>
  <c r="H129" i="1" a="1"/>
  <c r="N128" i="1"/>
  <c r="L128" i="1"/>
  <c r="K128" i="1"/>
  <c r="K128" i="1" a="1"/>
  <c r="H128" i="1"/>
  <c r="H128" i="1" a="1"/>
  <c r="N127" i="1"/>
  <c r="L127" i="1"/>
  <c r="K127" i="1"/>
  <c r="K127" i="1" a="1"/>
  <c r="H127" i="1"/>
  <c r="H127" i="1" a="1"/>
  <c r="N126" i="1"/>
  <c r="L126" i="1"/>
  <c r="K126" i="1"/>
  <c r="K126" i="1" a="1"/>
  <c r="H126" i="1"/>
  <c r="H126" i="1" a="1"/>
  <c r="N125" i="1"/>
  <c r="L125" i="1"/>
  <c r="K125" i="1"/>
  <c r="K125" i="1" a="1"/>
  <c r="H125" i="1"/>
  <c r="H125" i="1" a="1"/>
  <c r="N124" i="1"/>
  <c r="L124" i="1"/>
  <c r="K124" i="1"/>
  <c r="K124" i="1" a="1"/>
  <c r="H124" i="1"/>
  <c r="H124" i="1" a="1"/>
  <c r="N123" i="1"/>
  <c r="L123" i="1"/>
  <c r="K123" i="1"/>
  <c r="K123" i="1" a="1"/>
  <c r="H123" i="1"/>
  <c r="H123" i="1" a="1"/>
  <c r="N122" i="1"/>
  <c r="L122" i="1"/>
  <c r="K122" i="1"/>
  <c r="K122" i="1" a="1"/>
  <c r="H122" i="1"/>
  <c r="H122" i="1" a="1"/>
  <c r="N121" i="1"/>
  <c r="L121" i="1"/>
  <c r="K121" i="1"/>
  <c r="K121" i="1" a="1"/>
  <c r="H121" i="1"/>
  <c r="H121" i="1" a="1"/>
  <c r="N120" i="1"/>
  <c r="L120" i="1"/>
  <c r="K120" i="1"/>
  <c r="K120" i="1" a="1"/>
  <c r="H120" i="1"/>
  <c r="H120" i="1" a="1"/>
  <c r="N119" i="1"/>
  <c r="L119" i="1"/>
  <c r="K119" i="1"/>
  <c r="K119" i="1" a="1"/>
  <c r="H119" i="1"/>
  <c r="H119" i="1" a="1"/>
  <c r="N118" i="1"/>
  <c r="L118" i="1"/>
  <c r="K118" i="1"/>
  <c r="K118" i="1" a="1"/>
  <c r="H118" i="1"/>
  <c r="H118" i="1" a="1"/>
  <c r="N117" i="1"/>
  <c r="L117" i="1"/>
  <c r="K117" i="1"/>
  <c r="K117" i="1" a="1"/>
  <c r="H117" i="1"/>
  <c r="H117" i="1" a="1"/>
  <c r="N116" i="1"/>
  <c r="L116" i="1"/>
  <c r="K116" i="1"/>
  <c r="K116" i="1" a="1"/>
  <c r="H116" i="1"/>
  <c r="H116" i="1" a="1"/>
  <c r="N115" i="1"/>
  <c r="L115" i="1"/>
  <c r="K115" i="1"/>
  <c r="K115" i="1" a="1"/>
  <c r="H115" i="1"/>
  <c r="H115" i="1" a="1"/>
  <c r="N114" i="1"/>
  <c r="L114" i="1"/>
  <c r="K114" i="1"/>
  <c r="K114" i="1" a="1"/>
  <c r="H114" i="1"/>
  <c r="H114" i="1" a="1"/>
  <c r="N113" i="1"/>
  <c r="L113" i="1"/>
  <c r="K113" i="1"/>
  <c r="K113" i="1" a="1"/>
  <c r="H113" i="1"/>
  <c r="H113" i="1" a="1"/>
  <c r="N112" i="1"/>
  <c r="L112" i="1"/>
  <c r="K112" i="1"/>
  <c r="K112" i="1" a="1"/>
  <c r="H112" i="1"/>
  <c r="H112" i="1" a="1"/>
  <c r="N111" i="1"/>
  <c r="L111" i="1"/>
  <c r="K111" i="1"/>
  <c r="K111" i="1" a="1"/>
  <c r="H111" i="1"/>
  <c r="H111" i="1" a="1"/>
  <c r="N110" i="1"/>
  <c r="L110" i="1"/>
  <c r="K110" i="1"/>
  <c r="K110" i="1" a="1"/>
  <c r="H110" i="1"/>
  <c r="H110" i="1" a="1"/>
  <c r="N109" i="1"/>
  <c r="L109" i="1"/>
  <c r="K109" i="1"/>
  <c r="K109" i="1" a="1"/>
  <c r="H109" i="1"/>
  <c r="H109" i="1" a="1"/>
  <c r="N108" i="1"/>
  <c r="L108" i="1"/>
  <c r="K108" i="1"/>
  <c r="K108" i="1" a="1"/>
  <c r="H108" i="1"/>
  <c r="H108" i="1" a="1"/>
  <c r="N107" i="1"/>
  <c r="L107" i="1"/>
  <c r="K107" i="1"/>
  <c r="K107" i="1" a="1"/>
  <c r="H107" i="1"/>
  <c r="H107" i="1" a="1"/>
  <c r="N106" i="1"/>
  <c r="L106" i="1"/>
  <c r="K106" i="1"/>
  <c r="K106" i="1" a="1"/>
  <c r="H106" i="1"/>
  <c r="H106" i="1" a="1"/>
  <c r="N105" i="1"/>
  <c r="L105" i="1"/>
  <c r="K105" i="1"/>
  <c r="K105" i="1" a="1"/>
  <c r="H105" i="1"/>
  <c r="H105" i="1" a="1"/>
  <c r="N104" i="1"/>
  <c r="L104" i="1"/>
  <c r="K104" i="1"/>
  <c r="K104" i="1" a="1"/>
  <c r="H104" i="1"/>
  <c r="H104" i="1" a="1"/>
  <c r="N103" i="1"/>
  <c r="L103" i="1"/>
  <c r="K103" i="1"/>
  <c r="K103" i="1" a="1"/>
  <c r="H103" i="1"/>
  <c r="H103" i="1" a="1"/>
  <c r="N102" i="1"/>
  <c r="L102" i="1"/>
  <c r="K102" i="1"/>
  <c r="K102" i="1" a="1"/>
  <c r="H102" i="1"/>
  <c r="H102" i="1" a="1"/>
  <c r="N101" i="1"/>
  <c r="L101" i="1"/>
  <c r="K101" i="1"/>
  <c r="K101" i="1" a="1"/>
  <c r="H101" i="1"/>
  <c r="H101" i="1" a="1"/>
  <c r="N100" i="1"/>
  <c r="L100" i="1"/>
  <c r="K100" i="1"/>
  <c r="K100" i="1" a="1"/>
  <c r="H100" i="1"/>
  <c r="H100" i="1" a="1"/>
  <c r="N99" i="1"/>
  <c r="L99" i="1"/>
  <c r="K99" i="1"/>
  <c r="K99" i="1" a="1"/>
  <c r="H99" i="1"/>
  <c r="H99" i="1" a="1"/>
  <c r="N98" i="1"/>
  <c r="L98" i="1"/>
  <c r="K98" i="1"/>
  <c r="K98" i="1" a="1"/>
  <c r="H98" i="1"/>
  <c r="H98" i="1" a="1"/>
  <c r="N97" i="1"/>
  <c r="L97" i="1"/>
  <c r="K97" i="1"/>
  <c r="K97" i="1" a="1"/>
  <c r="H97" i="1"/>
  <c r="H97" i="1" a="1"/>
  <c r="N96" i="1"/>
  <c r="L96" i="1"/>
  <c r="K96" i="1"/>
  <c r="K96" i="1" a="1"/>
  <c r="H96" i="1"/>
  <c r="H96" i="1" a="1"/>
  <c r="N95" i="1"/>
  <c r="L95" i="1"/>
  <c r="K95" i="1"/>
  <c r="K95" i="1" a="1"/>
  <c r="H95" i="1"/>
  <c r="H95" i="1" a="1"/>
  <c r="N94" i="1"/>
  <c r="L94" i="1"/>
  <c r="K94" i="1"/>
  <c r="K94" i="1" a="1"/>
  <c r="H94" i="1"/>
  <c r="H94" i="1" a="1"/>
  <c r="N93" i="1"/>
  <c r="L93" i="1"/>
  <c r="K93" i="1"/>
  <c r="K93" i="1" a="1"/>
  <c r="H93" i="1"/>
  <c r="H93" i="1" a="1"/>
  <c r="N92" i="1"/>
  <c r="L92" i="1"/>
  <c r="K92" i="1"/>
  <c r="K92" i="1" a="1"/>
  <c r="H92" i="1"/>
  <c r="H92" i="1" a="1"/>
  <c r="N91" i="1"/>
  <c r="L91" i="1"/>
  <c r="K91" i="1"/>
  <c r="K91" i="1" a="1"/>
  <c r="H91" i="1"/>
  <c r="H91" i="1" a="1"/>
  <c r="N90" i="1"/>
  <c r="L90" i="1"/>
  <c r="K90" i="1"/>
  <c r="K90" i="1" a="1"/>
  <c r="H90" i="1"/>
  <c r="H90" i="1" a="1"/>
  <c r="N89" i="1"/>
  <c r="L89" i="1"/>
  <c r="K89" i="1"/>
  <c r="K89" i="1" a="1"/>
  <c r="H89" i="1"/>
  <c r="H89" i="1" a="1"/>
  <c r="N88" i="1"/>
  <c r="L88" i="1"/>
  <c r="K88" i="1"/>
  <c r="K88" i="1" a="1"/>
  <c r="H88" i="1"/>
  <c r="H88" i="1" a="1"/>
  <c r="N87" i="1"/>
  <c r="L87" i="1"/>
  <c r="K87" i="1"/>
  <c r="K87" i="1" a="1"/>
  <c r="H87" i="1"/>
  <c r="H87" i="1" a="1"/>
  <c r="N86" i="1"/>
  <c r="L86" i="1"/>
  <c r="K86" i="1"/>
  <c r="K86" i="1" a="1"/>
  <c r="H86" i="1"/>
  <c r="H86" i="1" a="1"/>
  <c r="N85" i="1"/>
  <c r="L85" i="1"/>
  <c r="K85" i="1"/>
  <c r="K85" i="1" a="1"/>
  <c r="H85" i="1"/>
  <c r="H85" i="1" a="1"/>
  <c r="N84" i="1"/>
  <c r="L84" i="1"/>
  <c r="K84" i="1"/>
  <c r="K84" i="1" a="1"/>
  <c r="H84" i="1"/>
  <c r="H84" i="1" a="1"/>
  <c r="N83" i="1"/>
  <c r="L83" i="1"/>
  <c r="K83" i="1"/>
  <c r="K83" i="1" a="1"/>
  <c r="H83" i="1"/>
  <c r="H83" i="1" a="1"/>
  <c r="N82" i="1"/>
  <c r="L82" i="1"/>
  <c r="K82" i="1"/>
  <c r="K82" i="1" a="1"/>
  <c r="H82" i="1"/>
  <c r="H82" i="1" a="1"/>
  <c r="N81" i="1"/>
  <c r="L81" i="1"/>
  <c r="K81" i="1"/>
  <c r="K81" i="1" a="1"/>
  <c r="H81" i="1"/>
  <c r="H81" i="1" a="1"/>
  <c r="N80" i="1"/>
  <c r="L80" i="1"/>
  <c r="K80" i="1"/>
  <c r="K80" i="1" a="1"/>
  <c r="H80" i="1"/>
  <c r="H80" i="1" a="1"/>
  <c r="N79" i="1"/>
  <c r="L79" i="1"/>
  <c r="K79" i="1"/>
  <c r="K79" i="1" a="1"/>
  <c r="H79" i="1"/>
  <c r="H79" i="1" a="1"/>
  <c r="N78" i="1"/>
  <c r="L78" i="1"/>
  <c r="K78" i="1"/>
  <c r="K78" i="1" a="1"/>
  <c r="H78" i="1"/>
  <c r="H78" i="1" a="1"/>
  <c r="N77" i="1"/>
  <c r="L77" i="1"/>
  <c r="K77" i="1"/>
  <c r="K77" i="1" a="1"/>
  <c r="H77" i="1"/>
  <c r="H77" i="1" a="1"/>
  <c r="N76" i="1"/>
  <c r="L76" i="1"/>
  <c r="K76" i="1"/>
  <c r="K76" i="1" a="1"/>
  <c r="H76" i="1"/>
  <c r="H76" i="1" a="1"/>
  <c r="N75" i="1"/>
  <c r="L75" i="1"/>
  <c r="K75" i="1"/>
  <c r="K75" i="1" a="1"/>
  <c r="H75" i="1"/>
  <c r="H75" i="1" a="1"/>
  <c r="N74" i="1"/>
  <c r="L74" i="1"/>
  <c r="K74" i="1"/>
  <c r="K74" i="1" a="1"/>
  <c r="H74" i="1"/>
  <c r="H74" i="1" a="1"/>
  <c r="N73" i="1"/>
  <c r="L73" i="1"/>
  <c r="K73" i="1"/>
  <c r="K73" i="1" a="1"/>
  <c r="H73" i="1"/>
  <c r="H73" i="1" a="1"/>
  <c r="N72" i="1"/>
  <c r="L72" i="1"/>
  <c r="K72" i="1"/>
  <c r="K72" i="1" a="1"/>
  <c r="H72" i="1"/>
  <c r="H72" i="1" a="1"/>
  <c r="N71" i="1"/>
  <c r="L71" i="1"/>
  <c r="K71" i="1"/>
  <c r="K71" i="1" a="1"/>
  <c r="H71" i="1"/>
  <c r="H71" i="1" a="1"/>
  <c r="N70" i="1"/>
  <c r="L70" i="1"/>
  <c r="K70" i="1"/>
  <c r="K70" i="1" a="1"/>
  <c r="H70" i="1"/>
  <c r="H70" i="1" a="1"/>
  <c r="N69" i="1"/>
  <c r="L69" i="1"/>
  <c r="K69" i="1"/>
  <c r="K69" i="1" a="1"/>
  <c r="H69" i="1"/>
  <c r="H69" i="1" a="1"/>
  <c r="N68" i="1"/>
  <c r="L68" i="1"/>
  <c r="K68" i="1"/>
  <c r="K68" i="1" a="1"/>
  <c r="H68" i="1"/>
  <c r="H68" i="1" a="1"/>
  <c r="N67" i="1"/>
  <c r="L67" i="1"/>
  <c r="K67" i="1"/>
  <c r="K67" i="1" a="1"/>
  <c r="H67" i="1"/>
  <c r="H67" i="1" a="1"/>
  <c r="N66" i="1"/>
  <c r="L66" i="1"/>
  <c r="K66" i="1"/>
  <c r="K66" i="1" a="1"/>
  <c r="H66" i="1"/>
  <c r="H66" i="1" a="1"/>
  <c r="N65" i="1"/>
  <c r="L65" i="1"/>
  <c r="K65" i="1"/>
  <c r="K65" i="1" a="1"/>
  <c r="H65" i="1"/>
  <c r="H65" i="1" a="1"/>
  <c r="N64" i="1"/>
  <c r="L64" i="1"/>
  <c r="K64" i="1"/>
  <c r="K64" i="1" a="1"/>
  <c r="H64" i="1"/>
  <c r="H64" i="1" a="1"/>
  <c r="N63" i="1"/>
  <c r="L63" i="1"/>
  <c r="K63" i="1"/>
  <c r="K63" i="1" a="1"/>
  <c r="H63" i="1"/>
  <c r="H63" i="1" a="1"/>
  <c r="N62" i="1"/>
  <c r="L62" i="1"/>
  <c r="K62" i="1"/>
  <c r="K62" i="1" a="1"/>
  <c r="H62" i="1"/>
  <c r="H62" i="1" a="1"/>
  <c r="N61" i="1"/>
  <c r="L61" i="1"/>
  <c r="K61" i="1"/>
  <c r="K61" i="1" a="1"/>
  <c r="H61" i="1"/>
  <c r="H61" i="1" a="1"/>
  <c r="N60" i="1"/>
  <c r="L60" i="1"/>
  <c r="K60" i="1"/>
  <c r="K60" i="1" a="1"/>
  <c r="H60" i="1"/>
  <c r="H60" i="1" a="1"/>
  <c r="N59" i="1"/>
  <c r="L59" i="1"/>
  <c r="K59" i="1"/>
  <c r="K59" i="1" a="1"/>
  <c r="H59" i="1"/>
  <c r="H59" i="1" a="1"/>
  <c r="N58" i="1"/>
  <c r="L58" i="1"/>
  <c r="K58" i="1"/>
  <c r="K58" i="1" a="1"/>
  <c r="H58" i="1"/>
  <c r="H58" i="1" a="1"/>
  <c r="N57" i="1"/>
  <c r="L57" i="1"/>
  <c r="K57" i="1"/>
  <c r="K57" i="1" a="1"/>
  <c r="H57" i="1"/>
  <c r="H57" i="1" a="1"/>
  <c r="N56" i="1"/>
  <c r="L56" i="1"/>
  <c r="K56" i="1"/>
  <c r="K56" i="1" a="1"/>
  <c r="H56" i="1"/>
  <c r="H56" i="1" a="1"/>
  <c r="N55" i="1"/>
  <c r="L55" i="1"/>
  <c r="K55" i="1"/>
  <c r="K55" i="1" a="1"/>
  <c r="H55" i="1"/>
  <c r="H55" i="1" a="1"/>
  <c r="N54" i="1"/>
  <c r="L54" i="1"/>
  <c r="K54" i="1"/>
  <c r="K54" i="1" a="1"/>
  <c r="H54" i="1"/>
  <c r="H54" i="1" a="1"/>
  <c r="N53" i="1"/>
  <c r="L53" i="1"/>
  <c r="K53" i="1"/>
  <c r="K53" i="1" a="1"/>
  <c r="H53" i="1"/>
  <c r="H53" i="1" a="1"/>
  <c r="N52" i="1"/>
  <c r="L52" i="1"/>
  <c r="K52" i="1"/>
  <c r="K52" i="1" a="1"/>
  <c r="H52" i="1"/>
  <c r="H52" i="1" a="1"/>
  <c r="N51" i="1"/>
  <c r="L51" i="1"/>
  <c r="K51" i="1"/>
  <c r="K51" i="1" a="1"/>
  <c r="H51" i="1"/>
  <c r="H51" i="1" a="1"/>
  <c r="N50" i="1"/>
  <c r="L50" i="1"/>
  <c r="K50" i="1"/>
  <c r="K50" i="1" a="1"/>
  <c r="H50" i="1"/>
  <c r="H50" i="1" a="1"/>
  <c r="N49" i="1"/>
  <c r="L49" i="1"/>
  <c r="K49" i="1"/>
  <c r="K49" i="1" a="1"/>
  <c r="H49" i="1"/>
  <c r="H49" i="1" a="1"/>
  <c r="N48" i="1"/>
  <c r="L48" i="1"/>
  <c r="K48" i="1"/>
  <c r="K48" i="1" a="1"/>
  <c r="H48" i="1"/>
  <c r="H48" i="1" a="1"/>
  <c r="N47" i="1"/>
  <c r="L47" i="1"/>
  <c r="K47" i="1"/>
  <c r="K47" i="1" a="1"/>
  <c r="H47" i="1"/>
  <c r="H47" i="1" a="1"/>
  <c r="N46" i="1"/>
  <c r="L46" i="1"/>
  <c r="K46" i="1"/>
  <c r="K46" i="1" a="1"/>
  <c r="H46" i="1"/>
  <c r="H46" i="1" a="1"/>
  <c r="N45" i="1"/>
  <c r="L45" i="1"/>
  <c r="K45" i="1"/>
  <c r="K45" i="1" a="1"/>
  <c r="H45" i="1"/>
  <c r="H45" i="1" a="1"/>
  <c r="N44" i="1"/>
  <c r="L44" i="1"/>
  <c r="K44" i="1"/>
  <c r="K44" i="1" a="1"/>
  <c r="H44" i="1"/>
  <c r="H44" i="1" a="1"/>
  <c r="N43" i="1"/>
  <c r="L43" i="1"/>
  <c r="K43" i="1"/>
  <c r="K43" i="1" a="1"/>
  <c r="H43" i="1"/>
  <c r="H43" i="1" a="1"/>
  <c r="N42" i="1"/>
  <c r="L42" i="1"/>
  <c r="K42" i="1"/>
  <c r="K42" i="1" a="1"/>
  <c r="H42" i="1"/>
  <c r="H42" i="1" a="1"/>
  <c r="N41" i="1"/>
  <c r="L41" i="1"/>
  <c r="K41" i="1"/>
  <c r="K41" i="1" a="1"/>
  <c r="H41" i="1"/>
  <c r="H41" i="1" a="1"/>
  <c r="N40" i="1"/>
  <c r="L40" i="1"/>
  <c r="K40" i="1"/>
  <c r="K40" i="1" a="1"/>
  <c r="H40" i="1"/>
  <c r="H40" i="1" a="1"/>
  <c r="N39" i="1"/>
  <c r="L39" i="1"/>
  <c r="K39" i="1"/>
  <c r="K39" i="1" a="1"/>
  <c r="H39" i="1"/>
  <c r="H39" i="1" a="1"/>
  <c r="N38" i="1"/>
  <c r="L38" i="1"/>
  <c r="K38" i="1"/>
  <c r="K38" i="1" a="1"/>
  <c r="H38" i="1"/>
  <c r="H38" i="1" a="1"/>
  <c r="N37" i="1"/>
  <c r="L37" i="1"/>
  <c r="K37" i="1"/>
  <c r="K37" i="1" a="1"/>
  <c r="H37" i="1"/>
  <c r="H37" i="1" a="1"/>
  <c r="N36" i="1"/>
  <c r="L36" i="1"/>
  <c r="K36" i="1"/>
  <c r="K36" i="1" a="1"/>
  <c r="H36" i="1"/>
  <c r="H36" i="1" a="1"/>
  <c r="N35" i="1"/>
  <c r="L35" i="1"/>
  <c r="K35" i="1"/>
  <c r="K35" i="1" a="1"/>
  <c r="H35" i="1"/>
  <c r="H35" i="1" a="1"/>
  <c r="N34" i="1"/>
  <c r="L34" i="1"/>
  <c r="K34" i="1"/>
  <c r="K34" i="1" a="1"/>
  <c r="H34" i="1"/>
  <c r="H34" i="1" a="1"/>
  <c r="N33" i="1"/>
  <c r="L33" i="1"/>
  <c r="K33" i="1"/>
  <c r="K33" i="1" a="1"/>
  <c r="H33" i="1"/>
  <c r="H33" i="1" a="1"/>
  <c r="N32" i="1"/>
  <c r="L32" i="1"/>
  <c r="K32" i="1"/>
  <c r="K32" i="1" a="1"/>
  <c r="H32" i="1"/>
  <c r="H32" i="1" a="1"/>
  <c r="N31" i="1"/>
  <c r="L31" i="1"/>
  <c r="K31" i="1"/>
  <c r="K31" i="1" a="1"/>
  <c r="H31" i="1"/>
  <c r="H31" i="1" a="1"/>
  <c r="N30" i="1"/>
  <c r="L30" i="1"/>
  <c r="K30" i="1"/>
  <c r="K30" i="1" a="1"/>
  <c r="H30" i="1"/>
  <c r="H30" i="1" a="1"/>
  <c r="N29" i="1"/>
  <c r="L29" i="1"/>
  <c r="K29" i="1"/>
  <c r="K29" i="1" a="1"/>
  <c r="H29" i="1"/>
  <c r="H29" i="1" a="1"/>
  <c r="N28" i="1"/>
  <c r="L28" i="1"/>
  <c r="K28" i="1"/>
  <c r="K28" i="1" a="1"/>
  <c r="H28" i="1"/>
  <c r="H28" i="1" a="1"/>
  <c r="N27" i="1"/>
  <c r="L27" i="1"/>
  <c r="K27" i="1"/>
  <c r="K27" i="1" a="1"/>
  <c r="H27" i="1"/>
  <c r="H27" i="1" a="1"/>
  <c r="N26" i="1"/>
  <c r="L26" i="1"/>
  <c r="K26" i="1"/>
  <c r="K26" i="1" a="1"/>
  <c r="H26" i="1"/>
  <c r="H26" i="1" a="1"/>
  <c r="N25" i="1"/>
  <c r="L25" i="1"/>
  <c r="K25" i="1"/>
  <c r="K25" i="1" a="1"/>
  <c r="H25" i="1"/>
  <c r="H25" i="1" a="1"/>
  <c r="N24" i="1"/>
  <c r="L24" i="1"/>
  <c r="K24" i="1"/>
  <c r="K24" i="1" a="1"/>
  <c r="H24" i="1"/>
  <c r="H24" i="1" a="1"/>
  <c r="N23" i="1"/>
  <c r="L23" i="1"/>
  <c r="K23" i="1"/>
  <c r="K23" i="1" a="1"/>
  <c r="H23" i="1"/>
  <c r="H23" i="1" a="1"/>
  <c r="N22" i="1"/>
  <c r="L22" i="1"/>
  <c r="K22" i="1"/>
  <c r="K22" i="1" a="1"/>
  <c r="H22" i="1"/>
  <c r="H22" i="1" a="1"/>
  <c r="N21" i="1"/>
  <c r="L21" i="1"/>
  <c r="K21" i="1"/>
  <c r="K21" i="1" a="1"/>
  <c r="H21" i="1"/>
  <c r="H21" i="1" a="1"/>
  <c r="N20" i="1"/>
  <c r="L20" i="1"/>
  <c r="K20" i="1"/>
  <c r="K20" i="1" a="1"/>
  <c r="H20" i="1"/>
  <c r="H20" i="1" a="1"/>
  <c r="N19" i="1"/>
  <c r="L19" i="1"/>
  <c r="K19" i="1"/>
  <c r="K19" i="1" a="1"/>
  <c r="H19" i="1"/>
  <c r="H19" i="1" a="1"/>
  <c r="N18" i="1"/>
  <c r="L18" i="1"/>
  <c r="K18" i="1"/>
  <c r="K18" i="1" a="1"/>
  <c r="H18" i="1"/>
  <c r="H18" i="1" a="1"/>
  <c r="N17" i="1"/>
  <c r="L17" i="1"/>
  <c r="K17" i="1"/>
  <c r="K17" i="1" a="1"/>
  <c r="H17" i="1"/>
  <c r="H17" i="1" a="1"/>
  <c r="N16" i="1"/>
  <c r="L16" i="1"/>
  <c r="K16" i="1"/>
  <c r="K16" i="1" a="1"/>
  <c r="H16" i="1"/>
  <c r="H16" i="1" a="1"/>
  <c r="N15" i="1"/>
  <c r="L15" i="1"/>
  <c r="K15" i="1"/>
  <c r="K15" i="1" a="1"/>
  <c r="H15" i="1"/>
  <c r="H15" i="1" a="1"/>
  <c r="N14" i="1"/>
  <c r="L14" i="1"/>
  <c r="K14" i="1"/>
  <c r="K14" i="1" a="1"/>
  <c r="H14" i="1"/>
  <c r="H14" i="1" a="1"/>
  <c r="N13" i="1"/>
  <c r="L13" i="1"/>
  <c r="K13" i="1"/>
  <c r="K13" i="1" a="1"/>
  <c r="H13" i="1"/>
  <c r="H13" i="1" a="1"/>
  <c r="N12" i="1"/>
  <c r="L12" i="1"/>
  <c r="K12" i="1"/>
  <c r="K12" i="1" a="1"/>
  <c r="H12" i="1"/>
  <c r="H12" i="1" a="1"/>
  <c r="N11" i="1"/>
  <c r="L11" i="1"/>
  <c r="K11" i="1"/>
  <c r="K11" i="1" a="1"/>
  <c r="H11" i="1"/>
  <c r="H11" i="1" a="1"/>
  <c r="N10" i="1"/>
  <c r="L10" i="1"/>
  <c r="K10" i="1"/>
  <c r="K10" i="1" a="1"/>
  <c r="H10" i="1"/>
  <c r="H10" i="1" a="1"/>
  <c r="N9" i="1"/>
  <c r="L9" i="1"/>
  <c r="K9" i="1"/>
  <c r="K9" i="1" a="1"/>
  <c r="H9" i="1"/>
  <c r="H9" i="1" a="1"/>
  <c r="N8" i="1"/>
  <c r="L8" i="1"/>
  <c r="K8" i="1"/>
  <c r="K8" i="1" a="1"/>
  <c r="H8" i="1"/>
  <c r="H8" i="1" a="1"/>
  <c r="N7" i="1"/>
  <c r="L7" i="1"/>
  <c r="K7" i="1"/>
  <c r="K7" i="1" a="1"/>
  <c r="H7" i="1"/>
  <c r="H7" i="1" a="1"/>
  <c r="N6" i="1"/>
  <c r="L6" i="1"/>
  <c r="K6" i="1"/>
  <c r="K6" i="1" a="1"/>
  <c r="H6" i="1"/>
  <c r="H6" i="1" a="1"/>
  <c r="N5" i="1"/>
  <c r="L5" i="1"/>
  <c r="K5" i="1"/>
  <c r="K5" i="1" a="1"/>
  <c r="H5" i="1"/>
  <c r="H5" i="1" a="1"/>
  <c r="N4" i="1"/>
  <c r="L4" i="1"/>
  <c r="K4" i="1"/>
  <c r="K4" i="1" a="1"/>
  <c r="H4" i="1"/>
  <c r="H4" i="1" a="1"/>
  <c r="N3" i="1"/>
  <c r="L3" i="1"/>
  <c r="K3" i="1"/>
  <c r="K3" i="1" a="1"/>
  <c r="H3" i="1"/>
  <c r="H3" i="1" a="1"/>
  <c r="N2" i="1"/>
  <c r="L2" i="1"/>
  <c r="K2" i="1"/>
  <c r="K2" i="1" a="1"/>
  <c r="H2" i="1"/>
  <c r="H2" i="1" a="1"/>
  <c r="G26" i="22"/>
  <c r="G19" i="18"/>
  <c r="H20" i="18"/>
  <c r="H21" i="18"/>
  <c r="G23" i="22"/>
  <c r="G21" i="18"/>
  <c r="G32" i="22"/>
  <c r="G20" i="18"/>
  <c r="H19" i="18"/>
  <c r="G29" i="22"/>
  <c r="AB17" i="18"/>
  <c r="AB16" i="18"/>
  <c r="AB18" i="18"/>
  <c r="AC25" i="18"/>
  <c r="AB23" i="18"/>
  <c r="AB22" i="18"/>
  <c r="AB11" i="18"/>
  <c r="AB9" i="18"/>
  <c r="AC17" i="18"/>
  <c r="AC8" i="18"/>
  <c r="AB12" i="18"/>
  <c r="AC7" i="18"/>
  <c r="AC23" i="18"/>
  <c r="AC6" i="18"/>
  <c r="AC16" i="18"/>
  <c r="AC22" i="18"/>
  <c r="AC11" i="18"/>
  <c r="AC13" i="18"/>
  <c r="AC15" i="18"/>
  <c r="AC20" i="18"/>
  <c r="AC14" i="18"/>
  <c r="AB13" i="18"/>
  <c r="AB7" i="18"/>
  <c r="AC21" i="18"/>
  <c r="AB6" i="18"/>
  <c r="AC12" i="18"/>
  <c r="AC9" i="18"/>
  <c r="AB24" i="18"/>
  <c r="AB8" i="18"/>
  <c r="AB21" i="18"/>
  <c r="AB19" i="18"/>
  <c r="AC18" i="18"/>
  <c r="AC24" i="18"/>
  <c r="AB25" i="18"/>
  <c r="AB14" i="18"/>
  <c r="AC19" i="18"/>
  <c r="AB20" i="18"/>
  <c r="AB15" i="18"/>
  <c r="G27" i="22" l="1"/>
  <c r="G24" i="22"/>
  <c r="G30" i="22"/>
  <c r="I19" i="18"/>
  <c r="J19" i="18" s="1"/>
  <c r="I20" i="18"/>
  <c r="J20" i="18" s="1"/>
  <c r="I21" i="18"/>
  <c r="J21" i="18" s="1"/>
  <c r="G33"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A84221-FF94-45E3-82EC-FCEF43F54CA8}" name="Query - accounts" description="Connection to the 'accounts' query in the workbook." type="100" refreshedVersion="8" minRefreshableVersion="5">
    <extLst>
      <ext xmlns:x15="http://schemas.microsoft.com/office/spreadsheetml/2010/11/main" uri="{DE250136-89BD-433C-8126-D09CA5730AF9}">
        <x15:connection id="65273af4-7f2f-4821-8457-dfdfed5292e5">
          <x15:oledbPr connection="Provider=Microsoft.Mashup.OleDb.1;Data Source=$Workbook$;Location=accounts;Extended Properties=&quot;&quot;">
            <x15:dbTables>
              <x15:dbTable name="accounts"/>
            </x15:dbTables>
          </x15:oledbPr>
        </x15:connection>
      </ext>
    </extLst>
  </connection>
  <connection id="2" xr16:uid="{AE68D953-7C46-4CB6-BCC4-476EF28CC40F}" name="Query - branches" description="Connection to the 'branches' query in the workbook." type="100" refreshedVersion="8" minRefreshableVersion="5">
    <extLst>
      <ext xmlns:x15="http://schemas.microsoft.com/office/spreadsheetml/2010/11/main" uri="{DE250136-89BD-433C-8126-D09CA5730AF9}">
        <x15:connection id="cf5192ae-4d80-4f1f-b926-114bdea5c3f6"/>
      </ext>
    </extLst>
  </connection>
  <connection id="3" xr16:uid="{CE6757F4-82C5-44E4-8E55-A44536EB2D1E}" name="Query - CLEAN ACC" description="Connection to the 'CLEAN ACC' query in the workbook." type="100" refreshedVersion="8" minRefreshableVersion="5">
    <extLst>
      <ext xmlns:x15="http://schemas.microsoft.com/office/spreadsheetml/2010/11/main" uri="{DE250136-89BD-433C-8126-D09CA5730AF9}">
        <x15:connection id="e6682edf-f0f8-4fd1-9b05-982b0b8288e8">
          <x15:oledbPr connection="Provider=Microsoft.Mashup.OleDb.1;Data Source=$Workbook$;Location=&quot;CLEAN ACC&quot;;Extended Properties=&quot;&quot;">
            <x15:dbTables>
              <x15:dbTable name="CLEAN ACC"/>
            </x15:dbTables>
          </x15:oledbPr>
        </x15:connection>
      </ext>
    </extLst>
  </connection>
  <connection id="4" xr16:uid="{288F85B4-8812-4C40-B675-94B0815BA6D3}" name="Query - CLEAN COMPLAIN" description="Connection to the 'CLEAN COMPLAIN' query in the workbook." type="100" refreshedVersion="8" minRefreshableVersion="5">
    <extLst>
      <ext xmlns:x15="http://schemas.microsoft.com/office/spreadsheetml/2010/11/main" uri="{DE250136-89BD-433C-8126-D09CA5730AF9}">
        <x15:connection id="bf2b47aa-a259-48bf-88fa-94f8d292fcf4"/>
      </ext>
    </extLst>
  </connection>
  <connection id="5" xr16:uid="{682D1DCD-00BE-41C5-9CB7-C7A397AAAC3C}" name="Query - COMPLAINT ACCOUNT MERGE" description="Connection to the 'COMPLAINT ACCOUNT MERGE' query in the workbook." type="100" refreshedVersion="8" minRefreshableVersion="5">
    <extLst>
      <ext xmlns:x15="http://schemas.microsoft.com/office/spreadsheetml/2010/11/main" uri="{DE250136-89BD-433C-8126-D09CA5730AF9}">
        <x15:connection id="67ce8ad1-938f-4eed-a430-5efe006b5c61">
          <x15:oledbPr connection="Provider=Microsoft.Mashup.OleDb.1;Data Source=$Workbook$;Location=&quot;COMPLAINT ACCOUNT MERGE&quot;;Extended Properties=&quot;&quot;">
            <x15:dbTables>
              <x15:dbTable name="COMPLAINT ACCOUNT MERGE"/>
            </x15:dbTables>
          </x15:oledbPr>
        </x15:connection>
      </ext>
    </extLst>
  </connection>
  <connection id="6" xr16:uid="{2561F80A-EA83-4C12-90C2-22CCA01100A4}" name="Query - Copy of complaints" description="Connection to the 'Copy of complaints' query in the workbook." type="100" refreshedVersion="8" minRefreshableVersion="5">
    <extLst>
      <ext xmlns:x15="http://schemas.microsoft.com/office/spreadsheetml/2010/11/main" uri="{DE250136-89BD-433C-8126-D09CA5730AF9}">
        <x15:connection id="a4d23c35-907c-4cdf-b51a-91b09a36e788"/>
      </ext>
    </extLst>
  </connection>
  <connection id="7" xr16:uid="{663AAA62-60AE-4197-8D66-92E61A994C3D}" name="Query - Merge1" description="Connection to the 'Merge1' query in the workbook." type="100" refreshedVersion="8" minRefreshableVersion="5">
    <extLst>
      <ext xmlns:x15="http://schemas.microsoft.com/office/spreadsheetml/2010/11/main" uri="{DE250136-89BD-433C-8126-D09CA5730AF9}">
        <x15:connection id="29468afa-2454-4389-b4e6-d9b746453af7">
          <x15:oledbPr connection="Provider=Microsoft.Mashup.OleDb.1;Data Source=$Workbook$;Location=Merge1;Extended Properties=&quot;&quot;">
            <x15:dbTables>
              <x15:dbTable name="Merge1"/>
            </x15:dbTables>
          </x15:oledbPr>
        </x15:connection>
      </ext>
    </extLst>
  </connection>
  <connection id="8" xr16:uid="{58A16F2F-E954-41C3-8D66-A7386C972CD5}" name="Query - Table1" description="Connection to the 'Table1' query in the workbook." type="100" refreshedVersion="8" minRefreshableVersion="5">
    <extLst>
      <ext xmlns:x15="http://schemas.microsoft.com/office/spreadsheetml/2010/11/main" uri="{DE250136-89BD-433C-8126-D09CA5730AF9}">
        <x15:connection id="86faa881-47c1-4b87-8ee6-39acab43f4f8"/>
      </ext>
    </extLst>
  </connection>
  <connection id="9" xr16:uid="{ADC65B3B-4F5A-4CC9-816B-26AE7914CDE0}" name="Query - transactions" description="Connection to the 'transactions' query in the workbook." type="100" refreshedVersion="8" minRefreshableVersion="5">
    <extLst>
      <ext xmlns:x15="http://schemas.microsoft.com/office/spreadsheetml/2010/11/main" uri="{DE250136-89BD-433C-8126-D09CA5730AF9}">
        <x15:connection id="34033670-40b6-45ba-9ee2-12f58848daf1"/>
      </ext>
    </extLst>
  </connection>
  <connection id="10" xr16:uid="{2E72428A-A144-43F8-A369-3A6EAC3E51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A040D82C-6C2B-4270-8C70-D8D5F00EC007}" name="WorksheetConnection_METRO BANK EXCEL (version 1).xlsx!Table1" type="102" refreshedVersion="8" minRefreshableVersion="5">
    <extLst>
      <ext xmlns:x15="http://schemas.microsoft.com/office/spreadsheetml/2010/11/main" uri="{DE250136-89BD-433C-8126-D09CA5730AF9}">
        <x15:connection id="Table1 1">
          <x15:rangePr sourceName="_xlcn.WorksheetConnection_METROBANKEXCELversion1.xlsxTable1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accounts].[Account_Type].&amp;[Savings],[accounts].[Account_Type].&amp;[Checking]}"/>
    <s v="{[Copy of complaints].[Status].[All]}"/>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<sst xmlns="http://schemas.openxmlformats.org/spreadsheetml/2006/main" count="4083" uniqueCount="1178">
  <si>
    <t>CustomerID</t>
  </si>
  <si>
    <t>Name</t>
  </si>
  <si>
    <t>Gender</t>
  </si>
  <si>
    <t>Age group</t>
  </si>
  <si>
    <t>Age</t>
  </si>
  <si>
    <t>Region</t>
  </si>
  <si>
    <t>Occupation</t>
  </si>
  <si>
    <t>Income</t>
  </si>
  <si>
    <t>Customer_Segment</t>
  </si>
  <si>
    <t>tenure bracket</t>
  </si>
  <si>
    <t>tenure</t>
  </si>
  <si>
    <t>Join_Date</t>
  </si>
  <si>
    <t>CUST0001</t>
  </si>
  <si>
    <t>Mrs. Deborah Dominguez MD</t>
  </si>
  <si>
    <t>Male</t>
  </si>
  <si>
    <t>Milennials</t>
  </si>
  <si>
    <t>North</t>
  </si>
  <si>
    <t>Doctor</t>
  </si>
  <si>
    <t>Retail</t>
  </si>
  <si>
    <t>Emerging</t>
  </si>
  <si>
    <t>CUST0002</t>
  </si>
  <si>
    <t>Erin Martinez</t>
  </si>
  <si>
    <t>Female</t>
  </si>
  <si>
    <t>GenX</t>
  </si>
  <si>
    <t>East</t>
  </si>
  <si>
    <t>Trader</t>
  </si>
  <si>
    <t>Corporate</t>
  </si>
  <si>
    <t>CUST0003</t>
  </si>
  <si>
    <t>Amanda Harris</t>
  </si>
  <si>
    <t>Teacher</t>
  </si>
  <si>
    <t>Private</t>
  </si>
  <si>
    <t>Loyal</t>
  </si>
  <si>
    <t>CUST0004</t>
  </si>
  <si>
    <t>Candice Palmer</t>
  </si>
  <si>
    <t>Banker</t>
  </si>
  <si>
    <t>CUST0005</t>
  </si>
  <si>
    <t>Sandra Davis</t>
  </si>
  <si>
    <t>GenZ</t>
  </si>
  <si>
    <t>West</t>
  </si>
  <si>
    <t>Student</t>
  </si>
  <si>
    <t>CUST0006</t>
  </si>
  <si>
    <t>Vanessa Peterson</t>
  </si>
  <si>
    <t>South</t>
  </si>
  <si>
    <t>Legacy</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</si>
  <si>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</si>
  <si>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</si>
  <si>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</si>
  <si>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</si>
  <si>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</si>
  <si>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</si>
  <si>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</si>
  <si>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</si>
  <si>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</si>
  <si>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</si>
  <si>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</si>
  <si>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</si>
  <si>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</si>
  <si>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</si>
  <si>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</si>
  <si>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</si>
  <si>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</si>
  <si>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</si>
  <si>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</si>
  <si>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</si>
  <si>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</si>
  <si>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</si>
  <si>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</si>
  <si>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</si>
  <si>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</si>
  <si>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</si>
  <si>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</si>
  <si>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</si>
  <si>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</si>
  <si>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</si>
  <si>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</si>
  <si>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</si>
  <si>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</si>
  <si>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</si>
  <si>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</si>
  <si>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</si>
  <si>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</si>
  <si>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</si>
  <si>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</si>
  <si>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</si>
  <si>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</si>
  <si>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</si>
  <si>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</si>
  <si>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</si>
  <si>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</si>
  <si>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</si>
  <si>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</si>
  <si>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</si>
  <si>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</si>
  <si>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</si>
  <si>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</si>
  <si>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</si>
  <si>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</si>
  <si>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</si>
  <si>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</si>
  <si>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</si>
  <si>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</si>
  <si>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</si>
  <si>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</si>
  <si>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</si>
  <si>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</si>
  <si>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</si>
  <si>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</si>
  <si>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</si>
  <si>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</si>
  <si>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</si>
  <si>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</si>
  <si>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</si>
  <si>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</si>
  <si>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</si>
  <si>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</si>
  <si>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</si>
  <si>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</si>
  <si>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</si>
  <si>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</si>
  <si>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</si>
  <si>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</si>
  <si>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</si>
  <si>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</si>
  <si>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</si>
  <si>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</si>
  <si>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</si>
  <si>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</si>
  <si>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</si>
  <si>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</si>
  <si>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</si>
  <si>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</si>
  <si>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</si>
  <si>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</si>
  <si>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</si>
  <si>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</si>
  <si>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</si>
  <si>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</si>
  <si>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</si>
  <si>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</si>
  <si>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</si>
  <si>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</si>
  <si>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</si>
  <si>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</si>
  <si>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</si>
  <si>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</si>
  <si>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</si>
  <si>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</si>
  <si>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</si>
  <si>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</si>
  <si>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</si>
  <si>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</si>
  <si>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</si>
  <si>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</si>
  <si>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</si>
  <si>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</si>
  <si>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</si>
  <si>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</si>
  <si>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</si>
  <si>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</si>
  <si>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</si>
  <si>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</si>
  <si>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</si>
  <si>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</si>
  <si>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</si>
  <si>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</si>
  <si>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</si>
  <si>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</si>
  <si>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</si>
  <si>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</si>
  <si>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</si>
  <si>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</si>
  <si>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</si>
  <si>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</si>
  <si>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</si>
  <si>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</si>
  <si>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</si>
  <si>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</si>
  <si>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</si>
  <si>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</si>
  <si>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</si>
  <si>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</si>
  <si>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</si>
  <si>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</si>
  <si>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</si>
  <si>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</si>
  <si>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</si>
  <si>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</si>
  <si>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</si>
  <si>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</si>
  <si>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</si>
  <si>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</si>
  <si>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</si>
  <si>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</si>
  <si>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</si>
  <si>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</si>
  <si>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</si>
  <si>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</si>
  <si>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</si>
  <si>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</si>
  <si>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</si>
  <si>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</si>
  <si>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</si>
  <si>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</si>
  <si>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</si>
  <si>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</si>
  <si>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</si>
  <si>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</si>
  <si>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</si>
  <si>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</si>
  <si>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</si>
  <si>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</si>
  <si>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</si>
  <si>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</si>
  <si>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</si>
  <si>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</si>
  <si>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</si>
  <si>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</si>
  <si>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</si>
  <si>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</si>
  <si>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</si>
  <si>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</si>
  <si>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</si>
  <si>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</si>
  <si>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</si>
  <si>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</si>
  <si>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</si>
  <si>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</si>
  <si>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</si>
  <si>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</si>
  <si>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</si>
  <si>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</si>
  <si>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</si>
  <si>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</si>
  <si>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</si>
  <si>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</si>
  <si>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</si>
  <si>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</si>
  <si>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</si>
  <si>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</si>
  <si>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</si>
  <si>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</si>
  <si>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</si>
  <si>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</si>
  <si>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</si>
  <si>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</si>
  <si>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</si>
  <si>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</si>
  <si>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</si>
  <si>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</si>
  <si>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</si>
  <si>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</si>
  <si>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</si>
  <si>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</si>
  <si>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</si>
  <si>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</si>
  <si>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</si>
  <si>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</si>
  <si>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</si>
  <si>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</si>
  <si>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</si>
  <si>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</si>
  <si>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</si>
  <si>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</si>
  <si>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</si>
  <si>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</si>
  <si>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</si>
  <si>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</si>
  <si>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</si>
  <si>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</si>
  <si>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</si>
  <si>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</si>
  <si>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</si>
  <si>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</si>
  <si>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</si>
  <si>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</si>
  <si>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</si>
  <si>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</si>
  <si>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</si>
  <si>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</si>
  <si>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</si>
  <si>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</si>
  <si>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</si>
  <si>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</si>
  <si>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</si>
  <si>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</si>
  <si>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</si>
  <si>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</si>
  <si>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</si>
  <si>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</si>
  <si>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</si>
  <si>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</si>
  <si>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</si>
  <si>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</si>
  <si>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</si>
  <si>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</si>
  <si>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</si>
  <si>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</si>
  <si>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</si>
  <si>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</si>
  <si>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</si>
  <si>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</si>
  <si>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</si>
  <si>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</si>
  <si>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</si>
  <si>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</si>
  <si>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</si>
  <si>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</si>
  <si>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</si>
  <si>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</si>
  <si>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</si>
  <si>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</si>
  <si>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</si>
  <si>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</si>
  <si>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</si>
  <si>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</si>
  <si>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</si>
  <si>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</si>
  <si>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</si>
  <si>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</si>
  <si>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</si>
  <si>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</si>
  <si>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</si>
  <si>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</si>
  <si>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</si>
  <si>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</si>
  <si>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</si>
  <si>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</si>
  <si>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</si>
  <si>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</si>
  <si>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</si>
  <si>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</si>
  <si>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</si>
  <si>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</si>
  <si>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</si>
  <si>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</si>
  <si>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</si>
  <si>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</si>
  <si>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</si>
  <si>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</si>
  <si>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</si>
  <si>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</si>
  <si>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</si>
  <si>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</si>
  <si>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</si>
  <si>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</si>
  <si>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</si>
  <si>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</si>
  <si>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</si>
  <si>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</si>
  <si>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</si>
  <si>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</si>
  <si>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</si>
  <si>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</si>
  <si>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</si>
  <si>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</si>
  <si>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</si>
  <si>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</si>
  <si>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</si>
  <si>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</si>
  <si>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</si>
  <si>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</si>
  <si>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</si>
  <si>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</si>
  <si>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</si>
  <si>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</si>
  <si>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</si>
  <si>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</si>
  <si>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</si>
  <si>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</si>
  <si>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</si>
  <si>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</si>
  <si>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</si>
  <si>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</si>
  <si>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</si>
  <si>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</si>
  <si>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</si>
  <si>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</si>
  <si>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</si>
  <si>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</si>
  <si>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</si>
  <si>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</si>
  <si>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</si>
  <si>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</si>
  <si>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</si>
  <si>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</si>
  <si>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</si>
  <si>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</si>
  <si>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</si>
  <si>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</si>
  <si>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</si>
  <si>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</si>
  <si>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</si>
  <si>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</si>
  <si>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</si>
  <si>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</si>
  <si>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</si>
  <si>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</si>
  <si>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</si>
  <si>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</si>
  <si>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</si>
  <si>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</si>
  <si>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</si>
  <si>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</si>
  <si>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</si>
  <si>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</si>
  <si>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</si>
  <si>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</si>
  <si>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</si>
  <si>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</si>
  <si>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</si>
  <si>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</si>
  <si>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</si>
  <si>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</si>
  <si>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</si>
  <si>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</si>
  <si>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</si>
  <si>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</si>
  <si>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</si>
  <si>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</si>
  <si>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</si>
  <si>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</si>
  <si>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</si>
  <si>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</si>
  <si>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</si>
  <si>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</si>
  <si>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</si>
  <si>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</si>
  <si>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</si>
  <si>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</si>
  <si>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</si>
  <si>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</si>
  <si>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</si>
  <si>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</si>
  <si>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</si>
  <si>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</si>
  <si>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</si>
  <si>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</si>
  <si>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</si>
  <si>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</si>
  <si>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</si>
  <si>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</si>
  <si>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</si>
  <si>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</si>
  <si>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</si>
  <si>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</si>
  <si>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</si>
  <si>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</si>
  <si>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</si>
  <si>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</si>
  <si>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</si>
  <si>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</si>
  <si>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</si>
  <si>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</si>
  <si>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</si>
  <si>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</si>
  <si>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</si>
  <si>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</si>
  <si>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</si>
  <si>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</si>
  <si>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</si>
  <si>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</si>
  <si>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</si>
  <si>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</si>
  <si>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</si>
  <si>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</si>
  <si>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</si>
  <si>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</si>
  <si>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</si>
  <si>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</si>
  <si>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</si>
  <si>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</si>
  <si>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</si>
  <si>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</si>
  <si>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</si>
  <si>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</si>
  <si>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</si>
  <si>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</si>
  <si>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</si>
  <si>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</si>
  <si>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</si>
  <si>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</si>
  <si>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</si>
  <si>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</si>
  <si>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</si>
  <si>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</si>
  <si>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</si>
  <si>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</si>
  <si>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</si>
  <si>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</si>
  <si>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</si>
  <si>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</si>
  <si>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</si>
  <si>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</si>
  <si>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</si>
  <si>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</si>
  <si>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</si>
  <si>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</si>
  <si>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</si>
  <si>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</si>
  <si>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</si>
  <si>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</si>
  <si>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</si>
  <si>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</si>
  <si>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</si>
  <si>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</si>
  <si>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</si>
  <si>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</si>
  <si>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</si>
  <si>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</si>
  <si>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</si>
  <si>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</si>
  <si>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</si>
  <si>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</si>
  <si>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</si>
  <si>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</si>
  <si>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</si>
  <si>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</si>
  <si>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</si>
  <si>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</si>
  <si>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</si>
  <si>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</si>
  <si>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</si>
  <si>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</si>
  <si>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</si>
  <si>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</si>
  <si>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</si>
  <si>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</si>
  <si>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</si>
  <si>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</si>
  <si>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</si>
  <si>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</si>
  <si>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</si>
  <si>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</si>
  <si>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</si>
  <si>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</si>
  <si>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</si>
  <si>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</si>
  <si>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</si>
  <si>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</si>
  <si>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</si>
  <si>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</si>
  <si>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</si>
  <si>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</si>
  <si>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</si>
  <si>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</si>
  <si>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</si>
  <si>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</si>
  <si>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</si>
  <si>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</si>
  <si>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</si>
  <si>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</si>
  <si>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</si>
  <si>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</si>
  <si>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</si>
  <si>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</si>
  <si>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</si>
  <si>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</si>
  <si>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</si>
  <si>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</si>
  <si>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</si>
  <si>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</si>
  <si>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</si>
  <si>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</si>
  <si>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</si>
  <si>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</si>
  <si>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</si>
  <si>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</si>
  <si>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</si>
  <si>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</si>
  <si>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</si>
  <si>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</si>
  <si>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</si>
  <si>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</si>
  <si>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</si>
  <si>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</si>
  <si>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</si>
  <si>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</si>
  <si>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</si>
  <si>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</si>
  <si>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</si>
  <si>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</si>
  <si>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</si>
  <si>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</si>
  <si>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</si>
  <si>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</si>
  <si>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</si>
  <si>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</si>
  <si>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</si>
  <si>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</si>
  <si>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</si>
  <si>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</si>
  <si>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</si>
  <si>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</si>
  <si>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</si>
  <si>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</si>
  <si>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</si>
  <si>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</si>
  <si>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</si>
  <si>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</si>
  <si>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</si>
  <si>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</si>
  <si>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</si>
  <si>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</si>
  <si>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</si>
  <si>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</si>
  <si>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</si>
  <si>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</si>
  <si>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</si>
  <si>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</si>
  <si>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</si>
  <si>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</si>
  <si>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</si>
  <si>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</si>
  <si>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</si>
  <si>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</si>
  <si>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</si>
  <si>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</si>
  <si>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</si>
  <si>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</si>
  <si>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</si>
  <si>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</si>
  <si>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</si>
  <si>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</si>
  <si>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</si>
  <si>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</si>
  <si>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</si>
  <si>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</si>
  <si>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</si>
  <si>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</si>
  <si>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</si>
  <si>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</si>
  <si>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</si>
  <si>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</si>
  <si>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</si>
  <si>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</si>
  <si>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</si>
  <si>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</si>
  <si>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</si>
  <si>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</si>
  <si>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</si>
  <si>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</si>
  <si>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</si>
  <si>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</si>
  <si>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</si>
  <si>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</si>
  <si>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</si>
  <si>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</si>
  <si>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</si>
  <si>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</si>
  <si>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</si>
  <si>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</si>
  <si>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</si>
  <si>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</si>
  <si>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</si>
  <si>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</si>
  <si>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</si>
  <si>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</si>
  <si>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</si>
  <si>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</si>
  <si>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</si>
  <si>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</si>
  <si>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</si>
  <si>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</si>
  <si>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</si>
  <si>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</si>
  <si>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</si>
  <si>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</si>
  <si>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</si>
  <si>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</si>
  <si>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</si>
  <si>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</si>
  <si>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</si>
  <si>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</si>
  <si>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</si>
  <si>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</si>
  <si>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</si>
  <si>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</si>
  <si>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</si>
  <si>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</si>
  <si>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</si>
  <si>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</si>
  <si>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</si>
  <si>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</si>
  <si>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</si>
  <si>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</si>
  <si>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</si>
  <si>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</si>
  <si>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</si>
  <si>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</si>
  <si>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</si>
  <si>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</si>
  <si>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</si>
  <si>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</si>
  <si>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</si>
  <si>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</si>
  <si>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</si>
  <si>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</si>
  <si>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</si>
  <si>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</si>
  <si>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</si>
  <si>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</si>
  <si>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</si>
  <si>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</si>
  <si>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</si>
  <si>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</si>
  <si>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</si>
  <si>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</si>
  <si>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</si>
  <si>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</si>
  <si>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</si>
  <si>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</si>
  <si>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</si>
  <si>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</si>
  <si>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</si>
  <si>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</si>
  <si>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</si>
  <si>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</si>
  <si>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</si>
  <si>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</si>
  <si>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</si>
  <si>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</si>
  <si>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</si>
  <si>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</si>
  <si>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</si>
  <si>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</si>
  <si>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</si>
  <si>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</si>
  <si>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</si>
  <si>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</si>
  <si>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</si>
  <si>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</si>
  <si>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</si>
  <si>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</si>
  <si>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</si>
  <si>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</si>
  <si>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</si>
  <si>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</si>
  <si>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</si>
  <si>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</si>
  <si>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</si>
  <si>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</si>
  <si>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</si>
  <si>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</si>
  <si>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</si>
  <si>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</si>
  <si>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</si>
  <si>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</si>
  <si>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</si>
  <si>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</si>
  <si>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</si>
  <si>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</si>
  <si>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</si>
  <si>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</si>
  <si>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</si>
  <si>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</si>
  <si>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</si>
  <si>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</si>
  <si>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</si>
  <si>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</si>
  <si>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</si>
  <si>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</si>
  <si>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</si>
  <si>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</si>
  <si>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</si>
  <si>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</si>
  <si>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</si>
  <si>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</si>
  <si>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</si>
  <si>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</si>
  <si>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</si>
  <si>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</si>
  <si>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</si>
  <si>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</si>
  <si>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</si>
  <si>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</si>
  <si>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</si>
  <si>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</si>
  <si>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</si>
  <si>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</si>
  <si>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</si>
  <si>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</si>
  <si>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</si>
  <si>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</si>
  <si>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</si>
  <si>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</si>
  <si>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</si>
  <si>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</si>
  <si>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</si>
  <si>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</si>
  <si>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</si>
  <si>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</si>
  <si>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</si>
  <si>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</si>
  <si>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</si>
  <si>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</si>
  <si>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</si>
  <si>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</si>
  <si>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</si>
  <si>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</si>
  <si>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</si>
  <si>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</si>
  <si>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</si>
  <si>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</si>
  <si>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</si>
  <si>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</si>
  <si>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</si>
  <si>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</si>
  <si>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</si>
  <si>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</si>
  <si>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</si>
  <si>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</si>
  <si>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</si>
  <si>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</si>
  <si>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</si>
  <si>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</si>
  <si>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</si>
  <si>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</si>
  <si>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</si>
  <si>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</si>
  <si>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</si>
  <si>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</si>
  <si>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</si>
  <si>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</si>
  <si>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</si>
  <si>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</si>
  <si>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</si>
  <si>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</si>
  <si>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</si>
  <si>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</si>
  <si>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</si>
  <si>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</si>
  <si>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</si>
  <si>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</si>
  <si>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</si>
  <si>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</si>
  <si>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</si>
  <si>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</si>
  <si>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</si>
  <si>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</si>
  <si>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</si>
  <si>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</si>
  <si>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</si>
  <si>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</si>
  <si>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</si>
  <si>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</si>
  <si>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</si>
  <si>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</si>
  <si>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</si>
  <si>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</si>
  <si>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</si>
  <si>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</si>
  <si>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</si>
  <si>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</si>
  <si>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</si>
  <si>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</si>
  <si>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</si>
  <si>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</si>
  <si>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</si>
  <si>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</si>
  <si>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</si>
  <si>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</si>
  <si>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</si>
  <si>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</si>
  <si>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</si>
  <si>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</si>
  <si>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</si>
  <si>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</si>
  <si>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</si>
  <si>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</si>
  <si>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</si>
  <si>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</si>
  <si>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</si>
  <si>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</si>
  <si>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</si>
  <si>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</si>
  <si>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</si>
  <si>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</si>
  <si>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</si>
  <si>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</si>
  <si>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</si>
  <si>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</si>
  <si>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</si>
  <si>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</si>
  <si>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</si>
  <si>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</si>
  <si>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</si>
  <si>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</si>
  <si>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</si>
  <si>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</si>
  <si>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</si>
  <si>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</si>
  <si>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</si>
  <si>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</si>
  <si>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</si>
  <si>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</si>
  <si>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</si>
  <si>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</si>
  <si>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</si>
  <si>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</si>
  <si>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</si>
  <si>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</si>
  <si>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</si>
  <si>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</si>
  <si>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</si>
  <si>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</si>
  <si>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</si>
  <si>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</si>
  <si>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</si>
  <si>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</si>
  <si>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</si>
  <si>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</si>
  <si>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</si>
  <si>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</si>
  <si>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</si>
  <si>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</si>
  <si>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</si>
  <si>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</si>
  <si>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</si>
  <si>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</si>
  <si>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</si>
  <si>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</si>
  <si>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</si>
  <si>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</si>
  <si>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</si>
  <si>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</si>
  <si>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</si>
  <si>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</si>
  <si>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</si>
  <si>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</si>
  <si>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</si>
  <si>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</si>
  <si>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</si>
  <si>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</si>
  <si>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</si>
  <si>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</si>
  <si>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</si>
  <si>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</si>
  <si>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</si>
  <si>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</si>
  <si>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</si>
  <si>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</si>
  <si>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</si>
  <si>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</si>
  <si>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</si>
  <si>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</si>
  <si>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</si>
  <si>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</si>
  <si>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</si>
  <si>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</si>
  <si>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</si>
  <si>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</si>
  <si>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</si>
  <si>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</si>
  <si>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</si>
  <si>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</si>
  <si>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</si>
  <si>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</si>
  <si>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</si>
  <si>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</si>
  <si>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</si>
  <si>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</si>
  <si>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</si>
  <si>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</si>
  <si>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</si>
  <si>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</si>
  <si>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</si>
  <si>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</si>
  <si>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</si>
  <si>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</si>
  <si>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</si>
  <si>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</si>
  <si>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</si>
  <si>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</si>
  <si>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</si>
  <si>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</si>
  <si>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</si>
  <si>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</si>
  <si>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</si>
  <si>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</si>
  <si>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</si>
  <si>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</si>
  <si>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</si>
  <si>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</si>
  <si>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</si>
  <si>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</si>
  <si>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</si>
  <si>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</si>
  <si>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</si>
  <si>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</si>
  <si>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</si>
  <si>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</si>
  <si>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</si>
  <si>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</si>
  <si>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</si>
  <si>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</si>
  <si>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</si>
  <si>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</si>
  <si>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</si>
  <si>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</si>
  <si>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</si>
  <si>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</si>
  <si>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</si>
  <si>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</si>
  <si>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</si>
  <si>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</si>
  <si>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</si>
  <si>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</si>
  <si>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</si>
  <si>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</si>
  <si>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</si>
  <si>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</si>
  <si>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</si>
  <si>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</si>
  <si>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</si>
  <si>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</si>
  <si>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</si>
  <si>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</si>
  <si>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</si>
  <si>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</si>
  <si>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</si>
  <si>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</si>
  <si>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</si>
  <si>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</si>
  <si>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</si>
  <si>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</si>
  <si>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</si>
  <si>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</si>
  <si>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</si>
  <si>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</si>
  <si>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</si>
  <si>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</si>
  <si>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</si>
  <si>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</si>
  <si>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</si>
  <si>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income bracket</t>
  </si>
  <si>
    <t>Count of CustomerID</t>
  </si>
  <si>
    <t>Average of Age</t>
  </si>
  <si>
    <t>Average of Income</t>
  </si>
  <si>
    <t>Average of tenure</t>
  </si>
  <si>
    <t>Row Labels</t>
  </si>
  <si>
    <t>Grand Total</t>
  </si>
  <si>
    <t>2015</t>
  </si>
  <si>
    <t>2016</t>
  </si>
  <si>
    <t>2017</t>
  </si>
  <si>
    <t>2018</t>
  </si>
  <si>
    <t>2019</t>
  </si>
  <si>
    <t>2020</t>
  </si>
  <si>
    <t>2021</t>
  </si>
  <si>
    <t>2022</t>
  </si>
  <si>
    <t>2023</t>
  </si>
  <si>
    <t>2024</t>
  </si>
  <si>
    <t>2025</t>
  </si>
  <si>
    <t>Column Labels</t>
  </si>
  <si>
    <t>High</t>
  </si>
  <si>
    <t>Low</t>
  </si>
  <si>
    <t>Medium</t>
  </si>
  <si>
    <t>Premium</t>
  </si>
  <si>
    <t>Checking</t>
  </si>
  <si>
    <t>Savings</t>
  </si>
  <si>
    <t>Rejected</t>
  </si>
  <si>
    <t>CreditCard</t>
  </si>
  <si>
    <t>Loan</t>
  </si>
  <si>
    <t>Approved</t>
  </si>
  <si>
    <t>Sum of Loan_Amount</t>
  </si>
  <si>
    <t>Sum of Balance</t>
  </si>
  <si>
    <t>Count of Account_Type</t>
  </si>
  <si>
    <t>Average of Credit_Score</t>
  </si>
  <si>
    <t>Average of Balance</t>
  </si>
  <si>
    <t>Count of Account_Type2</t>
  </si>
  <si>
    <t>other</t>
  </si>
  <si>
    <t>##</t>
  </si>
  <si>
    <t>Average of Loan_Amount</t>
  </si>
  <si>
    <t>YEAR</t>
  </si>
  <si>
    <t>MONTH YEAR</t>
  </si>
  <si>
    <t>New</t>
  </si>
  <si>
    <t>Deposit</t>
  </si>
  <si>
    <t>Payment</t>
  </si>
  <si>
    <t>Transfer</t>
  </si>
  <si>
    <t>Withdrawal</t>
  </si>
  <si>
    <t>Sum of Amount</t>
  </si>
  <si>
    <t>Count of TransID</t>
  </si>
  <si>
    <t>Average of Amount</t>
  </si>
  <si>
    <t>ATM</t>
  </si>
  <si>
    <t>no</t>
  </si>
  <si>
    <t>yes</t>
  </si>
  <si>
    <t>amount</t>
  </si>
  <si>
    <t>avg amount</t>
  </si>
  <si>
    <t>PY</t>
  </si>
  <si>
    <t>Average of Amount2</t>
  </si>
  <si>
    <t>total transaction</t>
  </si>
  <si>
    <t>CY</t>
  </si>
  <si>
    <t>YOY</t>
  </si>
  <si>
    <t xml:space="preserve">  </t>
  </si>
  <si>
    <t>Account_Type</t>
  </si>
  <si>
    <t>(Multiple Items)</t>
  </si>
  <si>
    <t>Shell</t>
  </si>
  <si>
    <t>Apple</t>
  </si>
  <si>
    <t>LocalStore</t>
  </si>
  <si>
    <t>Airbnb</t>
  </si>
  <si>
    <t>Count of BranchID</t>
  </si>
  <si>
    <t>Sum of Operating_Cost</t>
  </si>
  <si>
    <t>Sum of Revenue</t>
  </si>
  <si>
    <t>Total Profit</t>
  </si>
  <si>
    <t>Profit Margin</t>
  </si>
  <si>
    <t>West Loganmouth</t>
  </si>
  <si>
    <t>West Robert</t>
  </si>
  <si>
    <t>North Daniel</t>
  </si>
  <si>
    <t>Stevenfurt</t>
  </si>
  <si>
    <t>Robertaport</t>
  </si>
  <si>
    <t>Javiertown</t>
  </si>
  <si>
    <t>New Adrienne</t>
  </si>
  <si>
    <t>West Linda</t>
  </si>
  <si>
    <t>Hurleyview</t>
  </si>
  <si>
    <t>Brittanyland</t>
  </si>
  <si>
    <t>South Andrew</t>
  </si>
  <si>
    <t>Lisaville</t>
  </si>
  <si>
    <t>Caldwellburgh</t>
  </si>
  <si>
    <t>Simonland</t>
  </si>
  <si>
    <t>Michaeltown</t>
  </si>
  <si>
    <t>Petersonport</t>
  </si>
  <si>
    <t>Lake Lynnton</t>
  </si>
  <si>
    <t>Leahtown</t>
  </si>
  <si>
    <t>Port Michaelhaven</t>
  </si>
  <si>
    <t>Carterstad</t>
  </si>
  <si>
    <t>top perf. Branch</t>
  </si>
  <si>
    <t>Sum of Staff_Count</t>
  </si>
  <si>
    <t>revenue per staff</t>
  </si>
  <si>
    <t>Ag revenue per staff</t>
  </si>
  <si>
    <t>operating cost ratio</t>
  </si>
  <si>
    <t>Count of ComplaintID</t>
  </si>
  <si>
    <t>Charges Dispute</t>
  </si>
  <si>
    <t>Fraud</t>
  </si>
  <si>
    <t>Others</t>
  </si>
  <si>
    <t>Service Delay</t>
  </si>
  <si>
    <t>Technical Issue</t>
  </si>
  <si>
    <t>In Progress</t>
  </si>
  <si>
    <t>Open</t>
  </si>
  <si>
    <t>Resolved</t>
  </si>
  <si>
    <t>Not Urgent</t>
  </si>
  <si>
    <t>Urgent Fraud</t>
  </si>
  <si>
    <t>#540000</t>
  </si>
  <si>
    <t>#E97132</t>
  </si>
  <si>
    <t>Distinct Count of ComplaintID</t>
  </si>
  <si>
    <t>Distinct Count of CustomerID</t>
  </si>
  <si>
    <t>% premium users affected</t>
  </si>
  <si>
    <t>prem customers</t>
  </si>
  <si>
    <t>prem customer with complaint</t>
  </si>
  <si>
    <t>Status</t>
  </si>
  <si>
    <t>Average of Resolution_Time(days)</t>
  </si>
  <si>
    <t>efficiency and service gaps</t>
  </si>
  <si>
    <t>Average of Backlog</t>
  </si>
  <si>
    <t>average backlog</t>
  </si>
  <si>
    <t>backlog size/total backlog</t>
  </si>
  <si>
    <t>Avg of Resolution_resolved complain</t>
  </si>
  <si>
    <t>active fraudcase</t>
  </si>
  <si>
    <t>Jan</t>
  </si>
  <si>
    <t>Feb</t>
  </si>
  <si>
    <t>Mar</t>
  </si>
  <si>
    <t>Apr</t>
  </si>
  <si>
    <t>May</t>
  </si>
  <si>
    <t>Jun</t>
  </si>
  <si>
    <t>Jul</t>
  </si>
  <si>
    <t>Aug</t>
  </si>
  <si>
    <t>Sep</t>
  </si>
  <si>
    <t>Oct</t>
  </si>
  <si>
    <t>Nov</t>
  </si>
  <si>
    <t>Dec</t>
  </si>
  <si>
    <t>No</t>
  </si>
  <si>
    <t>Uber</t>
  </si>
  <si>
    <t>Branch</t>
  </si>
  <si>
    <t>Online</t>
  </si>
  <si>
    <t>POS</t>
  </si>
  <si>
    <t>Amazon</t>
  </si>
  <si>
    <t>Hospital</t>
  </si>
  <si>
    <t>Netflix</t>
  </si>
  <si>
    <t>Target</t>
  </si>
  <si>
    <t>Walmart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</si>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</sst>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_-* #,##0_-;\-* #,##0_-;_-* &quot;-&quot;??_-;_-@_-"/>
    <numFmt numFmtId="165" formatCode="_-[$$-409]* #,##0_ ;_-[$$-409]* \-#,##0\ ;_-[$$-409]* &quot;-&quot;_ ;_-@_ "/>
    <numFmt numFmtId="166" formatCode="[$$-1009]#,##0"/>
    <numFmt numFmtId="167" formatCode="[&gt;=1000000]&quot;$&quot;0,,&quot;M&quot;;[&gt;=1000]&quot;$&quot;0,&quot;K&quot;;0"/>
    <numFmt numFmtId="168" formatCode="[$$-1009]#,##0;\-[$$-1009]#,##0"/>
    <numFmt numFmtId="169" formatCode="[&gt;=1000000]&quot;$&quot;0.0,,&quot;M&quot;;[&gt;=1000]&quot;$&quot;0.0,&quot;K&quot;;0.0"/>
    <numFmt numFmtId="170" formatCode="0.0%"/>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400C15"/>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14" fontId="0" fillId="0" borderId="0" xfId="0" applyNumberFormat="1"/>
    <xf numFmtId="164" fontId="0" fillId="0" borderId="0" xfId="1" applyNumberFormat="1" applyFont="1"/>
    <xf numFmtId="0" fontId="0" fillId="0" borderId="0" xfId="0" pivotButton="1"/>
    <xf numFmtId="1" fontId="0" fillId="0" borderId="0" xfId="0" applyNumberFormat="1"/>
    <xf numFmtId="0" fontId="0" fillId="0" borderId="0" xfId="0" applyAlignment="1">
      <alignment horizontal="left"/>
    </xf>
    <xf numFmtId="165" fontId="0" fillId="0" borderId="0" xfId="0" applyNumberFormat="1"/>
    <xf numFmtId="9" fontId="0" fillId="0" borderId="0" xfId="2" applyFont="1"/>
    <xf numFmtId="9"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64" fontId="0" fillId="0" borderId="0" xfId="0" applyNumberFormat="1"/>
    <xf numFmtId="1" fontId="0" fillId="0" borderId="0" xfId="0" applyNumberFormat="1" applyAlignment="1">
      <alignment horizontal="left"/>
    </xf>
    <xf numFmtId="2" fontId="0" fillId="0" borderId="0" xfId="0" pivotButton="1" applyNumberFormat="1"/>
    <xf numFmtId="10" fontId="0" fillId="0" borderId="0" xfId="0" applyNumberFormat="1"/>
    <xf numFmtId="170" fontId="0" fillId="0" borderId="0" xfId="0" applyNumberFormat="1"/>
    <xf numFmtId="0" fontId="0" fillId="2" borderId="0" xfId="0" applyFill="1"/>
  </cellXfs>
  <cellStyles count="3">
    <cellStyle name="Comma" xfId="1" builtinId="3"/>
    <cellStyle name="Normal" xfId="0" builtinId="0"/>
    <cellStyle name="Per cent" xfId="2" builtinId="5"/>
  </cellStyles>
  <dxfs count="101">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164" formatCode="_-* #,##0_-;\-* #,##0_-;_-* &quot;-&quot;??_-;_-@_-"/>
    </dxf>
    <dxf>
      <numFmt numFmtId="0" formatCode="General"/>
    </dxf>
    <dxf>
      <numFmt numFmtId="168" formatCode="[$$-1009]#,##0;\-[$$-1009]#,##0"/>
    </dxf>
    <dxf>
      <numFmt numFmtId="168" formatCode="[$$-1009]#,##0;\-[$$-1009]#,##0"/>
    </dxf>
    <dxf>
      <numFmt numFmtId="1" formatCode="0"/>
    </dxf>
    <dxf>
      <numFmt numFmtId="0" formatCode="General"/>
    </dxf>
    <dxf>
      <numFmt numFmtId="170" formatCode="0.0%"/>
    </dxf>
    <dxf>
      <numFmt numFmtId="13" formatCode="0%"/>
    </dxf>
    <dxf>
      <numFmt numFmtId="13" formatCode="0%"/>
    </dxf>
    <dxf>
      <numFmt numFmtId="167" formatCode="[&gt;=1000000]&quot;$&quot;0,,&quot;M&quot;;[&gt;=1000]&quot;$&quot;0,&quot;K&quot;;0"/>
    </dxf>
    <dxf>
      <numFmt numFmtId="168" formatCode="[$$-1009]#,##0;\-[$$-1009]#,##0"/>
    </dxf>
    <dxf>
      <numFmt numFmtId="1" formatCode="0"/>
    </dxf>
    <dxf>
      <numFmt numFmtId="0" formatCode="General"/>
    </dxf>
    <dxf>
      <numFmt numFmtId="0" formatCode="General"/>
    </dxf>
    <dxf>
      <numFmt numFmtId="0" formatCode="General"/>
    </dxf>
    <dxf>
      <numFmt numFmtId="169" formatCode="[&gt;=1000000]&quot;$&quot;0.0,,&quot;M&quot;;[&gt;=1000]&quot;$&quot;0.0,&quot;K&quot;;0.0"/>
    </dxf>
    <dxf>
      <numFmt numFmtId="170" formatCode="0.0%"/>
    </dxf>
    <dxf>
      <numFmt numFmtId="13" formatCode="0%"/>
    </dxf>
    <dxf>
      <numFmt numFmtId="13" formatCode="0%"/>
    </dxf>
    <dxf>
      <numFmt numFmtId="169" formatCode="[&gt;=1000000]&quot;$&quot;0.0,,&quot;M&quot;;[&gt;=1000]&quot;$&quot;0.0,&quot;K&quot;;0.0"/>
    </dxf>
    <dxf>
      <numFmt numFmtId="0" formatCode="General"/>
    </dxf>
    <dxf>
      <numFmt numFmtId="0" formatCode="General"/>
    </dxf>
    <dxf>
      <numFmt numFmtId="1" formatCode="0"/>
    </dxf>
    <dxf>
      <numFmt numFmtId="1" formatCode="0"/>
    </dxf>
    <dxf>
      <numFmt numFmtId="2" formatCode="0.00"/>
    </dxf>
    <dxf>
      <numFmt numFmtId="13" formatCode="0%"/>
    </dxf>
    <dxf>
      <numFmt numFmtId="13" formatCode="0%"/>
    </dxf>
    <dxf>
      <numFmt numFmtId="168" formatCode="[$$-1009]#,##0;\-[$$-1009]#,##0"/>
    </dxf>
    <dxf>
      <numFmt numFmtId="0" formatCode="General"/>
    </dxf>
    <dxf>
      <numFmt numFmtId="170" formatCode="0.0%"/>
    </dxf>
    <dxf>
      <numFmt numFmtId="13" formatCode="0%"/>
    </dxf>
    <dxf>
      <numFmt numFmtId="13" formatCode="0%"/>
    </dxf>
    <dxf>
      <numFmt numFmtId="1" formatCode="0"/>
    </dxf>
    <dxf>
      <numFmt numFmtId="1" formatCode="0"/>
    </dxf>
    <dxf>
      <numFmt numFmtId="169" formatCode="[&gt;=1000000]&quot;$&quot;0.0,,&quot;M&quot;;[&gt;=1000]&quot;$&quot;0.0,&quot;K&quot;;0.0"/>
    </dxf>
    <dxf>
      <numFmt numFmtId="168" formatCode="[$$-1009]#,##0;\-[$$-1009]#,##0"/>
    </dxf>
    <dxf>
      <numFmt numFmtId="168" formatCode="[$$-1009]#,##0;\-[$$-1009]#,##0"/>
    </dxf>
    <dxf>
      <numFmt numFmtId="1" formatCode="0"/>
    </dxf>
    <dxf>
      <numFmt numFmtId="168" formatCode="[$$-1009]#,##0;\-[$$-1009]#,##0"/>
    </dxf>
    <dxf>
      <numFmt numFmtId="164" formatCode="_-* #,##0_-;\-* #,##0_-;_-* &quot;-&quot;??_-;_-@_-"/>
    </dxf>
    <dxf>
      <numFmt numFmtId="168" formatCode="[$$-1009]#,##0;\-[$$-1009]#,##0"/>
    </dxf>
    <dxf>
      <numFmt numFmtId="1" formatCode="0"/>
    </dxf>
    <dxf>
      <numFmt numFmtId="168" formatCode="[$$-1009]#,##0;\-[$$-1009]#,##0"/>
    </dxf>
    <dxf>
      <numFmt numFmtId="167" formatCode="[&gt;=1000000]&quot;$&quot;0,,&quot;M&quot;;[&gt;=1000]&quot;$&quot;0,&quot;K&quot;;0"/>
    </dxf>
    <dxf>
      <numFmt numFmtId="0" formatCode="General"/>
    </dxf>
    <dxf>
      <numFmt numFmtId="13" formatCode="0%"/>
    </dxf>
    <dxf>
      <numFmt numFmtId="169" formatCode="[&gt;=1000000]&quot;$&quot;0.0,,&quot;M&quot;;[&gt;=1000]&quot;$&quot;0.0,&quot;K&quot;;0.0"/>
    </dxf>
    <dxf>
      <numFmt numFmtId="1" formatCode="0"/>
    </dxf>
    <dxf>
      <numFmt numFmtId="168" formatCode="[$$-1009]#,##0;\-[$$-1009]#,##0"/>
    </dxf>
    <dxf>
      <numFmt numFmtId="168" formatCode="[$$-1009]#,##0;\-[$$-1009]#,##0"/>
    </dxf>
    <dxf>
      <numFmt numFmtId="170" formatCode="0.0%"/>
    </dxf>
    <dxf>
      <numFmt numFmtId="170" formatCode="0.0%"/>
    </dxf>
    <dxf>
      <numFmt numFmtId="14" formatCode="0.00%"/>
    </dxf>
    <dxf>
      <numFmt numFmtId="1" formatCode="0"/>
    </dxf>
    <dxf>
      <numFmt numFmtId="13" formatCode="0%"/>
    </dxf>
    <dxf>
      <numFmt numFmtId="169" formatCode="[&gt;=1000000]&quot;$&quot;0.0,,&quot;M&quot;;[&gt;=1000]&quot;$&quot;0.0,&quot;K&quot;;0.0"/>
    </dxf>
    <dxf>
      <numFmt numFmtId="164" formatCode="_-* #,##0_-;\-* #,##0_-;_-* &quot;-&quot;??_-;_-@_-"/>
    </dxf>
    <dxf>
      <numFmt numFmtId="168" formatCode="[$$-1009]#,##0;\-[$$-1009]#,##0"/>
    </dxf>
    <dxf>
      <numFmt numFmtId="1" formatCode="0"/>
    </dxf>
    <dxf>
      <numFmt numFmtId="1" formatCode="0"/>
    </dxf>
    <dxf>
      <numFmt numFmtId="1" formatCode="0"/>
    </dxf>
    <dxf>
      <numFmt numFmtId="13" formatCode="0%"/>
    </dxf>
    <dxf>
      <numFmt numFmtId="14" formatCode="0.00%"/>
    </dxf>
    <dxf>
      <numFmt numFmtId="1" formatCode="0"/>
    </dxf>
    <dxf>
      <numFmt numFmtId="0" formatCode="General"/>
    </dxf>
    <dxf>
      <numFmt numFmtId="166" formatCode="[$$-1009]#,##0"/>
    </dxf>
    <dxf>
      <numFmt numFmtId="1" formatCode="0"/>
    </dxf>
    <dxf>
      <numFmt numFmtId="1" formatCode="0"/>
    </dxf>
    <dxf>
      <numFmt numFmtId="166" formatCode="[$$-1009]#,##0"/>
    </dxf>
    <dxf>
      <numFmt numFmtId="166" formatCode="[$$-1009]#,##0"/>
    </dxf>
    <dxf>
      <numFmt numFmtId="166" formatCode="[$$-1009]#,##0"/>
    </dxf>
    <dxf>
      <numFmt numFmtId="1" formatCode="0"/>
    </dxf>
    <dxf>
      <numFmt numFmtId="1" formatCode="0"/>
    </dxf>
    <dxf>
      <numFmt numFmtId="1" formatCode="0"/>
    </dxf>
    <dxf>
      <numFmt numFmtId="166" formatCode="[$$-1009]#,##0"/>
    </dxf>
    <dxf>
      <numFmt numFmtId="166" formatCode="[$$-1009]#,##0"/>
    </dxf>
    <dxf>
      <numFmt numFmtId="166" formatCode="[$$-1009]#,##0"/>
    </dxf>
    <dxf>
      <numFmt numFmtId="166" formatCode="[$$-1009]#,##0"/>
    </dxf>
    <dxf>
      <numFmt numFmtId="13" formatCode="0%"/>
    </dxf>
    <dxf>
      <numFmt numFmtId="14" formatCode="0.00%"/>
    </dxf>
    <dxf>
      <numFmt numFmtId="1" formatCode="0"/>
    </dxf>
    <dxf>
      <numFmt numFmtId="166" formatCode="[$$-1009]#,##0"/>
    </dxf>
    <dxf>
      <numFmt numFmtId="166" formatCode="[$$-1009]#,##0"/>
    </dxf>
    <dxf>
      <numFmt numFmtId="1" formatCode="0"/>
    </dxf>
    <dxf>
      <numFmt numFmtId="1" formatCode="0"/>
    </dxf>
    <dxf>
      <numFmt numFmtId="165" formatCode="_-[$$-409]* #,##0_ ;_-[$$-409]* \-#,##0\ ;_-[$$-409]* &quot;-&quot;_ ;_-@_ "/>
    </dxf>
    <dxf>
      <numFmt numFmtId="1" formatCode="0"/>
    </dxf>
    <dxf>
      <numFmt numFmtId="1" formatCode="0"/>
    </dxf>
    <dxf>
      <numFmt numFmtId="1" formatCode="0"/>
    </dxf>
    <dxf>
      <numFmt numFmtId="165" formatCode="_-[$$-409]* #,##0_ ;_-[$$-409]* \-#,##0\ ;_-[$$-409]* &quot;-&quot;_ ;_-@_ "/>
    </dxf>
    <dxf>
      <numFmt numFmtId="165" formatCode="_-[$$-409]* #,##0_ ;_-[$$-409]* \-#,##0\ ;_-[$$-409]* &quot;-&quot;_ ;_-@_ "/>
    </dxf>
    <dxf>
      <numFmt numFmtId="1" formatCode="0"/>
    </dxf>
    <dxf>
      <numFmt numFmtId="1" formatCode="0"/>
    </dxf>
    <dxf>
      <numFmt numFmtId="1" formatCode="0"/>
    </dxf>
    <dxf>
      <fill>
        <patternFill>
          <bgColor rgb="FF262626"/>
        </patternFill>
      </fill>
    </dxf>
    <dxf>
      <fill>
        <patternFill>
          <bgColor rgb="FF262626"/>
        </patternFill>
      </fill>
    </dxf>
    <dxf>
      <fill>
        <patternFill>
          <bgColor rgb="FF1A1921"/>
        </patternFill>
      </fill>
    </dxf>
  </dxfs>
  <tableStyles count="3" defaultTableStyle="TableStyleMedium2" defaultPivotStyle="PivotStyleLight16">
    <tableStyle name="Slicer Style 1" pivot="0" table="0" count="5" xr9:uid="{B4A847A7-346C-451F-A0AE-906A1166AD2A}">
      <tableStyleElement type="wholeTable" dxfId="100"/>
    </tableStyle>
    <tableStyle name="Slicer Style 1 2" pivot="0" table="0" count="5" xr9:uid="{0F137F35-4A3C-49AA-A7F8-B0A65BF09428}">
      <tableStyleElement type="wholeTable" dxfId="99"/>
    </tableStyle>
    <tableStyle name="Slicer Style 1 2 2" pivot="0" table="0" count="5" xr9:uid="{2BACA112-3AE7-4CEF-B4AA-F76B80E40F70}">
      <tableStyleElement type="wholeTable" dxfId="98"/>
    </tableStyle>
  </tableStyles>
  <colors>
    <mruColors>
      <color rgb="FFAEAEAE"/>
      <color rgb="FFFF4F4F"/>
      <color rgb="FF540000"/>
      <color rgb="FFE97132"/>
      <color rgb="FFED8855"/>
      <color rgb="FF400C15"/>
      <color rgb="FF781626"/>
      <color rgb="FF7F7F7F"/>
      <color rgb="FF323232"/>
      <color rgb="FF1A1921"/>
    </mruColors>
  </colors>
  <extLst>
    <ext xmlns:x14="http://schemas.microsoft.com/office/spreadsheetml/2009/9/main" uri="{46F421CA-312F-682f-3DD2-61675219B42D}">
      <x14:dxfs count="12">
        <dxf>
          <font>
            <b/>
            <i/>
            <sz val="11"/>
          </font>
        </dxf>
        <dxf>
          <font>
            <b val="0"/>
            <i val="0"/>
            <color rgb="FFAEAEAE"/>
          </font>
          <fill>
            <patternFill>
              <bgColor rgb="FF323232"/>
            </patternFill>
          </fill>
        </dxf>
        <dxf>
          <font>
            <b val="0"/>
            <i/>
            <color theme="0" tint="-4.9989318521683403E-2"/>
          </font>
        </dxf>
        <dxf>
          <font>
            <b/>
            <i val="0"/>
            <color theme="0" tint="-0.14996795556505021"/>
          </font>
        </dxf>
        <dxf>
          <font>
            <b/>
            <i/>
            <sz val="11"/>
          </font>
        </dxf>
        <dxf>
          <font>
            <b val="0"/>
            <i val="0"/>
            <color rgb="FFAEAEAE"/>
          </font>
          <fill>
            <patternFill>
              <bgColor rgb="FF262626"/>
            </patternFill>
          </fill>
        </dxf>
        <dxf>
          <font>
            <b val="0"/>
            <i/>
            <color theme="0" tint="-4.9989318521683403E-2"/>
          </font>
        </dxf>
        <dxf>
          <font>
            <b/>
            <i val="0"/>
            <color theme="0" tint="-0.14996795556505021"/>
          </font>
        </dxf>
        <dxf>
          <font>
            <b/>
            <i/>
            <sz val="11"/>
          </font>
        </dxf>
        <dxf>
          <font>
            <b val="0"/>
            <i val="0"/>
            <color rgb="FFAEAEAE"/>
          </font>
          <fill>
            <patternFill patternType="solid">
              <bgColor rgb="FF1A1921"/>
            </patternFill>
          </fill>
        </dxf>
        <dxf>
          <font>
            <b val="0"/>
            <i/>
            <color theme="0" tint="-4.9989318521683403E-2"/>
          </font>
        </dxf>
        <dxf>
          <font>
            <b/>
            <i val="0"/>
            <color theme="0" tint="-0.1499679555650502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 Style 1 2">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1 2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21.xml"/><Relationship Id="rId21" Type="http://schemas.openxmlformats.org/officeDocument/2006/relationships/pivotCacheDefinition" Target="pivotCache/pivotCacheDefinition12.xml"/><Relationship Id="rId42" Type="http://schemas.openxmlformats.org/officeDocument/2006/relationships/pivotCacheDefinition" Target="pivotCache/pivotCacheDefinition33.xml"/><Relationship Id="rId63" Type="http://schemas.openxmlformats.org/officeDocument/2006/relationships/pivotCacheDefinition" Target="pivotCache/pivotCacheDefinition54.xml"/><Relationship Id="rId84" Type="http://schemas.microsoft.com/office/2007/relationships/slicerCache" Target="slicerCaches/slicerCache6.xml"/><Relationship Id="rId138" Type="http://schemas.openxmlformats.org/officeDocument/2006/relationships/customXml" Target="../customXml/item42.xml"/><Relationship Id="rId159" Type="http://schemas.openxmlformats.org/officeDocument/2006/relationships/customXml" Target="../customXml/item63.xml"/><Relationship Id="rId170" Type="http://schemas.openxmlformats.org/officeDocument/2006/relationships/customXml" Target="../customXml/item74.xml"/><Relationship Id="rId107" Type="http://schemas.openxmlformats.org/officeDocument/2006/relationships/customXml" Target="../customXml/item11.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53" Type="http://schemas.openxmlformats.org/officeDocument/2006/relationships/pivotCacheDefinition" Target="pivotCache/pivotCacheDefinition44.xml"/><Relationship Id="rId74" Type="http://schemas.openxmlformats.org/officeDocument/2006/relationships/pivotCacheDefinition" Target="pivotCache/pivotCacheDefinition65.xml"/><Relationship Id="rId128" Type="http://schemas.openxmlformats.org/officeDocument/2006/relationships/customXml" Target="../customXml/item32.xml"/><Relationship Id="rId149" Type="http://schemas.openxmlformats.org/officeDocument/2006/relationships/customXml" Target="../customXml/item53.xml"/><Relationship Id="rId5" Type="http://schemas.openxmlformats.org/officeDocument/2006/relationships/worksheet" Target="worksheets/sheet5.xml"/><Relationship Id="rId95" Type="http://schemas.openxmlformats.org/officeDocument/2006/relationships/powerPivotData" Target="model/item.data"/><Relationship Id="rId160" Type="http://schemas.openxmlformats.org/officeDocument/2006/relationships/customXml" Target="../customXml/item64.xml"/><Relationship Id="rId181" Type="http://schemas.openxmlformats.org/officeDocument/2006/relationships/customXml" Target="../customXml/item85.xml"/><Relationship Id="rId22" Type="http://schemas.openxmlformats.org/officeDocument/2006/relationships/pivotCacheDefinition" Target="pivotCache/pivotCacheDefinition13.xml"/><Relationship Id="rId43" Type="http://schemas.openxmlformats.org/officeDocument/2006/relationships/pivotCacheDefinition" Target="pivotCache/pivotCacheDefinition34.xml"/><Relationship Id="rId64" Type="http://schemas.openxmlformats.org/officeDocument/2006/relationships/pivotCacheDefinition" Target="pivotCache/pivotCacheDefinition55.xml"/><Relationship Id="rId118" Type="http://schemas.openxmlformats.org/officeDocument/2006/relationships/customXml" Target="../customXml/item22.xml"/><Relationship Id="rId139" Type="http://schemas.openxmlformats.org/officeDocument/2006/relationships/customXml" Target="../customXml/item43.xml"/><Relationship Id="rId85" Type="http://schemas.microsoft.com/office/2007/relationships/slicerCache" Target="slicerCaches/slicerCache7.xml"/><Relationship Id="rId150" Type="http://schemas.openxmlformats.org/officeDocument/2006/relationships/customXml" Target="../customXml/item54.xml"/><Relationship Id="rId171" Type="http://schemas.openxmlformats.org/officeDocument/2006/relationships/customXml" Target="../customXml/item75.xml"/><Relationship Id="rId12" Type="http://schemas.openxmlformats.org/officeDocument/2006/relationships/pivotCacheDefinition" Target="pivotCache/pivotCacheDefinition3.xml"/><Relationship Id="rId33" Type="http://schemas.openxmlformats.org/officeDocument/2006/relationships/pivotCacheDefinition" Target="pivotCache/pivotCacheDefinition24.xml"/><Relationship Id="rId108" Type="http://schemas.openxmlformats.org/officeDocument/2006/relationships/customXml" Target="../customXml/item12.xml"/><Relationship Id="rId129" Type="http://schemas.openxmlformats.org/officeDocument/2006/relationships/customXml" Target="../customXml/item33.xml"/><Relationship Id="rId54" Type="http://schemas.openxmlformats.org/officeDocument/2006/relationships/pivotCacheDefinition" Target="pivotCache/pivotCacheDefinition45.xml"/><Relationship Id="rId75" Type="http://schemas.openxmlformats.org/officeDocument/2006/relationships/pivotCacheDefinition" Target="pivotCache/pivotCacheDefinition66.xml"/><Relationship Id="rId96" Type="http://schemas.openxmlformats.org/officeDocument/2006/relationships/calcChain" Target="calcChain.xml"/><Relationship Id="rId140" Type="http://schemas.openxmlformats.org/officeDocument/2006/relationships/customXml" Target="../customXml/item44.xml"/><Relationship Id="rId161" Type="http://schemas.openxmlformats.org/officeDocument/2006/relationships/customXml" Target="../customXml/item65.xml"/><Relationship Id="rId182" Type="http://schemas.openxmlformats.org/officeDocument/2006/relationships/customXml" Target="../customXml/item86.xml"/><Relationship Id="rId6" Type="http://schemas.openxmlformats.org/officeDocument/2006/relationships/worksheet" Target="worksheets/sheet6.xml"/><Relationship Id="rId23" Type="http://schemas.openxmlformats.org/officeDocument/2006/relationships/pivotCacheDefinition" Target="pivotCache/pivotCacheDefinition14.xml"/><Relationship Id="rId119" Type="http://schemas.openxmlformats.org/officeDocument/2006/relationships/customXml" Target="../customXml/item23.xml"/><Relationship Id="rId44" Type="http://schemas.openxmlformats.org/officeDocument/2006/relationships/pivotCacheDefinition" Target="pivotCache/pivotCacheDefinition35.xml"/><Relationship Id="rId60" Type="http://schemas.openxmlformats.org/officeDocument/2006/relationships/pivotCacheDefinition" Target="pivotCache/pivotCacheDefinition51.xml"/><Relationship Id="rId65" Type="http://schemas.openxmlformats.org/officeDocument/2006/relationships/pivotCacheDefinition" Target="pivotCache/pivotCacheDefinition56.xml"/><Relationship Id="rId81" Type="http://schemas.microsoft.com/office/2007/relationships/slicerCache" Target="slicerCaches/slicerCache3.xml"/><Relationship Id="rId86" Type="http://schemas.microsoft.com/office/2007/relationships/slicerCache" Target="slicerCaches/slicerCache8.xml"/><Relationship Id="rId130" Type="http://schemas.openxmlformats.org/officeDocument/2006/relationships/customXml" Target="../customXml/item34.xml"/><Relationship Id="rId135" Type="http://schemas.openxmlformats.org/officeDocument/2006/relationships/customXml" Target="../customXml/item39.xml"/><Relationship Id="rId151" Type="http://schemas.openxmlformats.org/officeDocument/2006/relationships/customXml" Target="../customXml/item55.xml"/><Relationship Id="rId156" Type="http://schemas.openxmlformats.org/officeDocument/2006/relationships/customXml" Target="../customXml/item60.xml"/><Relationship Id="rId177" Type="http://schemas.openxmlformats.org/officeDocument/2006/relationships/customXml" Target="../customXml/item81.xml"/><Relationship Id="rId172" Type="http://schemas.openxmlformats.org/officeDocument/2006/relationships/customXml" Target="../customXml/item76.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109" Type="http://schemas.openxmlformats.org/officeDocument/2006/relationships/customXml" Target="../customXml/item13.xml"/><Relationship Id="rId34" Type="http://schemas.openxmlformats.org/officeDocument/2006/relationships/pivotCacheDefinition" Target="pivotCache/pivotCacheDefinition25.xml"/><Relationship Id="rId50" Type="http://schemas.openxmlformats.org/officeDocument/2006/relationships/pivotCacheDefinition" Target="pivotCache/pivotCacheDefinition41.xml"/><Relationship Id="rId55" Type="http://schemas.openxmlformats.org/officeDocument/2006/relationships/pivotCacheDefinition" Target="pivotCache/pivotCacheDefinition46.xml"/><Relationship Id="rId76" Type="http://schemas.openxmlformats.org/officeDocument/2006/relationships/pivotCacheDefinition" Target="pivotCache/pivotCacheDefinition67.xml"/><Relationship Id="rId97" Type="http://schemas.openxmlformats.org/officeDocument/2006/relationships/customXml" Target="../customXml/item1.xml"/><Relationship Id="rId104" Type="http://schemas.openxmlformats.org/officeDocument/2006/relationships/customXml" Target="../customXml/item8.xml"/><Relationship Id="rId120" Type="http://schemas.openxmlformats.org/officeDocument/2006/relationships/customXml" Target="../customXml/item24.xml"/><Relationship Id="rId125" Type="http://schemas.openxmlformats.org/officeDocument/2006/relationships/customXml" Target="../customXml/item29.xml"/><Relationship Id="rId141" Type="http://schemas.openxmlformats.org/officeDocument/2006/relationships/customXml" Target="../customXml/item45.xml"/><Relationship Id="rId146" Type="http://schemas.openxmlformats.org/officeDocument/2006/relationships/customXml" Target="../customXml/item50.xml"/><Relationship Id="rId167" Type="http://schemas.openxmlformats.org/officeDocument/2006/relationships/customXml" Target="../customXml/item71.xml"/><Relationship Id="rId7" Type="http://schemas.openxmlformats.org/officeDocument/2006/relationships/worksheet" Target="worksheets/sheet7.xml"/><Relationship Id="rId71" Type="http://schemas.openxmlformats.org/officeDocument/2006/relationships/pivotCacheDefinition" Target="pivotCache/pivotCacheDefinition62.xml"/><Relationship Id="rId92" Type="http://schemas.openxmlformats.org/officeDocument/2006/relationships/styles" Target="styles.xml"/><Relationship Id="rId162" Type="http://schemas.openxmlformats.org/officeDocument/2006/relationships/customXml" Target="../customXml/item66.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CacheDefinition" Target="pivotCache/pivotCacheDefinition31.xml"/><Relationship Id="rId45" Type="http://schemas.openxmlformats.org/officeDocument/2006/relationships/pivotCacheDefinition" Target="pivotCache/pivotCacheDefinition36.xml"/><Relationship Id="rId66" Type="http://schemas.openxmlformats.org/officeDocument/2006/relationships/pivotCacheDefinition" Target="pivotCache/pivotCacheDefinition57.xml"/><Relationship Id="rId87" Type="http://schemas.microsoft.com/office/2007/relationships/slicerCache" Target="slicerCaches/slicerCache9.xml"/><Relationship Id="rId110" Type="http://schemas.openxmlformats.org/officeDocument/2006/relationships/customXml" Target="../customXml/item14.xml"/><Relationship Id="rId115" Type="http://schemas.openxmlformats.org/officeDocument/2006/relationships/customXml" Target="../customXml/item19.xml"/><Relationship Id="rId131" Type="http://schemas.openxmlformats.org/officeDocument/2006/relationships/customXml" Target="../customXml/item35.xml"/><Relationship Id="rId136" Type="http://schemas.openxmlformats.org/officeDocument/2006/relationships/customXml" Target="../customXml/item40.xml"/><Relationship Id="rId157" Type="http://schemas.openxmlformats.org/officeDocument/2006/relationships/customXml" Target="../customXml/item61.xml"/><Relationship Id="rId178" Type="http://schemas.openxmlformats.org/officeDocument/2006/relationships/customXml" Target="../customXml/item82.xml"/><Relationship Id="rId61" Type="http://schemas.openxmlformats.org/officeDocument/2006/relationships/pivotCacheDefinition" Target="pivotCache/pivotCacheDefinition52.xml"/><Relationship Id="rId82" Type="http://schemas.microsoft.com/office/2007/relationships/slicerCache" Target="slicerCaches/slicerCache4.xml"/><Relationship Id="rId152" Type="http://schemas.openxmlformats.org/officeDocument/2006/relationships/customXml" Target="../customXml/item56.xml"/><Relationship Id="rId173" Type="http://schemas.openxmlformats.org/officeDocument/2006/relationships/customXml" Target="../customXml/item77.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56" Type="http://schemas.openxmlformats.org/officeDocument/2006/relationships/pivotCacheDefinition" Target="pivotCache/pivotCacheDefinition47.xml"/><Relationship Id="rId77" Type="http://schemas.openxmlformats.org/officeDocument/2006/relationships/pivotCacheDefinition" Target="pivotCache/pivotCacheDefinition68.xml"/><Relationship Id="rId100" Type="http://schemas.openxmlformats.org/officeDocument/2006/relationships/customXml" Target="../customXml/item4.xml"/><Relationship Id="rId105" Type="http://schemas.openxmlformats.org/officeDocument/2006/relationships/customXml" Target="../customXml/item9.xml"/><Relationship Id="rId126" Type="http://schemas.openxmlformats.org/officeDocument/2006/relationships/customXml" Target="../customXml/item30.xml"/><Relationship Id="rId147" Type="http://schemas.openxmlformats.org/officeDocument/2006/relationships/customXml" Target="../customXml/item51.xml"/><Relationship Id="rId168" Type="http://schemas.openxmlformats.org/officeDocument/2006/relationships/customXml" Target="../customXml/item72.xml"/><Relationship Id="rId8" Type="http://schemas.openxmlformats.org/officeDocument/2006/relationships/worksheet" Target="worksheets/sheet8.xml"/><Relationship Id="rId51" Type="http://schemas.openxmlformats.org/officeDocument/2006/relationships/pivotCacheDefinition" Target="pivotCache/pivotCacheDefinition42.xml"/><Relationship Id="rId72" Type="http://schemas.openxmlformats.org/officeDocument/2006/relationships/pivotCacheDefinition" Target="pivotCache/pivotCacheDefinition63.xml"/><Relationship Id="rId93" Type="http://schemas.openxmlformats.org/officeDocument/2006/relationships/sharedStrings" Target="sharedStrings.xml"/><Relationship Id="rId98" Type="http://schemas.openxmlformats.org/officeDocument/2006/relationships/customXml" Target="../customXml/item2.xml"/><Relationship Id="rId121" Type="http://schemas.openxmlformats.org/officeDocument/2006/relationships/customXml" Target="../customXml/item25.xml"/><Relationship Id="rId142" Type="http://schemas.openxmlformats.org/officeDocument/2006/relationships/customXml" Target="../customXml/item46.xml"/><Relationship Id="rId163" Type="http://schemas.openxmlformats.org/officeDocument/2006/relationships/customXml" Target="../customXml/item67.xml"/><Relationship Id="rId3" Type="http://schemas.openxmlformats.org/officeDocument/2006/relationships/worksheet" Target="worksheets/sheet3.xml"/><Relationship Id="rId25" Type="http://schemas.openxmlformats.org/officeDocument/2006/relationships/pivotCacheDefinition" Target="pivotCache/pivotCacheDefinition16.xml"/><Relationship Id="rId46" Type="http://schemas.openxmlformats.org/officeDocument/2006/relationships/pivotCacheDefinition" Target="pivotCache/pivotCacheDefinition37.xml"/><Relationship Id="rId67" Type="http://schemas.openxmlformats.org/officeDocument/2006/relationships/pivotCacheDefinition" Target="pivotCache/pivotCacheDefinition58.xml"/><Relationship Id="rId116" Type="http://schemas.openxmlformats.org/officeDocument/2006/relationships/customXml" Target="../customXml/item20.xml"/><Relationship Id="rId137" Type="http://schemas.openxmlformats.org/officeDocument/2006/relationships/customXml" Target="../customXml/item41.xml"/><Relationship Id="rId158" Type="http://schemas.openxmlformats.org/officeDocument/2006/relationships/customXml" Target="../customXml/item62.xml"/><Relationship Id="rId20" Type="http://schemas.openxmlformats.org/officeDocument/2006/relationships/pivotCacheDefinition" Target="pivotCache/pivotCacheDefinition11.xml"/><Relationship Id="rId41" Type="http://schemas.openxmlformats.org/officeDocument/2006/relationships/pivotCacheDefinition" Target="pivotCache/pivotCacheDefinition32.xml"/><Relationship Id="rId62" Type="http://schemas.openxmlformats.org/officeDocument/2006/relationships/pivotCacheDefinition" Target="pivotCache/pivotCacheDefinition53.xml"/><Relationship Id="rId83" Type="http://schemas.microsoft.com/office/2007/relationships/slicerCache" Target="slicerCaches/slicerCache5.xml"/><Relationship Id="rId88" Type="http://schemas.microsoft.com/office/2007/relationships/slicerCache" Target="slicerCaches/slicerCache10.xml"/><Relationship Id="rId111" Type="http://schemas.openxmlformats.org/officeDocument/2006/relationships/customXml" Target="../customXml/item15.xml"/><Relationship Id="rId132" Type="http://schemas.openxmlformats.org/officeDocument/2006/relationships/customXml" Target="../customXml/item36.xml"/><Relationship Id="rId153" Type="http://schemas.openxmlformats.org/officeDocument/2006/relationships/customXml" Target="../customXml/item57.xml"/><Relationship Id="rId174" Type="http://schemas.openxmlformats.org/officeDocument/2006/relationships/customXml" Target="../customXml/item78.xml"/><Relationship Id="rId179" Type="http://schemas.openxmlformats.org/officeDocument/2006/relationships/customXml" Target="../customXml/item83.xml"/><Relationship Id="rId15" Type="http://schemas.openxmlformats.org/officeDocument/2006/relationships/pivotCacheDefinition" Target="pivotCache/pivotCacheDefinition6.xml"/><Relationship Id="rId36" Type="http://schemas.openxmlformats.org/officeDocument/2006/relationships/pivotCacheDefinition" Target="pivotCache/pivotCacheDefinition27.xml"/><Relationship Id="rId57" Type="http://schemas.openxmlformats.org/officeDocument/2006/relationships/pivotCacheDefinition" Target="pivotCache/pivotCacheDefinition48.xml"/><Relationship Id="rId106" Type="http://schemas.openxmlformats.org/officeDocument/2006/relationships/customXml" Target="../customXml/item10.xml"/><Relationship Id="rId127" Type="http://schemas.openxmlformats.org/officeDocument/2006/relationships/customXml" Target="../customXml/item31.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52" Type="http://schemas.openxmlformats.org/officeDocument/2006/relationships/pivotCacheDefinition" Target="pivotCache/pivotCacheDefinition43.xml"/><Relationship Id="rId73" Type="http://schemas.openxmlformats.org/officeDocument/2006/relationships/pivotCacheDefinition" Target="pivotCache/pivotCacheDefinition64.xml"/><Relationship Id="rId78" Type="http://schemas.openxmlformats.org/officeDocument/2006/relationships/pivotCacheDefinition" Target="pivotCache/pivotCacheDefinition69.xml"/><Relationship Id="rId94" Type="http://schemas.openxmlformats.org/officeDocument/2006/relationships/sheetMetadata" Target="metadata.xml"/><Relationship Id="rId99" Type="http://schemas.openxmlformats.org/officeDocument/2006/relationships/customXml" Target="../customXml/item3.xml"/><Relationship Id="rId101" Type="http://schemas.openxmlformats.org/officeDocument/2006/relationships/customXml" Target="../customXml/item5.xml"/><Relationship Id="rId122" Type="http://schemas.openxmlformats.org/officeDocument/2006/relationships/customXml" Target="../customXml/item26.xml"/><Relationship Id="rId143" Type="http://schemas.openxmlformats.org/officeDocument/2006/relationships/customXml" Target="../customXml/item47.xml"/><Relationship Id="rId148" Type="http://schemas.openxmlformats.org/officeDocument/2006/relationships/customXml" Target="../customXml/item52.xml"/><Relationship Id="rId164" Type="http://schemas.openxmlformats.org/officeDocument/2006/relationships/customXml" Target="../customXml/item68.xml"/><Relationship Id="rId169" Type="http://schemas.openxmlformats.org/officeDocument/2006/relationships/customXml" Target="../customXml/item73.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84.xml"/><Relationship Id="rId26" Type="http://schemas.openxmlformats.org/officeDocument/2006/relationships/pivotCacheDefinition" Target="pivotCache/pivotCacheDefinition17.xml"/><Relationship Id="rId47" Type="http://schemas.openxmlformats.org/officeDocument/2006/relationships/pivotCacheDefinition" Target="pivotCache/pivotCacheDefinition38.xml"/><Relationship Id="rId68" Type="http://schemas.openxmlformats.org/officeDocument/2006/relationships/pivotCacheDefinition" Target="pivotCache/pivotCacheDefinition59.xml"/><Relationship Id="rId89" Type="http://schemas.microsoft.com/office/2007/relationships/slicerCache" Target="slicerCaches/slicerCache11.xml"/><Relationship Id="rId112" Type="http://schemas.openxmlformats.org/officeDocument/2006/relationships/customXml" Target="../customXml/item16.xml"/><Relationship Id="rId133" Type="http://schemas.openxmlformats.org/officeDocument/2006/relationships/customXml" Target="../customXml/item37.xml"/><Relationship Id="rId154" Type="http://schemas.openxmlformats.org/officeDocument/2006/relationships/customXml" Target="../customXml/item58.xml"/><Relationship Id="rId175" Type="http://schemas.openxmlformats.org/officeDocument/2006/relationships/customXml" Target="../customXml/item79.xml"/><Relationship Id="rId16" Type="http://schemas.openxmlformats.org/officeDocument/2006/relationships/pivotCacheDefinition" Target="pivotCache/pivotCacheDefinition7.xml"/><Relationship Id="rId37" Type="http://schemas.openxmlformats.org/officeDocument/2006/relationships/pivotCacheDefinition" Target="pivotCache/pivotCacheDefinition28.xml"/><Relationship Id="rId58" Type="http://schemas.openxmlformats.org/officeDocument/2006/relationships/pivotCacheDefinition" Target="pivotCache/pivotCacheDefinition49.xml"/><Relationship Id="rId79" Type="http://schemas.microsoft.com/office/2007/relationships/slicerCache" Target="slicerCaches/slicerCache1.xml"/><Relationship Id="rId102" Type="http://schemas.openxmlformats.org/officeDocument/2006/relationships/customXml" Target="../customXml/item6.xml"/><Relationship Id="rId123" Type="http://schemas.openxmlformats.org/officeDocument/2006/relationships/customXml" Target="../customXml/item27.xml"/><Relationship Id="rId144" Type="http://schemas.openxmlformats.org/officeDocument/2006/relationships/customXml" Target="../customXml/item48.xml"/><Relationship Id="rId90" Type="http://schemas.openxmlformats.org/officeDocument/2006/relationships/theme" Target="theme/theme1.xml"/><Relationship Id="rId165" Type="http://schemas.openxmlformats.org/officeDocument/2006/relationships/customXml" Target="../customXml/item69.xml"/><Relationship Id="rId27" Type="http://schemas.openxmlformats.org/officeDocument/2006/relationships/pivotCacheDefinition" Target="pivotCache/pivotCacheDefinition18.xml"/><Relationship Id="rId48" Type="http://schemas.openxmlformats.org/officeDocument/2006/relationships/pivotCacheDefinition" Target="pivotCache/pivotCacheDefinition39.xml"/><Relationship Id="rId69" Type="http://schemas.openxmlformats.org/officeDocument/2006/relationships/pivotCacheDefinition" Target="pivotCache/pivotCacheDefinition60.xml"/><Relationship Id="rId113" Type="http://schemas.openxmlformats.org/officeDocument/2006/relationships/customXml" Target="../customXml/item17.xml"/><Relationship Id="rId134" Type="http://schemas.openxmlformats.org/officeDocument/2006/relationships/customXml" Target="../customXml/item38.xml"/><Relationship Id="rId80" Type="http://schemas.microsoft.com/office/2007/relationships/slicerCache" Target="slicerCaches/slicerCache2.xml"/><Relationship Id="rId155" Type="http://schemas.openxmlformats.org/officeDocument/2006/relationships/customXml" Target="../customXml/item59.xml"/><Relationship Id="rId176" Type="http://schemas.openxmlformats.org/officeDocument/2006/relationships/customXml" Target="../customXml/item80.xml"/><Relationship Id="rId17" Type="http://schemas.openxmlformats.org/officeDocument/2006/relationships/pivotCacheDefinition" Target="pivotCache/pivotCacheDefinition8.xml"/><Relationship Id="rId38" Type="http://schemas.openxmlformats.org/officeDocument/2006/relationships/pivotCacheDefinition" Target="pivotCache/pivotCacheDefinition29.xml"/><Relationship Id="rId59" Type="http://schemas.openxmlformats.org/officeDocument/2006/relationships/pivotCacheDefinition" Target="pivotCache/pivotCacheDefinition50.xml"/><Relationship Id="rId103" Type="http://schemas.openxmlformats.org/officeDocument/2006/relationships/customXml" Target="../customXml/item7.xml"/><Relationship Id="rId124" Type="http://schemas.openxmlformats.org/officeDocument/2006/relationships/customXml" Target="../customXml/item28.xml"/><Relationship Id="rId70" Type="http://schemas.openxmlformats.org/officeDocument/2006/relationships/pivotCacheDefinition" Target="pivotCache/pivotCacheDefinition61.xml"/><Relationship Id="rId91" Type="http://schemas.openxmlformats.org/officeDocument/2006/relationships/connections" Target="connections.xml"/><Relationship Id="rId145" Type="http://schemas.openxmlformats.org/officeDocument/2006/relationships/customXml" Target="../customXml/item49.xml"/><Relationship Id="rId166" Type="http://schemas.openxmlformats.org/officeDocument/2006/relationships/customXml" Target="../customXml/item70.xml"/><Relationship Id="rId1" Type="http://schemas.openxmlformats.org/officeDocument/2006/relationships/worksheet" Target="worksheets/sheet1.xml"/><Relationship Id="rId28" Type="http://schemas.openxmlformats.org/officeDocument/2006/relationships/pivotCacheDefinition" Target="pivotCache/pivotCacheDefinition19.xml"/><Relationship Id="rId49" Type="http://schemas.openxmlformats.org/officeDocument/2006/relationships/pivotCacheDefinition" Target="pivotCache/pivotCacheDefinition40.xml"/><Relationship Id="rId114"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3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3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4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4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4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4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PROJECT.xlsx]Calculations 1!PivotTable7</c:name>
    <c:fmtId val="3"/>
  </c:pivotSource>
  <c:chart>
    <c:autoTitleDeleted val="1"/>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1'!$B$6</c:f>
              <c:strCache>
                <c:ptCount val="1"/>
                <c:pt idx="0">
                  <c:v>Total</c:v>
                </c:pt>
              </c:strCache>
            </c:strRef>
          </c:tx>
          <c:spPr>
            <a:ln w="28575" cap="rnd">
              <a:solidFill>
                <a:srgbClr val="FF0000"/>
              </a:solidFill>
              <a:round/>
            </a:ln>
            <a:effectLst/>
          </c:spPr>
          <c:marker>
            <c:symbol val="none"/>
          </c:marker>
          <c:cat>
            <c:strRef>
              <c:f>'Calculations 1'!$A$7:$A$18</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'Calculations 1'!$B$7:$B$18</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7106-49EC-A443-DD898F6D1B93}"/>
            </c:ext>
          </c:extLst>
        </c:ser>
        <c:dLbls>
          <c:showLegendKey val="0"/>
          <c:showVal val="0"/>
          <c:showCatName val="0"/>
          <c:showSerName val="0"/>
          <c:showPercent val="0"/>
          <c:showBubbleSize val="0"/>
        </c:dLbls>
        <c:smooth val="0"/>
        <c:axId val="1267383055"/>
        <c:axId val="1267369135"/>
      </c:lineChart>
      <c:catAx>
        <c:axId val="12673830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1267369135"/>
        <c:crosses val="autoZero"/>
        <c:auto val="1"/>
        <c:lblAlgn val="ctr"/>
        <c:lblOffset val="100"/>
        <c:noMultiLvlLbl val="0"/>
      </c:catAx>
      <c:valAx>
        <c:axId val="1267369135"/>
        <c:scaling>
          <c:orientation val="minMax"/>
        </c:scaling>
        <c:delete val="1"/>
        <c:axPos val="l"/>
        <c:numFmt formatCode="General" sourceLinked="1"/>
        <c:majorTickMark val="none"/>
        <c:minorTickMark val="none"/>
        <c:tickLblPos val="nextTo"/>
        <c:crossAx val="126738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PROJECT.xlsx]Calculations 1!PivotTable3</c:name>
    <c:fmtId val="3"/>
  </c:pivotSource>
  <c:chart>
    <c:autoTitleDeleted val="0"/>
    <c:pivotFmts>
      <c:pivotFmt>
        <c:idx val="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1'!$E$13:$E$14</c:f>
              <c:strCache>
                <c:ptCount val="1"/>
                <c:pt idx="0">
                  <c:v>High</c:v>
                </c:pt>
              </c:strCache>
            </c:strRef>
          </c:tx>
          <c:spPr>
            <a:solidFill>
              <a:schemeClr val="bg2">
                <a:lumMod val="75000"/>
              </a:schemeClr>
            </a:solidFill>
            <a:ln>
              <a:noFill/>
            </a:ln>
            <a:effectLst/>
          </c:spPr>
          <c:invertIfNegative val="0"/>
          <c:cat>
            <c:strRef>
              <c:f>'Calculations 1'!$D$15:$D$19</c:f>
              <c:strCache>
                <c:ptCount val="4"/>
                <c:pt idx="0">
                  <c:v>Boomers</c:v>
                </c:pt>
                <c:pt idx="1">
                  <c:v>GenX</c:v>
                </c:pt>
                <c:pt idx="2">
                  <c:v>GenZ</c:v>
                </c:pt>
                <c:pt idx="3">
                  <c:v>Milennials</c:v>
                </c:pt>
              </c:strCache>
            </c:strRef>
          </c:cat>
          <c:val>
            <c:numRef>
              <c:f>'Calculations 1'!$E$15:$E$19</c:f>
              <c:numCache>
                <c:formatCode>0</c:formatCode>
                <c:ptCount val="4"/>
                <c:pt idx="0">
                  <c:v>31</c:v>
                </c:pt>
                <c:pt idx="1">
                  <c:v>33</c:v>
                </c:pt>
                <c:pt idx="2">
                  <c:v>23</c:v>
                </c:pt>
                <c:pt idx="3">
                  <c:v>28</c:v>
                </c:pt>
              </c:numCache>
            </c:numRef>
          </c:val>
          <c:extLst>
            <c:ext xmlns:c16="http://schemas.microsoft.com/office/drawing/2014/chart" uri="{C3380CC4-5D6E-409C-BE32-E72D297353CC}">
              <c16:uniqueId val="{00000000-1C7D-4046-BF04-D6496E97E334}"/>
            </c:ext>
          </c:extLst>
        </c:ser>
        <c:ser>
          <c:idx val="1"/>
          <c:order val="1"/>
          <c:tx>
            <c:strRef>
              <c:f>'Calculations 1'!$F$13:$F$14</c:f>
              <c:strCache>
                <c:ptCount val="1"/>
                <c:pt idx="0">
                  <c:v>Low</c:v>
                </c:pt>
              </c:strCache>
            </c:strRef>
          </c:tx>
          <c:spPr>
            <a:solidFill>
              <a:schemeClr val="accent2"/>
            </a:solidFill>
            <a:ln>
              <a:noFill/>
            </a:ln>
            <a:effectLst/>
          </c:spPr>
          <c:invertIfNegative val="0"/>
          <c:cat>
            <c:strRef>
              <c:f>'Calculations 1'!$D$15:$D$19</c:f>
              <c:strCache>
                <c:ptCount val="4"/>
                <c:pt idx="0">
                  <c:v>Boomers</c:v>
                </c:pt>
                <c:pt idx="1">
                  <c:v>GenX</c:v>
                </c:pt>
                <c:pt idx="2">
                  <c:v>GenZ</c:v>
                </c:pt>
                <c:pt idx="3">
                  <c:v>Milennials</c:v>
                </c:pt>
              </c:strCache>
            </c:strRef>
          </c:cat>
          <c:val>
            <c:numRef>
              <c:f>'Calculations 1'!$F$15:$F$19</c:f>
              <c:numCache>
                <c:formatCode>0</c:formatCode>
                <c:ptCount val="4"/>
                <c:pt idx="0">
                  <c:v>5</c:v>
                </c:pt>
                <c:pt idx="1">
                  <c:v>7</c:v>
                </c:pt>
                <c:pt idx="2">
                  <c:v>3</c:v>
                </c:pt>
                <c:pt idx="3">
                  <c:v>11</c:v>
                </c:pt>
              </c:numCache>
            </c:numRef>
          </c:val>
          <c:extLst>
            <c:ext xmlns:c16="http://schemas.microsoft.com/office/drawing/2014/chart" uri="{C3380CC4-5D6E-409C-BE32-E72D297353CC}">
              <c16:uniqueId val="{0000000E-8F1B-4337-8232-C51C6152EFA7}"/>
            </c:ext>
          </c:extLst>
        </c:ser>
        <c:ser>
          <c:idx val="2"/>
          <c:order val="2"/>
          <c:tx>
            <c:strRef>
              <c:f>'Calculations 1'!$G$13:$G$14</c:f>
              <c:strCache>
                <c:ptCount val="1"/>
                <c:pt idx="0">
                  <c:v>Medium</c:v>
                </c:pt>
              </c:strCache>
            </c:strRef>
          </c:tx>
          <c:spPr>
            <a:solidFill>
              <a:schemeClr val="accent3"/>
            </a:solidFill>
            <a:ln>
              <a:noFill/>
            </a:ln>
            <a:effectLst/>
          </c:spPr>
          <c:invertIfNegative val="0"/>
          <c:cat>
            <c:strRef>
              <c:f>'Calculations 1'!$D$15:$D$19</c:f>
              <c:strCache>
                <c:ptCount val="4"/>
                <c:pt idx="0">
                  <c:v>Boomers</c:v>
                </c:pt>
                <c:pt idx="1">
                  <c:v>GenX</c:v>
                </c:pt>
                <c:pt idx="2">
                  <c:v>GenZ</c:v>
                </c:pt>
                <c:pt idx="3">
                  <c:v>Milennials</c:v>
                </c:pt>
              </c:strCache>
            </c:strRef>
          </c:cat>
          <c:val>
            <c:numRef>
              <c:f>'Calculations 1'!$G$15:$G$19</c:f>
              <c:numCache>
                <c:formatCode>0</c:formatCode>
                <c:ptCount val="4"/>
                <c:pt idx="0">
                  <c:v>13</c:v>
                </c:pt>
                <c:pt idx="1">
                  <c:v>20</c:v>
                </c:pt>
                <c:pt idx="2">
                  <c:v>15</c:v>
                </c:pt>
                <c:pt idx="3">
                  <c:v>22</c:v>
                </c:pt>
              </c:numCache>
            </c:numRef>
          </c:val>
          <c:extLst>
            <c:ext xmlns:c16="http://schemas.microsoft.com/office/drawing/2014/chart" uri="{C3380CC4-5D6E-409C-BE32-E72D297353CC}">
              <c16:uniqueId val="{00000001-F822-4150-9069-EE4CDC0AB20C}"/>
            </c:ext>
          </c:extLst>
        </c:ser>
        <c:ser>
          <c:idx val="3"/>
          <c:order val="3"/>
          <c:tx>
            <c:strRef>
              <c:f>'Calculations 1'!$H$13:$H$14</c:f>
              <c:strCache>
                <c:ptCount val="1"/>
                <c:pt idx="0">
                  <c:v>Premium</c:v>
                </c:pt>
              </c:strCache>
            </c:strRef>
          </c:tx>
          <c:spPr>
            <a:solidFill>
              <a:srgbClr val="FF0000">
                <a:alpha val="30000"/>
              </a:srgbClr>
            </a:solidFill>
            <a:ln>
              <a:noFill/>
            </a:ln>
            <a:effectLst/>
          </c:spPr>
          <c:invertIfNegative val="0"/>
          <c:cat>
            <c:strRef>
              <c:f>'Calculations 1'!$D$15:$D$19</c:f>
              <c:strCache>
                <c:ptCount val="4"/>
                <c:pt idx="0">
                  <c:v>Boomers</c:v>
                </c:pt>
                <c:pt idx="1">
                  <c:v>GenX</c:v>
                </c:pt>
                <c:pt idx="2">
                  <c:v>GenZ</c:v>
                </c:pt>
                <c:pt idx="3">
                  <c:v>Milennials</c:v>
                </c:pt>
              </c:strCache>
            </c:strRef>
          </c:cat>
          <c:val>
            <c:numRef>
              <c:f>'Calculations 1'!$H$15:$H$19</c:f>
              <c:numCache>
                <c:formatCode>0</c:formatCode>
                <c:ptCount val="4"/>
                <c:pt idx="0">
                  <c:v>77</c:v>
                </c:pt>
                <c:pt idx="1">
                  <c:v>81</c:v>
                </c:pt>
                <c:pt idx="2">
                  <c:v>45</c:v>
                </c:pt>
                <c:pt idx="3">
                  <c:v>86</c:v>
                </c:pt>
              </c:numCache>
            </c:numRef>
          </c:val>
          <c:extLst>
            <c:ext xmlns:c16="http://schemas.microsoft.com/office/drawing/2014/chart" uri="{C3380CC4-5D6E-409C-BE32-E72D297353CC}">
              <c16:uniqueId val="{00000001-7C0E-4E65-AB75-E634634966EC}"/>
            </c:ext>
          </c:extLst>
        </c:ser>
        <c:dLbls>
          <c:showLegendKey val="0"/>
          <c:showVal val="0"/>
          <c:showCatName val="0"/>
          <c:showSerName val="0"/>
          <c:showPercent val="0"/>
          <c:showBubbleSize val="0"/>
        </c:dLbls>
        <c:gapWidth val="488"/>
        <c:overlap val="3"/>
        <c:axId val="1267348975"/>
        <c:axId val="1267339855"/>
      </c:barChart>
      <c:catAx>
        <c:axId val="12673489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1267339855"/>
        <c:crosses val="autoZero"/>
        <c:auto val="1"/>
        <c:lblAlgn val="ctr"/>
        <c:lblOffset val="100"/>
        <c:noMultiLvlLbl val="0"/>
      </c:catAx>
      <c:valAx>
        <c:axId val="1267339855"/>
        <c:scaling>
          <c:orientation val="minMax"/>
        </c:scaling>
        <c:delete val="1"/>
        <c:axPos val="l"/>
        <c:numFmt formatCode="0" sourceLinked="1"/>
        <c:majorTickMark val="none"/>
        <c:minorTickMark val="none"/>
        <c:tickLblPos val="nextTo"/>
        <c:crossAx val="126734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PROJECT.xlsx]Calculations 1!PivotTable11</c:name>
    <c:fmtId val="3"/>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1'!$E$26:$E$27</c:f>
              <c:strCache>
                <c:ptCount val="1"/>
                <c:pt idx="0">
                  <c:v>Female</c:v>
                </c:pt>
              </c:strCache>
            </c:strRef>
          </c:tx>
          <c:spPr>
            <a:solidFill>
              <a:srgbClr val="FF0000"/>
            </a:solidFill>
            <a:ln>
              <a:noFill/>
            </a:ln>
            <a:effectLst/>
          </c:spPr>
          <c:invertIfNegative val="0"/>
          <c:cat>
            <c:strRef>
              <c:f>'Calculations 1'!$D$28:$D$32</c:f>
              <c:strCache>
                <c:ptCount val="4"/>
                <c:pt idx="0">
                  <c:v>East</c:v>
                </c:pt>
                <c:pt idx="1">
                  <c:v>North</c:v>
                </c:pt>
                <c:pt idx="2">
                  <c:v>South</c:v>
                </c:pt>
                <c:pt idx="3">
                  <c:v>West</c:v>
                </c:pt>
              </c:strCache>
            </c:strRef>
          </c:cat>
          <c:val>
            <c:numRef>
              <c:f>'Calculations 1'!$E$28:$E$32</c:f>
              <c:numCache>
                <c:formatCode>0</c:formatCode>
                <c:ptCount val="4"/>
                <c:pt idx="0">
                  <c:v>71</c:v>
                </c:pt>
                <c:pt idx="1">
                  <c:v>57</c:v>
                </c:pt>
                <c:pt idx="2">
                  <c:v>70</c:v>
                </c:pt>
                <c:pt idx="3">
                  <c:v>58</c:v>
                </c:pt>
              </c:numCache>
            </c:numRef>
          </c:val>
          <c:extLst>
            <c:ext xmlns:c16="http://schemas.microsoft.com/office/drawing/2014/chart" uri="{C3380CC4-5D6E-409C-BE32-E72D297353CC}">
              <c16:uniqueId val="{00000000-B724-45EE-817F-2826CF84A910}"/>
            </c:ext>
          </c:extLst>
        </c:ser>
        <c:ser>
          <c:idx val="1"/>
          <c:order val="1"/>
          <c:tx>
            <c:strRef>
              <c:f>'Calculations 1'!$F$26:$F$27</c:f>
              <c:strCache>
                <c:ptCount val="1"/>
                <c:pt idx="0">
                  <c:v>Male</c:v>
                </c:pt>
              </c:strCache>
            </c:strRef>
          </c:tx>
          <c:spPr>
            <a:solidFill>
              <a:schemeClr val="bg1">
                <a:lumMod val="85000"/>
              </a:schemeClr>
            </a:solidFill>
            <a:ln>
              <a:noFill/>
            </a:ln>
            <a:effectLst/>
          </c:spPr>
          <c:invertIfNegative val="0"/>
          <c:cat>
            <c:strRef>
              <c:f>'Calculations 1'!$D$28:$D$32</c:f>
              <c:strCache>
                <c:ptCount val="4"/>
                <c:pt idx="0">
                  <c:v>East</c:v>
                </c:pt>
                <c:pt idx="1">
                  <c:v>North</c:v>
                </c:pt>
                <c:pt idx="2">
                  <c:v>South</c:v>
                </c:pt>
                <c:pt idx="3">
                  <c:v>West</c:v>
                </c:pt>
              </c:strCache>
            </c:strRef>
          </c:cat>
          <c:val>
            <c:numRef>
              <c:f>'Calculations 1'!$F$28:$F$32</c:f>
              <c:numCache>
                <c:formatCode>0</c:formatCode>
                <c:ptCount val="4"/>
                <c:pt idx="0">
                  <c:v>62</c:v>
                </c:pt>
                <c:pt idx="1">
                  <c:v>63</c:v>
                </c:pt>
                <c:pt idx="2">
                  <c:v>67</c:v>
                </c:pt>
                <c:pt idx="3">
                  <c:v>52</c:v>
                </c:pt>
              </c:numCache>
            </c:numRef>
          </c:val>
          <c:extLst>
            <c:ext xmlns:c16="http://schemas.microsoft.com/office/drawing/2014/chart" uri="{C3380CC4-5D6E-409C-BE32-E72D297353CC}">
              <c16:uniqueId val="{00000001-0426-4167-A42E-E390FCE47B64}"/>
            </c:ext>
          </c:extLst>
        </c:ser>
        <c:dLbls>
          <c:showLegendKey val="0"/>
          <c:showVal val="0"/>
          <c:showCatName val="0"/>
          <c:showSerName val="0"/>
          <c:showPercent val="0"/>
          <c:showBubbleSize val="0"/>
        </c:dLbls>
        <c:gapWidth val="182"/>
        <c:axId val="1267338895"/>
        <c:axId val="1267326895"/>
      </c:barChart>
      <c:catAx>
        <c:axId val="1267338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1267326895"/>
        <c:crosses val="autoZero"/>
        <c:auto val="1"/>
        <c:lblAlgn val="ctr"/>
        <c:lblOffset val="100"/>
        <c:noMultiLvlLbl val="0"/>
      </c:catAx>
      <c:valAx>
        <c:axId val="1267326895"/>
        <c:scaling>
          <c:orientation val="minMax"/>
        </c:scaling>
        <c:delete val="1"/>
        <c:axPos val="b"/>
        <c:numFmt formatCode="0" sourceLinked="1"/>
        <c:majorTickMark val="none"/>
        <c:minorTickMark val="none"/>
        <c:tickLblPos val="nextTo"/>
        <c:crossAx val="126733889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PROJECT.xlsx]Calculations 1!PivotTable8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AEAE"/>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7A0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EAEAE"/>
          </a:solidFill>
          <a:ln w="19050">
            <a:solidFill>
              <a:schemeClr val="lt1"/>
            </a:solidFill>
          </a:ln>
          <a:effectLst/>
        </c:spPr>
      </c:pivotFmt>
      <c:pivotFmt>
        <c:idx val="6"/>
        <c:spPr>
          <a:solidFill>
            <a:srgbClr val="7A000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EAEAE"/>
          </a:solidFill>
          <a:ln w="19050">
            <a:noFill/>
          </a:ln>
          <a:effectLst/>
        </c:spPr>
      </c:pivotFmt>
      <c:pivotFmt>
        <c:idx val="11"/>
        <c:spPr>
          <a:solidFill>
            <a:srgbClr val="7A0000"/>
          </a:solidFill>
          <a:ln w="19050">
            <a:noFill/>
          </a:ln>
          <a:effectLst/>
        </c:spPr>
      </c:pivotFmt>
      <c:pivotFmt>
        <c:idx val="12"/>
        <c:spPr>
          <a:solidFill>
            <a:schemeClr val="accent1"/>
          </a:solidFill>
          <a:ln w="19050">
            <a:noFill/>
          </a:ln>
          <a:effectLst/>
        </c:spPr>
      </c:pivotFmt>
      <c:pivotFmt>
        <c:idx val="13"/>
        <c:spPr>
          <a:solidFill>
            <a:srgbClr val="FF0000"/>
          </a:solidFill>
          <a:ln w="19050">
            <a:noFill/>
          </a:ln>
          <a:effectLst/>
        </c:spPr>
      </c:pivotFmt>
    </c:pivotFmts>
    <c:plotArea>
      <c:layout/>
      <c:doughnutChart>
        <c:varyColors val="1"/>
        <c:ser>
          <c:idx val="0"/>
          <c:order val="0"/>
          <c:tx>
            <c:strRef>
              <c:f>'Calculations 1'!$E$6</c:f>
              <c:strCache>
                <c:ptCount val="1"/>
                <c:pt idx="0">
                  <c:v>Total</c:v>
                </c:pt>
              </c:strCache>
            </c:strRef>
          </c:tx>
          <c:spPr>
            <a:ln>
              <a:noFill/>
            </a:ln>
          </c:spPr>
          <c:explosion val="1"/>
          <c:dPt>
            <c:idx val="0"/>
            <c:bubble3D val="0"/>
            <c:spPr>
              <a:solidFill>
                <a:srgbClr val="AEAEAE"/>
              </a:solidFill>
              <a:ln w="19050">
                <a:noFill/>
              </a:ln>
              <a:effectLst/>
            </c:spPr>
            <c:extLst>
              <c:ext xmlns:c16="http://schemas.microsoft.com/office/drawing/2014/chart" uri="{C3380CC4-5D6E-409C-BE32-E72D297353CC}">
                <c16:uniqueId val="{00000001-DE04-4D67-9E16-91704964C70B}"/>
              </c:ext>
            </c:extLst>
          </c:dPt>
          <c:dPt>
            <c:idx val="1"/>
            <c:bubble3D val="0"/>
            <c:spPr>
              <a:solidFill>
                <a:srgbClr val="7A0000"/>
              </a:solidFill>
              <a:ln w="19050">
                <a:noFill/>
              </a:ln>
              <a:effectLst/>
            </c:spPr>
            <c:extLst>
              <c:ext xmlns:c16="http://schemas.microsoft.com/office/drawing/2014/chart" uri="{C3380CC4-5D6E-409C-BE32-E72D297353CC}">
                <c16:uniqueId val="{00000003-DE04-4D67-9E16-91704964C70B}"/>
              </c:ext>
            </c:extLst>
          </c:dPt>
          <c:dPt>
            <c:idx val="2"/>
            <c:bubble3D val="0"/>
            <c:spPr>
              <a:solidFill>
                <a:schemeClr val="accent3"/>
              </a:solidFill>
              <a:ln w="19050">
                <a:noFill/>
              </a:ln>
              <a:effectLst/>
            </c:spPr>
            <c:extLst>
              <c:ext xmlns:c16="http://schemas.microsoft.com/office/drawing/2014/chart" uri="{C3380CC4-5D6E-409C-BE32-E72D297353CC}">
                <c16:uniqueId val="{00000005-DE04-4D67-9E16-91704964C70B}"/>
              </c:ext>
            </c:extLst>
          </c:dPt>
          <c:dPt>
            <c:idx val="3"/>
            <c:bubble3D val="0"/>
            <c:spPr>
              <a:solidFill>
                <a:srgbClr val="FF0000"/>
              </a:solidFill>
              <a:ln w="19050">
                <a:noFill/>
              </a:ln>
              <a:effectLst/>
            </c:spPr>
            <c:extLst>
              <c:ext xmlns:c16="http://schemas.microsoft.com/office/drawing/2014/chart" uri="{C3380CC4-5D6E-409C-BE32-E72D297353CC}">
                <c16:uniqueId val="{00000007-DE04-4D67-9E16-91704964C70B}"/>
              </c:ext>
            </c:extLst>
          </c:dPt>
          <c:cat>
            <c:strRef>
              <c:f>'Calculations 1'!$D$7:$D$11</c:f>
              <c:strCache>
                <c:ptCount val="4"/>
                <c:pt idx="0">
                  <c:v>Emerging</c:v>
                </c:pt>
                <c:pt idx="1">
                  <c:v>Legacy</c:v>
                </c:pt>
                <c:pt idx="2">
                  <c:v>Loyal</c:v>
                </c:pt>
                <c:pt idx="3">
                  <c:v>New</c:v>
                </c:pt>
              </c:strCache>
            </c:strRef>
          </c:cat>
          <c:val>
            <c:numRef>
              <c:f>'Calculations 1'!$E$7:$E$11</c:f>
              <c:numCache>
                <c:formatCode>0</c:formatCode>
                <c:ptCount val="4"/>
                <c:pt idx="0">
                  <c:v>149</c:v>
                </c:pt>
                <c:pt idx="1">
                  <c:v>73</c:v>
                </c:pt>
                <c:pt idx="2">
                  <c:v>167</c:v>
                </c:pt>
                <c:pt idx="3">
                  <c:v>111</c:v>
                </c:pt>
              </c:numCache>
            </c:numRef>
          </c:val>
          <c:extLst>
            <c:ext xmlns:c16="http://schemas.microsoft.com/office/drawing/2014/chart" uri="{C3380CC4-5D6E-409C-BE32-E72D297353CC}">
              <c16:uniqueId val="{00000008-DE04-4D67-9E16-91704964C70B}"/>
            </c:ext>
          </c:extLst>
        </c:ser>
        <c:dLbls>
          <c:showLegendKey val="0"/>
          <c:showVal val="0"/>
          <c:showCatName val="0"/>
          <c:showSerName val="0"/>
          <c:showPercent val="0"/>
          <c:showBubbleSize val="0"/>
          <c:showLeaderLines val="1"/>
        </c:dLbls>
        <c:firstSliceAng val="220"/>
        <c:holeSize val="8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PROJECT.xlsx]Calculations 1!PivotTable4</c:name>
    <c:fmtId val="5"/>
  </c:pivotSource>
  <c:chart>
    <c:autoTitleDeleted val="1"/>
    <c:pivotFmts>
      <c:pivotFmt>
        <c:idx val="0"/>
        <c:spPr>
          <a:solidFill>
            <a:srgbClr val="FF0000">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EAEAE"/>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1'!$E$20</c:f>
              <c:strCache>
                <c:ptCount val="1"/>
                <c:pt idx="0">
                  <c:v>Total</c:v>
                </c:pt>
              </c:strCache>
            </c:strRef>
          </c:tx>
          <c:spPr>
            <a:solidFill>
              <a:srgbClr val="FF0000">
                <a:alpha val="8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EAEAE"/>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1'!$D$21:$D$24</c:f>
              <c:strCache>
                <c:ptCount val="3"/>
                <c:pt idx="0">
                  <c:v>Corporate</c:v>
                </c:pt>
                <c:pt idx="1">
                  <c:v>Private</c:v>
                </c:pt>
                <c:pt idx="2">
                  <c:v>Retail</c:v>
                </c:pt>
              </c:strCache>
            </c:strRef>
          </c:cat>
          <c:val>
            <c:numRef>
              <c:f>'Calculations 1'!$E$21:$E$24</c:f>
              <c:numCache>
                <c:formatCode>_-[$$-409]* #,##0_ ;_-[$$-409]* \-#,##0\ ;_-[$$-409]* "-"_ ;_-@_ </c:formatCode>
                <c:ptCount val="3"/>
                <c:pt idx="0">
                  <c:v>112910.04142011834</c:v>
                </c:pt>
                <c:pt idx="1">
                  <c:v>118774.17777777778</c:v>
                </c:pt>
                <c:pt idx="2">
                  <c:v>114590.12587412588</c:v>
                </c:pt>
              </c:numCache>
            </c:numRef>
          </c:val>
          <c:extLst>
            <c:ext xmlns:c16="http://schemas.microsoft.com/office/drawing/2014/chart" uri="{C3380CC4-5D6E-409C-BE32-E72D297353CC}">
              <c16:uniqueId val="{00000000-2F7D-4BF0-A9F6-31FB27F37996}"/>
            </c:ext>
          </c:extLst>
        </c:ser>
        <c:dLbls>
          <c:dLblPos val="outEnd"/>
          <c:showLegendKey val="0"/>
          <c:showVal val="1"/>
          <c:showCatName val="0"/>
          <c:showSerName val="0"/>
          <c:showPercent val="0"/>
          <c:showBubbleSize val="0"/>
        </c:dLbls>
        <c:gapWidth val="479"/>
        <c:overlap val="-19"/>
        <c:axId val="1519021984"/>
        <c:axId val="1519002304"/>
      </c:barChart>
      <c:catAx>
        <c:axId val="15190219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1519002304"/>
        <c:crosses val="autoZero"/>
        <c:auto val="1"/>
        <c:lblAlgn val="ctr"/>
        <c:lblOffset val="100"/>
        <c:noMultiLvlLbl val="0"/>
      </c:catAx>
      <c:valAx>
        <c:axId val="1519002304"/>
        <c:scaling>
          <c:orientation val="minMax"/>
        </c:scaling>
        <c:delete val="1"/>
        <c:axPos val="l"/>
        <c:numFmt formatCode="_-[$$-409]* #,##0_ ;_-[$$-409]* \-#,##0\ ;_-[$$-409]* &quot;-&quot;_ ;_-@_ " sourceLinked="1"/>
        <c:majorTickMark val="none"/>
        <c:minorTickMark val="none"/>
        <c:tickLblPos val="nextTo"/>
        <c:crossAx val="151902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PROJECT.xlsx]Calculations 1!PivotTable12</c:name>
    <c:fmtId val="5"/>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8"/>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9"/>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0"/>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1"/>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'Calculations 1'!$B$23</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'Calculations 1'!$A$24:$A$35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'Calculations 1'!$B$24:$B$35</c:f>
              <c:numCache>
                <c:formatCode>_-[$$-409]* #,##0_ ;_-[$$-409]* \-#,##0\ ;_-[$$-409]* "-"_ ;_-@_ </c:formatCode>
                <c:ptCount val="11"/>
                <c:pt idx="0">
                  <c:v>106916.27777777778</c:v>
                </c:pt>
                <c:pt idx="1">
                  <c:v>101878.73809523809</c:v>
                </c:pt>
                <c:pt idx="2">
                  <c:v>113301.93939393939</c:v>
                </c:pt>
                <c:pt idx="3">
                  <c:v>116536.48888888888</c:v>
                </c:pt>
                <c:pt idx="4">
                  <c:v>113918.22033898305</c:v>
                </c:pt>
                <c:pt idx="5">
                  <c:v>120721.28888888888</c:v>
                </c:pt>
                <c:pt idx="6">
                  <c:v>112730.14285714286</c:v>
                </c:pt>
                <c:pt idx="7">
                  <c:v>109796.67307692308</c:v>
                </c:pt>
                <c:pt idx="8">
                  <c:v>127026.27083333333</c:v>
                </c:pt>
                <c:pt idx="9">
                  <c:v>123050.49019607843</c:v>
                </c:pt>
                <c:pt idx="10">
                  <c:v>100570.72</c:v>
                </c:pt>
              </c:numCache>
            </c:numRef>
          </c:val>
          <c:extLst>
            <c:ext xmlns:c16="http://schemas.microsoft.com/office/drawing/2014/chart" uri="{C3380CC4-5D6E-409C-BE32-E72D297353CC}">
              <c16:uniqueId val="{00000001-4410-4539-AEF8-AD9069BA47CE}"/>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_-[$$-409]* #,##0_ ;_-[$$-409]* \-#,##0\ ;_-[$$-409]* &quot;-&quot;_ ;_-@_ " sourceLinked="1"/>
        <c:majorTickMark val="none"/>
        <c:minorTickMark val="none"/>
        <c:tickLblPos val="nextTo"/>
        <c:crossAx val="631323343"/>
        <c:crosses val="autoZero"/>
        <c:crossBetween val="between"/>
      </c:valAx>
      <c:spPr>
        <a:noFill/>
      </c:spPr>
    </c:plotArea>
    <c:plotVisOnly val="1"/>
    <c:dispBlanksAs val="zero"/>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PROJECT.xlsx]Calculations 1!PivotTable13</c:name>
    <c:fmtId val="3"/>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8"/>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9"/>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0"/>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1"/>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'Calculations 1'!$E$34</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'Calculations 1'!$D$35:$D$46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'Calculations 1'!$E$35:$E$46</c:f>
              <c:numCache>
                <c:formatCode>0</c:formatCode>
                <c:ptCount val="11"/>
                <c:pt idx="0">
                  <c:v>10</c:v>
                </c:pt>
                <c:pt idx="1">
                  <c:v>9.2857142857142865</c:v>
                </c:pt>
                <c:pt idx="2">
                  <c:v>8.1969696969696972</c:v>
                </c:pt>
                <c:pt idx="3">
                  <c:v>7.1555555555555559</c:v>
                </c:pt>
                <c:pt idx="4">
                  <c:v>6.1864406779661021</c:v>
                </c:pt>
                <c:pt idx="5">
                  <c:v>5.2222222222222223</c:v>
                </c:pt>
                <c:pt idx="6">
                  <c:v>4.2448979591836737</c:v>
                </c:pt>
                <c:pt idx="7">
                  <c:v>3.1153846153846154</c:v>
                </c:pt>
                <c:pt idx="8">
                  <c:v>2.2708333333333335</c:v>
                </c:pt>
                <c:pt idx="9">
                  <c:v>1.0784313725490196</c:v>
                </c:pt>
                <c:pt idx="10">
                  <c:v>0.4</c:v>
                </c:pt>
              </c:numCache>
            </c:numRef>
          </c:val>
          <c:extLst>
            <c:ext xmlns:c16="http://schemas.microsoft.com/office/drawing/2014/chart" uri="{C3380CC4-5D6E-409C-BE32-E72D297353CC}">
              <c16:uniqueId val="{00000001-B351-41CE-BC78-D6D29E578C86}"/>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0" sourceLinked="1"/>
        <c:majorTickMark val="none"/>
        <c:minorTickMark val="none"/>
        <c:tickLblPos val="nextTo"/>
        <c:crossAx val="631323343"/>
        <c:crosses val="autoZero"/>
        <c:crossBetween val="between"/>
      </c:valAx>
      <c:spPr>
        <a:noFill/>
      </c:spPr>
    </c:plotArea>
    <c:plotVisOnly val="1"/>
    <c:dispBlanksAs val="zero"/>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PROJECT.xlsx]Calculations 1!PivotTable14</c:name>
    <c:fmtId val="3"/>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8"/>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9"/>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0"/>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1"/>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'Calculations 1'!$B$37</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'Calculations 1'!$A$38:$A$49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'Calculations 1'!$B$38:$B$49</c:f>
              <c:numCache>
                <c:formatCode>0</c:formatCode>
                <c:ptCount val="11"/>
                <c:pt idx="0">
                  <c:v>40.444444444444443</c:v>
                </c:pt>
                <c:pt idx="1">
                  <c:v>46.857142857142854</c:v>
                </c:pt>
                <c:pt idx="2">
                  <c:v>43.984848484848484</c:v>
                </c:pt>
                <c:pt idx="3">
                  <c:v>47.644444444444446</c:v>
                </c:pt>
                <c:pt idx="4">
                  <c:v>48.711864406779661</c:v>
                </c:pt>
                <c:pt idx="5">
                  <c:v>43.866666666666667</c:v>
                </c:pt>
                <c:pt idx="6">
                  <c:v>48.408163265306122</c:v>
                </c:pt>
                <c:pt idx="7">
                  <c:v>47.75</c:v>
                </c:pt>
                <c:pt idx="8">
                  <c:v>46.5</c:v>
                </c:pt>
                <c:pt idx="9">
                  <c:v>44.980392156862742</c:v>
                </c:pt>
                <c:pt idx="10">
                  <c:v>46.72</c:v>
                </c:pt>
              </c:numCache>
            </c:numRef>
          </c:val>
          <c:extLst>
            <c:ext xmlns:c16="http://schemas.microsoft.com/office/drawing/2014/chart" uri="{C3380CC4-5D6E-409C-BE32-E72D297353CC}">
              <c16:uniqueId val="{00000001-C0D3-4ECE-B3EA-C17C54C3B8BD}"/>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0" sourceLinked="1"/>
        <c:majorTickMark val="none"/>
        <c:minorTickMark val="none"/>
        <c:tickLblPos val="nextTo"/>
        <c:crossAx val="631323343"/>
        <c:crosses val="autoZero"/>
        <c:crossBetween val="between"/>
      </c:valAx>
      <c:spPr>
        <a:noFill/>
      </c:spPr>
    </c:plotArea>
    <c:plotVisOnly val="1"/>
    <c:dispBlanksAs val="zero"/>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PROJECT.xlsx]Calculations 1!PivotTable12</c:name>
    <c:fmtId val="9"/>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8"/>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9"/>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0"/>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1"/>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'Calculations 1'!$B$23</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'Calculations 1'!$A$24:$A$35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'Calculations 1'!$B$24:$B$35</c:f>
              <c:numCache>
                <c:formatCode>_-[$$-409]* #,##0_ ;_-[$$-409]* \-#,##0\ ;_-[$$-409]* "-"_ ;_-@_ </c:formatCode>
                <c:ptCount val="11"/>
                <c:pt idx="0">
                  <c:v>106916.27777777778</c:v>
                </c:pt>
                <c:pt idx="1">
                  <c:v>101878.73809523809</c:v>
                </c:pt>
                <c:pt idx="2">
                  <c:v>113301.93939393939</c:v>
                </c:pt>
                <c:pt idx="3">
                  <c:v>116536.48888888888</c:v>
                </c:pt>
                <c:pt idx="4">
                  <c:v>113918.22033898305</c:v>
                </c:pt>
                <c:pt idx="5">
                  <c:v>120721.28888888888</c:v>
                </c:pt>
                <c:pt idx="6">
                  <c:v>112730.14285714286</c:v>
                </c:pt>
                <c:pt idx="7">
                  <c:v>109796.67307692308</c:v>
                </c:pt>
                <c:pt idx="8">
                  <c:v>127026.27083333333</c:v>
                </c:pt>
                <c:pt idx="9">
                  <c:v>123050.49019607843</c:v>
                </c:pt>
                <c:pt idx="10">
                  <c:v>100570.72</c:v>
                </c:pt>
              </c:numCache>
            </c:numRef>
          </c:val>
          <c:extLst>
            <c:ext xmlns:c16="http://schemas.microsoft.com/office/drawing/2014/chart" uri="{C3380CC4-5D6E-409C-BE32-E72D297353CC}">
              <c16:uniqueId val="{00000001-3E02-42E7-BC38-47C20AA855F0}"/>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_-[$$-409]* #,##0_ ;_-[$$-409]* \-#,##0\ ;_-[$$-409]* &quot;-&quot;_ ;_-@_ " sourceLinked="1"/>
        <c:majorTickMark val="none"/>
        <c:minorTickMark val="none"/>
        <c:tickLblPos val="nextTo"/>
        <c:crossAx val="631323343"/>
        <c:crosses val="autoZero"/>
        <c:crossBetween val="between"/>
      </c:valAx>
      <c:spPr>
        <a:noFill/>
      </c:spPr>
    </c:plotArea>
    <c:plotVisOnly val="1"/>
    <c:dispBlanksAs val="zero"/>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350"/>
        <c:holeSize val="8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350"/>
        <c:holeSize val="8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0000"/>
            </a:solidFill>
            <a:ln>
              <a:noFill/>
            </a:ln>
          </c:spPr>
          <c:dPt>
            <c:idx val="0"/>
            <c:bubble3D val="0"/>
            <c:spPr>
              <a:solidFill>
                <a:srgbClr val="FF0000"/>
              </a:solidFill>
              <a:ln w="19050">
                <a:noFill/>
              </a:ln>
              <a:effectLst/>
            </c:spPr>
            <c:extLst>
              <c:ext xmlns:c16="http://schemas.microsoft.com/office/drawing/2014/chart" uri="{C3380CC4-5D6E-409C-BE32-E72D297353CC}">
                <c16:uniqueId val="{0000000C-02F5-4A6F-9369-496E3448A3B3}"/>
              </c:ext>
            </c:extLst>
          </c:dPt>
          <c:dPt>
            <c:idx val="1"/>
            <c:bubble3D val="0"/>
            <c:spPr>
              <a:solidFill>
                <a:srgbClr val="AEAEAE"/>
              </a:solidFill>
              <a:ln w="19050">
                <a:noFill/>
              </a:ln>
              <a:effectLst/>
            </c:spPr>
            <c:extLst>
              <c:ext xmlns:c16="http://schemas.microsoft.com/office/drawing/2014/chart" uri="{C3380CC4-5D6E-409C-BE32-E72D297353CC}">
                <c16:uniqueId val="{0000000E-02F5-4A6F-9369-496E3448A3B3}"/>
              </c:ext>
            </c:extLst>
          </c:dPt>
          <c:val>
            <c:numRef>
              <c:f>'calculation 2'!$G$29:$G$30</c:f>
              <c:numCache>
                <c:formatCode>0%</c:formatCode>
                <c:ptCount val="2"/>
                <c:pt idx="0">
                  <c:v>0.10249999999999999</c:v>
                </c:pt>
                <c:pt idx="1">
                  <c:v>0.89749999999999996</c:v>
                </c:pt>
              </c:numCache>
            </c:numRef>
          </c:val>
          <c:extLst>
            <c:ext xmlns:c15="http://schemas.microsoft.com/office/drawing/2012/chart" uri="{02D57815-91ED-43cb-92C2-25804820EDAC}">
              <c15:filteredCategoryTitle>
                <c15:cat>
                  <c:strRef>
                    <c:extLst>
                      <c:ext uri="{02D57815-91ED-43cb-92C2-25804820EDAC}">
                        <c15:formulaRef>
                          <c15:sqref>'calculation 2'!$F$29:$F$30</c15:sqref>
                        </c15:formulaRef>
                      </c:ext>
                    </c:extLst>
                    <c:strCache>
                      <c:ptCount val="2"/>
                      <c:pt idx="0">
                        <c:v>Loan</c:v>
                      </c:pt>
                      <c:pt idx="1">
                        <c:v>other</c:v>
                      </c:pt>
                    </c:strCache>
                  </c:strRef>
                </c15:cat>
              </c15:filteredCategoryTitle>
            </c:ext>
            <c:ext xmlns:c16="http://schemas.microsoft.com/office/drawing/2014/chart" uri="{C3380CC4-5D6E-409C-BE32-E72D297353CC}">
              <c16:uniqueId val="{0000000F-02F5-4A6F-9369-496E3448A3B3}"/>
            </c:ext>
          </c:extLst>
        </c:ser>
        <c:dLbls>
          <c:showLegendKey val="0"/>
          <c:showVal val="0"/>
          <c:showCatName val="0"/>
          <c:showSerName val="0"/>
          <c:showPercent val="0"/>
          <c:showBubbleSize val="0"/>
          <c:showLeaderLines val="1"/>
        </c:dLbls>
        <c:firstSliceAng val="0"/>
        <c:holeSize val="87"/>
      </c:doughnutChart>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4-BAB7-4E1A-81AE-370B5FA66111}"/>
              </c:ext>
            </c:extLst>
          </c:dPt>
          <c:dPt>
            <c:idx val="1"/>
            <c:bubble3D val="0"/>
            <c:spPr>
              <a:solidFill>
                <a:srgbClr val="AEAEAE"/>
              </a:solidFill>
              <a:ln w="19050">
                <a:noFill/>
              </a:ln>
              <a:effectLst/>
            </c:spPr>
            <c:extLst>
              <c:ext xmlns:c16="http://schemas.microsoft.com/office/drawing/2014/chart" uri="{C3380CC4-5D6E-409C-BE32-E72D297353CC}">
                <c16:uniqueId val="{00000006-BAB7-4E1A-81AE-370B5FA66111}"/>
              </c:ext>
            </c:extLst>
          </c:dPt>
          <c:val>
            <c:numRef>
              <c:f>'calculation 2'!$G$32:$G$33</c:f>
              <c:numCache>
                <c:formatCode>0%</c:formatCode>
                <c:ptCount val="2"/>
                <c:pt idx="0">
                  <c:v>0.37874999999999998</c:v>
                </c:pt>
                <c:pt idx="1">
                  <c:v>0.62125000000000008</c:v>
                </c:pt>
              </c:numCache>
            </c:numRef>
          </c:val>
          <c:extLst>
            <c:ext xmlns:c15="http://schemas.microsoft.com/office/drawing/2012/chart" uri="{02D57815-91ED-43cb-92C2-25804820EDAC}">
              <c15:filteredCategoryTitle>
                <c15:cat>
                  <c:strRef>
                    <c:extLst>
                      <c:ext uri="{02D57815-91ED-43cb-92C2-25804820EDAC}">
                        <c15:formulaRef>
                          <c15:sqref>'calculation 2'!$F$32:$F$33</c15:sqref>
                        </c15:formulaRef>
                      </c:ext>
                    </c:extLst>
                    <c:strCache>
                      <c:ptCount val="2"/>
                      <c:pt idx="0">
                        <c:v>Savings</c:v>
                      </c:pt>
                      <c:pt idx="1">
                        <c:v>other</c:v>
                      </c:pt>
                    </c:strCache>
                  </c:strRef>
                </c15:cat>
              </c15:filteredCategoryTitle>
            </c:ext>
            <c:ext xmlns:c16="http://schemas.microsoft.com/office/drawing/2014/chart" uri="{C3380CC4-5D6E-409C-BE32-E72D297353CC}">
              <c16:uniqueId val="{00000007-BAB7-4E1A-81AE-370B5FA66111}"/>
            </c:ext>
          </c:extLst>
        </c:ser>
        <c:dLbls>
          <c:showLegendKey val="0"/>
          <c:showVal val="0"/>
          <c:showCatName val="0"/>
          <c:showSerName val="0"/>
          <c:showPercent val="0"/>
          <c:showBubbleSize val="0"/>
          <c:showLeaderLines val="1"/>
        </c:dLbls>
        <c:firstSliceAng val="0"/>
        <c:holeSize val="87"/>
      </c:doughnutChart>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2!PivotTable61</c:name>
    <c:fmtId val="7"/>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8"/>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9"/>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0"/>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1"/>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 2'!$B$37</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 2'!$A$38:$A$49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 2'!$B$38:$B$49</c:f>
              <c:numCache>
                <c:formatCode>[$$-1009]#,##0</c:formatCode>
                <c:ptCount val="11"/>
                <c:pt idx="0">
                  <c:v>45919.392857142855</c:v>
                </c:pt>
                <c:pt idx="1">
                  <c:v>59131.175675675673</c:v>
                </c:pt>
                <c:pt idx="2">
                  <c:v>59285.353846153848</c:v>
                </c:pt>
                <c:pt idx="3">
                  <c:v>65111.703703703701</c:v>
                </c:pt>
                <c:pt idx="4">
                  <c:v>68663.012658227846</c:v>
                </c:pt>
                <c:pt idx="5">
                  <c:v>52576.527472527472</c:v>
                </c:pt>
                <c:pt idx="6">
                  <c:v>34468.970588235294</c:v>
                </c:pt>
                <c:pt idx="7">
                  <c:v>54348.236111111109</c:v>
                </c:pt>
                <c:pt idx="8">
                  <c:v>47336.227272727272</c:v>
                </c:pt>
                <c:pt idx="9">
                  <c:v>64073.848484848488</c:v>
                </c:pt>
                <c:pt idx="10">
                  <c:v>35762.072727272731</c:v>
                </c:pt>
              </c:numCache>
            </c:numRef>
          </c:val>
          <c:extLst>
            <c:ext xmlns:c16="http://schemas.microsoft.com/office/drawing/2014/chart" uri="{C3380CC4-5D6E-409C-BE32-E72D297353CC}">
              <c16:uniqueId val="{00000000-400F-4A10-A2D7-F829532D867F}"/>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1009]#,##0" sourceLinked="1"/>
        <c:majorTickMark val="none"/>
        <c:minorTickMark val="none"/>
        <c:tickLblPos val="nextTo"/>
        <c:crossAx val="631323343"/>
        <c:crosses val="autoZero"/>
        <c:crossBetween val="between"/>
      </c:valAx>
      <c:spPr>
        <a:noFill/>
      </c:spPr>
    </c:plotArea>
    <c:plotVisOnly val="1"/>
    <c:dispBlanksAs val="zero"/>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2!PivotTable60</c:name>
    <c:fmtId val="3"/>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8"/>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9"/>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0"/>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1"/>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8"/>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9"/>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 2'!$B$23</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 2'!$A$24:$A$35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 2'!$B$24:$B$35</c:f>
              <c:numCache>
                <c:formatCode>0</c:formatCode>
                <c:ptCount val="11"/>
                <c:pt idx="0">
                  <c:v>601.5</c:v>
                </c:pt>
                <c:pt idx="1">
                  <c:v>562.29729729729729</c:v>
                </c:pt>
                <c:pt idx="2">
                  <c:v>607.35384615384612</c:v>
                </c:pt>
                <c:pt idx="3">
                  <c:v>542.8641975308642</c:v>
                </c:pt>
                <c:pt idx="4">
                  <c:v>614.39240506329111</c:v>
                </c:pt>
                <c:pt idx="5">
                  <c:v>553.2967032967033</c:v>
                </c:pt>
                <c:pt idx="6">
                  <c:v>600.72058823529414</c:v>
                </c:pt>
                <c:pt idx="7">
                  <c:v>558.33333333333337</c:v>
                </c:pt>
                <c:pt idx="8">
                  <c:v>600.5454545454545</c:v>
                </c:pt>
                <c:pt idx="9">
                  <c:v>587.59595959595958</c:v>
                </c:pt>
                <c:pt idx="10">
                  <c:v>559.32727272727277</c:v>
                </c:pt>
              </c:numCache>
            </c:numRef>
          </c:val>
          <c:extLst>
            <c:ext xmlns:c16="http://schemas.microsoft.com/office/drawing/2014/chart" uri="{C3380CC4-5D6E-409C-BE32-E72D297353CC}">
              <c16:uniqueId val="{00000000-5F59-4825-A50F-B68FA7654A2F}"/>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0" sourceLinked="1"/>
        <c:majorTickMark val="none"/>
        <c:minorTickMark val="none"/>
        <c:tickLblPos val="nextTo"/>
        <c:crossAx val="631323343"/>
        <c:crosses val="autoZero"/>
        <c:crossBetween val="between"/>
      </c:valAx>
      <c:spPr>
        <a:noFill/>
      </c:spPr>
    </c:plotArea>
    <c:plotVisOnly val="1"/>
    <c:dispBlanksAs val="zero"/>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2!PivotTable33</c:name>
    <c:fmtId val="4"/>
  </c:pivotSource>
  <c:chart>
    <c:autoTitleDeleted val="1"/>
    <c:pivotFmts>
      <c:pivotFmt>
        <c:idx val="0"/>
        <c:spPr>
          <a:solidFill>
            <a:schemeClr val="accent1"/>
          </a:solidFill>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'calculation 2'!$B$8</c:f>
              <c:strCache>
                <c:ptCount val="1"/>
                <c:pt idx="0">
                  <c:v>Total</c:v>
                </c:pt>
              </c:strCache>
            </c:strRef>
          </c:tx>
          <c:spPr>
            <a:ln w="28575" cap="rnd">
              <a:solidFill>
                <a:srgbClr val="FF0000"/>
              </a:solidFill>
              <a:round/>
            </a:ln>
            <a:effectLst/>
          </c:spPr>
          <c:marker>
            <c:symbol val="none"/>
          </c:marker>
          <c:cat>
            <c:strRef>
              <c:f>'calculation 2'!$A$9:$A$20</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 2'!$B$9:$B$20</c:f>
              <c:numCache>
                <c:formatCode>[$$-1009]#,##0</c:formatCode>
                <c:ptCount val="11"/>
                <c:pt idx="0">
                  <c:v>8601132</c:v>
                </c:pt>
                <c:pt idx="1">
                  <c:v>19620986</c:v>
                </c:pt>
                <c:pt idx="2">
                  <c:v>17464395</c:v>
                </c:pt>
                <c:pt idx="3">
                  <c:v>23479359</c:v>
                </c:pt>
                <c:pt idx="4">
                  <c:v>20215012</c:v>
                </c:pt>
                <c:pt idx="5">
                  <c:v>23565000</c:v>
                </c:pt>
                <c:pt idx="6">
                  <c:v>17705709</c:v>
                </c:pt>
                <c:pt idx="7">
                  <c:v>16583875</c:v>
                </c:pt>
                <c:pt idx="8">
                  <c:v>23273328</c:v>
                </c:pt>
                <c:pt idx="9">
                  <c:v>26602732</c:v>
                </c:pt>
                <c:pt idx="10">
                  <c:v>15229606</c:v>
                </c:pt>
              </c:numCache>
            </c:numRef>
          </c:val>
          <c:smooth val="1"/>
          <c:extLst>
            <c:ext xmlns:c16="http://schemas.microsoft.com/office/drawing/2014/chart" uri="{C3380CC4-5D6E-409C-BE32-E72D297353CC}">
              <c16:uniqueId val="{00000000-C69A-40CF-9D91-C95FD58D054D}"/>
            </c:ext>
          </c:extLst>
        </c:ser>
        <c:dLbls>
          <c:showLegendKey val="0"/>
          <c:showVal val="0"/>
          <c:showCatName val="0"/>
          <c:showSerName val="0"/>
          <c:showPercent val="0"/>
          <c:showBubbleSize val="0"/>
        </c:dLbls>
        <c:smooth val="0"/>
        <c:axId val="2006044400"/>
        <c:axId val="2006047760"/>
      </c:lineChart>
      <c:catAx>
        <c:axId val="2006044400"/>
        <c:scaling>
          <c:orientation val="minMax"/>
        </c:scaling>
        <c:delete val="1"/>
        <c:axPos val="b"/>
        <c:numFmt formatCode="General" sourceLinked="1"/>
        <c:majorTickMark val="none"/>
        <c:minorTickMark val="none"/>
        <c:tickLblPos val="nextTo"/>
        <c:crossAx val="2006047760"/>
        <c:crosses val="autoZero"/>
        <c:auto val="1"/>
        <c:lblAlgn val="ctr"/>
        <c:lblOffset val="100"/>
        <c:noMultiLvlLbl val="0"/>
      </c:catAx>
      <c:valAx>
        <c:axId val="2006047760"/>
        <c:scaling>
          <c:orientation val="minMax"/>
        </c:scaling>
        <c:delete val="1"/>
        <c:axPos val="l"/>
        <c:numFmt formatCode="[$$-1009]#,##0" sourceLinked="1"/>
        <c:majorTickMark val="none"/>
        <c:minorTickMark val="none"/>
        <c:tickLblPos val="nextTo"/>
        <c:crossAx val="200604440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5BD8-4727-B58F-7151FB28FBDD}"/>
              </c:ext>
            </c:extLst>
          </c:dPt>
          <c:dPt>
            <c:idx val="1"/>
            <c:bubble3D val="0"/>
            <c:spPr>
              <a:solidFill>
                <a:srgbClr val="AEAEAE"/>
              </a:solidFill>
              <a:ln w="19050">
                <a:noFill/>
              </a:ln>
              <a:effectLst/>
            </c:spPr>
            <c:extLst>
              <c:ext xmlns:c16="http://schemas.microsoft.com/office/drawing/2014/chart" uri="{C3380CC4-5D6E-409C-BE32-E72D297353CC}">
                <c16:uniqueId val="{00000003-5BD8-4727-B58F-7151FB28FBDD}"/>
              </c:ext>
            </c:extLst>
          </c:dPt>
          <c:val>
            <c:numRef>
              <c:f>'calculation 2'!$G$23:$G$24</c:f>
              <c:numCache>
                <c:formatCode>0%</c:formatCode>
                <c:ptCount val="2"/>
                <c:pt idx="0">
                  <c:v>0.3075</c:v>
                </c:pt>
                <c:pt idx="1">
                  <c:v>0.6925</c:v>
                </c:pt>
              </c:numCache>
            </c:numRef>
          </c:val>
          <c:extLst>
            <c:ext xmlns:c15="http://schemas.microsoft.com/office/drawing/2012/chart" uri="{02D57815-91ED-43cb-92C2-25804820EDAC}">
              <c15:filteredCategoryTitle>
                <c15:cat>
                  <c:strRef>
                    <c:extLst>
                      <c:ext uri="{02D57815-91ED-43cb-92C2-25804820EDAC}">
                        <c15:formulaRef>
                          <c15:sqref>'calculation 2'!$F$23:$F$24</c15:sqref>
                        </c15:formulaRef>
                      </c:ext>
                    </c:extLst>
                    <c:strCache>
                      <c:ptCount val="2"/>
                      <c:pt idx="0">
                        <c:v>Checking</c:v>
                      </c:pt>
                      <c:pt idx="1">
                        <c:v>other</c:v>
                      </c:pt>
                    </c:strCache>
                  </c:strRef>
                </c15:cat>
              </c15:filteredCategoryTitle>
            </c:ext>
            <c:ext xmlns:c16="http://schemas.microsoft.com/office/drawing/2014/chart" uri="{C3380CC4-5D6E-409C-BE32-E72D297353CC}">
              <c16:uniqueId val="{00000004-5BD8-4727-B58F-7151FB28FBDD}"/>
            </c:ext>
          </c:extLst>
        </c:ser>
        <c:dLbls>
          <c:showLegendKey val="0"/>
          <c:showVal val="0"/>
          <c:showCatName val="0"/>
          <c:showSerName val="0"/>
          <c:showPercent val="0"/>
          <c:showBubbleSize val="0"/>
          <c:showLeaderLines val="1"/>
        </c:dLbls>
        <c:firstSliceAng val="0"/>
        <c:holeSize val="8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1A1921"/>
            </a:solidFill>
            <a:ln>
              <a:noFill/>
            </a:ln>
          </c:spPr>
          <c:dPt>
            <c:idx val="0"/>
            <c:bubble3D val="0"/>
            <c:spPr>
              <a:solidFill>
                <a:srgbClr val="FF0000"/>
              </a:solidFill>
              <a:ln w="19050">
                <a:noFill/>
              </a:ln>
              <a:effectLst/>
            </c:spPr>
            <c:extLst>
              <c:ext xmlns:c16="http://schemas.microsoft.com/office/drawing/2014/chart" uri="{C3380CC4-5D6E-409C-BE32-E72D297353CC}">
                <c16:uniqueId val="{00000001-27AB-4755-9A9C-07693B228209}"/>
              </c:ext>
            </c:extLst>
          </c:dPt>
          <c:dPt>
            <c:idx val="1"/>
            <c:bubble3D val="0"/>
            <c:spPr>
              <a:solidFill>
                <a:srgbClr val="AEAEAE"/>
              </a:solidFill>
              <a:ln w="19050">
                <a:noFill/>
              </a:ln>
              <a:effectLst/>
            </c:spPr>
            <c:extLst>
              <c:ext xmlns:c16="http://schemas.microsoft.com/office/drawing/2014/chart" uri="{C3380CC4-5D6E-409C-BE32-E72D297353CC}">
                <c16:uniqueId val="{00000003-27AB-4755-9A9C-07693B228209}"/>
              </c:ext>
            </c:extLst>
          </c:dPt>
          <c:cat>
            <c:strRef>
              <c:f>'calculation 2'!$F$26:$F$27</c:f>
              <c:strCache>
                <c:ptCount val="2"/>
                <c:pt idx="0">
                  <c:v>CreditCard</c:v>
                </c:pt>
                <c:pt idx="1">
                  <c:v>other</c:v>
                </c:pt>
              </c:strCache>
            </c:strRef>
          </c:cat>
          <c:val>
            <c:numRef>
              <c:f>'calculation 2'!$G$26:$G$27</c:f>
              <c:numCache>
                <c:formatCode>0%</c:formatCode>
                <c:ptCount val="2"/>
                <c:pt idx="0">
                  <c:v>0.21124999999999999</c:v>
                </c:pt>
                <c:pt idx="1">
                  <c:v>0.78875000000000006</c:v>
                </c:pt>
              </c:numCache>
            </c:numRef>
          </c:val>
          <c:extLst>
            <c:ext xmlns:c16="http://schemas.microsoft.com/office/drawing/2014/chart" uri="{C3380CC4-5D6E-409C-BE32-E72D297353CC}">
              <c16:uniqueId val="{00000004-27AB-4755-9A9C-07693B228209}"/>
            </c:ext>
          </c:extLst>
        </c:ser>
        <c:dLbls>
          <c:showLegendKey val="0"/>
          <c:showVal val="0"/>
          <c:showCatName val="0"/>
          <c:showSerName val="0"/>
          <c:showPercent val="0"/>
          <c:showBubbleSize val="0"/>
          <c:showLeaderLines val="1"/>
        </c:dLbls>
        <c:firstSliceAng val="0"/>
        <c:holeSize val="8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2!PivotTable3</c:name>
    <c:fmtId val="3"/>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8"/>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9"/>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0"/>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1"/>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7.4444625508363005E-2"/>
          <c:w val="0.89616571268450651"/>
          <c:h val="0.67244364776320276"/>
        </c:manualLayout>
      </c:layout>
      <c:barChart>
        <c:barDir val="col"/>
        <c:grouping val="clustered"/>
        <c:varyColors val="0"/>
        <c:ser>
          <c:idx val="0"/>
          <c:order val="0"/>
          <c:tx>
            <c:strRef>
              <c:f>'calculation 2'!$G$37</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 2'!$F$38:$F$49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 2'!$G$38:$G$49</c:f>
              <c:numCache>
                <c:formatCode>[$$-1009]#,##0</c:formatCode>
                <c:ptCount val="11"/>
                <c:pt idx="0">
                  <c:v>329744.8823529412</c:v>
                </c:pt>
                <c:pt idx="1">
                  <c:v>286288.68</c:v>
                </c:pt>
                <c:pt idx="2">
                  <c:v>270138.77083333331</c:v>
                </c:pt>
                <c:pt idx="3">
                  <c:v>289503.91935483873</c:v>
                </c:pt>
                <c:pt idx="4">
                  <c:v>247428.35</c:v>
                </c:pt>
                <c:pt idx="5">
                  <c:v>255474.26865671642</c:v>
                </c:pt>
                <c:pt idx="6">
                  <c:v>255000.8108108108</c:v>
                </c:pt>
                <c:pt idx="7">
                  <c:v>225687.16666666666</c:v>
                </c:pt>
                <c:pt idx="8">
                  <c:v>249452.82258064515</c:v>
                </c:pt>
                <c:pt idx="9">
                  <c:v>265150.65079365077</c:v>
                </c:pt>
                <c:pt idx="10">
                  <c:v>271469.41463414632</c:v>
                </c:pt>
              </c:numCache>
            </c:numRef>
          </c:val>
          <c:extLst>
            <c:ext xmlns:c16="http://schemas.microsoft.com/office/drawing/2014/chart" uri="{C3380CC4-5D6E-409C-BE32-E72D297353CC}">
              <c16:uniqueId val="{00000002-1754-4D55-9495-69E6A37B8BBB}"/>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1009]#,##0" sourceLinked="1"/>
        <c:majorTickMark val="none"/>
        <c:minorTickMark val="none"/>
        <c:tickLblPos val="nextTo"/>
        <c:crossAx val="631323343"/>
        <c:crosses val="autoZero"/>
        <c:crossBetween val="between"/>
      </c:valAx>
      <c:spPr>
        <a:noFill/>
      </c:spPr>
    </c:plotArea>
    <c:plotVisOnly val="1"/>
    <c:dispBlanksAs val="zero"/>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2!PivotTable32</c:name>
    <c:fmtId val="3"/>
  </c:pivotSource>
  <c:chart>
    <c:autoTitleDeleted val="1"/>
    <c:pivotFmts>
      <c:pivotFmt>
        <c:idx val="0"/>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2'!$D$8</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2'!$C$9:$C$12</c:f>
              <c:strCache>
                <c:ptCount val="3"/>
                <c:pt idx="0">
                  <c:v>Corporate</c:v>
                </c:pt>
                <c:pt idx="1">
                  <c:v>Private</c:v>
                </c:pt>
                <c:pt idx="2">
                  <c:v>Retail</c:v>
                </c:pt>
              </c:strCache>
            </c:strRef>
          </c:cat>
          <c:val>
            <c:numRef>
              <c:f>'calculation 2'!$D$9:$D$12</c:f>
              <c:numCache>
                <c:formatCode>[$$-1009]#,##0</c:formatCode>
                <c:ptCount val="3"/>
                <c:pt idx="0">
                  <c:v>259460.32411067194</c:v>
                </c:pt>
                <c:pt idx="1">
                  <c:v>275113.66216216219</c:v>
                </c:pt>
                <c:pt idx="2">
                  <c:v>267102.03171247354</c:v>
                </c:pt>
              </c:numCache>
            </c:numRef>
          </c:val>
          <c:extLst>
            <c:ext xmlns:c16="http://schemas.microsoft.com/office/drawing/2014/chart" uri="{C3380CC4-5D6E-409C-BE32-E72D297353CC}">
              <c16:uniqueId val="{00000000-D2C4-4399-814A-D6112007CB52}"/>
            </c:ext>
          </c:extLst>
        </c:ser>
        <c:dLbls>
          <c:dLblPos val="outEnd"/>
          <c:showLegendKey val="0"/>
          <c:showVal val="1"/>
          <c:showCatName val="0"/>
          <c:showSerName val="0"/>
          <c:showPercent val="0"/>
          <c:showBubbleSize val="0"/>
        </c:dLbls>
        <c:gapWidth val="442"/>
        <c:overlap val="-27"/>
        <c:axId val="2006073200"/>
        <c:axId val="2006079440"/>
      </c:barChart>
      <c:catAx>
        <c:axId val="20060732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AEAEAE"/>
                </a:solidFill>
                <a:latin typeface="Biome" panose="020B0502040204020203" pitchFamily="34" charset="0"/>
                <a:ea typeface="+mn-ea"/>
                <a:cs typeface="Biome" panose="020B0502040204020203" pitchFamily="34" charset="0"/>
              </a:defRPr>
            </a:pPr>
            <a:endParaRPr lang="en-NG"/>
          </a:p>
        </c:txPr>
        <c:crossAx val="2006079440"/>
        <c:crosses val="autoZero"/>
        <c:auto val="1"/>
        <c:lblAlgn val="ctr"/>
        <c:lblOffset val="100"/>
        <c:noMultiLvlLbl val="0"/>
      </c:catAx>
      <c:valAx>
        <c:axId val="2006079440"/>
        <c:scaling>
          <c:orientation val="minMax"/>
        </c:scaling>
        <c:delete val="1"/>
        <c:axPos val="l"/>
        <c:numFmt formatCode="[$$-1009]#,##0" sourceLinked="1"/>
        <c:majorTickMark val="none"/>
        <c:minorTickMark val="none"/>
        <c:tickLblPos val="nextTo"/>
        <c:crossAx val="200607320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2!PivotTable31</c:name>
    <c:fmtId val="3"/>
  </c:pivotSource>
  <c:chart>
    <c:autoTitleDeleted val="1"/>
    <c:pivotFmts>
      <c:pivotFmt>
        <c:idx val="0"/>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layout>
            <c:manualLayout>
              <c:x val="0.17611590001347485"/>
              <c:y val="-7.18036452373339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layout>
            <c:manualLayout>
              <c:x val="0.27983953625182839"/>
              <c:y val="-7.83309829672437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0.30677913022958597"/>
              <c:y val="-7.83309829672443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dLbl>
          <c:idx val="0"/>
          <c:layout>
            <c:manualLayout>
              <c:x val="0.37685810503472655"/>
              <c:y val="-2.244854299132481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743750147621024"/>
                  <c:h val="0.24271248830414582"/>
                </c:manualLayout>
              </c15:layout>
            </c:ext>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dLbl>
          <c:idx val="0"/>
          <c:layout>
            <c:manualLayout>
              <c:x val="0.27983953625182839"/>
              <c:y val="-7.83309829672437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dLbl>
          <c:idx val="0"/>
          <c:layout>
            <c:manualLayout>
              <c:x val="0.17611590001347485"/>
              <c:y val="-7.18036452373339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dLbl>
          <c:idx val="0"/>
          <c:layout>
            <c:manualLayout>
              <c:x val="0.30677913022958597"/>
              <c:y val="-7.83309829672443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dLbl>
          <c:idx val="0"/>
          <c:layout>
            <c:manualLayout>
              <c:x val="0.37685810503472655"/>
              <c:y val="-2.244854299132481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743750147621024"/>
                  <c:h val="0.24271248830414582"/>
                </c:manualLayout>
              </c15:layout>
            </c:ext>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27983953625182839"/>
              <c:y val="-7.83309829672437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7611590001347485"/>
              <c:y val="-7.18036452373339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30677913022958597"/>
              <c:y val="-7.83309829672443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37685810503472655"/>
              <c:y val="-2.244854299132481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743750147621024"/>
                  <c:h val="0.24271248830414582"/>
                </c:manualLayout>
              </c15:layout>
            </c:ext>
          </c:extLst>
        </c:dLbl>
      </c:pivotFmt>
      <c:pivotFmt>
        <c:idx val="1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27983953625182839"/>
              <c:y val="-7.83309829672437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23103389724478754"/>
              <c:y val="-8.195716286243532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30677913022958597"/>
              <c:y val="-7.83309829672443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3563217476960559"/>
              <c:y val="-2.2447478576787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743750147621024"/>
                  <c:h val="0.24271248830414582"/>
                </c:manualLayout>
              </c15:layout>
            </c:ext>
          </c:extLst>
        </c:dLbl>
      </c:pivotFmt>
    </c:pivotFmts>
    <c:plotArea>
      <c:layout>
        <c:manualLayout>
          <c:layoutTarget val="inner"/>
          <c:xMode val="edge"/>
          <c:yMode val="edge"/>
          <c:x val="0.21623556278809405"/>
          <c:y val="0.12309052761390835"/>
          <c:w val="0.74531749550512039"/>
          <c:h val="0.81243348173118723"/>
        </c:manualLayout>
      </c:layout>
      <c:barChart>
        <c:barDir val="bar"/>
        <c:grouping val="stacked"/>
        <c:varyColors val="0"/>
        <c:ser>
          <c:idx val="0"/>
          <c:order val="0"/>
          <c:tx>
            <c:strRef>
              <c:f>'calculation 2'!$D$1</c:f>
              <c:strCache>
                <c:ptCount val="1"/>
                <c:pt idx="0">
                  <c:v>Total</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0-0A8D-4A8E-BA0E-96F4A7E8E1BC}"/>
              </c:ext>
            </c:extLst>
          </c:dPt>
          <c:dPt>
            <c:idx val="1"/>
            <c:invertIfNegative val="0"/>
            <c:bubble3D val="0"/>
            <c:extLst>
              <c:ext xmlns:c16="http://schemas.microsoft.com/office/drawing/2014/chart" uri="{C3380CC4-5D6E-409C-BE32-E72D297353CC}">
                <c16:uniqueId val="{00000001-0A8D-4A8E-BA0E-96F4A7E8E1BC}"/>
              </c:ext>
            </c:extLst>
          </c:dPt>
          <c:dPt>
            <c:idx val="2"/>
            <c:invertIfNegative val="0"/>
            <c:bubble3D val="0"/>
            <c:extLst>
              <c:ext xmlns:c16="http://schemas.microsoft.com/office/drawing/2014/chart" uri="{C3380CC4-5D6E-409C-BE32-E72D297353CC}">
                <c16:uniqueId val="{00000002-0A8D-4A8E-BA0E-96F4A7E8E1BC}"/>
              </c:ext>
            </c:extLst>
          </c:dPt>
          <c:dPt>
            <c:idx val="3"/>
            <c:invertIfNegative val="0"/>
            <c:bubble3D val="0"/>
            <c:extLst>
              <c:ext xmlns:c16="http://schemas.microsoft.com/office/drawing/2014/chart" uri="{C3380CC4-5D6E-409C-BE32-E72D297353CC}">
                <c16:uniqueId val="{00000003-0A8D-4A8E-BA0E-96F4A7E8E1BC}"/>
              </c:ext>
            </c:extLst>
          </c:dPt>
          <c:dLbls>
            <c:dLbl>
              <c:idx val="0"/>
              <c:layout>
                <c:manualLayout>
                  <c:x val="0.27983953625182839"/>
                  <c:y val="-7.833098296724379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8D-4A8E-BA0E-96F4A7E8E1BC}"/>
                </c:ext>
              </c:extLst>
            </c:dLbl>
            <c:dLbl>
              <c:idx val="1"/>
              <c:layout>
                <c:manualLayout>
                  <c:x val="0.23103389724478754"/>
                  <c:y val="-8.195716286243532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8D-4A8E-BA0E-96F4A7E8E1BC}"/>
                </c:ext>
              </c:extLst>
            </c:dLbl>
            <c:dLbl>
              <c:idx val="2"/>
              <c:layout>
                <c:manualLayout>
                  <c:x val="0.30677913022958597"/>
                  <c:y val="-7.833098296724436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8D-4A8E-BA0E-96F4A7E8E1BC}"/>
                </c:ext>
              </c:extLst>
            </c:dLbl>
            <c:dLbl>
              <c:idx val="3"/>
              <c:layout>
                <c:manualLayout>
                  <c:x val="0.3563217476960559"/>
                  <c:y val="-2.2447478576787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743750147621024"/>
                      <c:h val="0.24271248830414582"/>
                    </c:manualLayout>
                  </c15:layout>
                </c:ext>
                <c:ext xmlns:c16="http://schemas.microsoft.com/office/drawing/2014/chart" uri="{C3380CC4-5D6E-409C-BE32-E72D297353CC}">
                  <c16:uniqueId val="{00000003-0A8D-4A8E-BA0E-96F4A7E8E1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 2'!$C$2:$C$6</c:f>
              <c:strCache>
                <c:ptCount val="4"/>
                <c:pt idx="0">
                  <c:v>Boomers</c:v>
                </c:pt>
                <c:pt idx="1">
                  <c:v>GenX</c:v>
                </c:pt>
                <c:pt idx="2">
                  <c:v>GenZ</c:v>
                </c:pt>
                <c:pt idx="3">
                  <c:v>Milennials</c:v>
                </c:pt>
              </c:strCache>
            </c:strRef>
          </c:cat>
          <c:val>
            <c:numRef>
              <c:f>'calculation 2'!$D$2:$D$6</c:f>
              <c:numCache>
                <c:formatCode>[$$-1009]#,##0</c:formatCode>
                <c:ptCount val="4"/>
                <c:pt idx="0">
                  <c:v>264878.38857142854</c:v>
                </c:pt>
                <c:pt idx="1">
                  <c:v>247707.29707112969</c:v>
                </c:pt>
                <c:pt idx="2">
                  <c:v>267779.7074829932</c:v>
                </c:pt>
                <c:pt idx="3">
                  <c:v>282099.39330543933</c:v>
                </c:pt>
              </c:numCache>
            </c:numRef>
          </c:val>
          <c:extLst>
            <c:ext xmlns:c16="http://schemas.microsoft.com/office/drawing/2014/chart" uri="{C3380CC4-5D6E-409C-BE32-E72D297353CC}">
              <c16:uniqueId val="{00000004-0A8D-4A8E-BA0E-96F4A7E8E1BC}"/>
            </c:ext>
          </c:extLst>
        </c:ser>
        <c:dLbls>
          <c:dLblPos val="ctr"/>
          <c:showLegendKey val="0"/>
          <c:showVal val="1"/>
          <c:showCatName val="0"/>
          <c:showSerName val="0"/>
          <c:showPercent val="0"/>
          <c:showBubbleSize val="0"/>
        </c:dLbls>
        <c:gapWidth val="152"/>
        <c:overlap val="100"/>
        <c:axId val="2006117840"/>
        <c:axId val="2006118320"/>
      </c:barChart>
      <c:catAx>
        <c:axId val="2006117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AEAEAE"/>
                </a:solidFill>
                <a:latin typeface="Biome" panose="020B0502040204020203" pitchFamily="34" charset="0"/>
                <a:ea typeface="+mn-ea"/>
                <a:cs typeface="Biome" panose="020B0502040204020203" pitchFamily="34" charset="0"/>
              </a:defRPr>
            </a:pPr>
            <a:endParaRPr lang="en-NG"/>
          </a:p>
        </c:txPr>
        <c:crossAx val="2006118320"/>
        <c:crosses val="autoZero"/>
        <c:auto val="1"/>
        <c:lblAlgn val="ctr"/>
        <c:lblOffset val="100"/>
        <c:noMultiLvlLbl val="0"/>
      </c:catAx>
      <c:valAx>
        <c:axId val="2006118320"/>
        <c:scaling>
          <c:orientation val="minMax"/>
        </c:scaling>
        <c:delete val="1"/>
        <c:axPos val="b"/>
        <c:numFmt formatCode="[$$-1009]#,##0" sourceLinked="1"/>
        <c:majorTickMark val="none"/>
        <c:minorTickMark val="none"/>
        <c:tickLblPos val="nextTo"/>
        <c:crossAx val="200611784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2!PivotTable6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AEAEAE"/>
                  </a:solidFill>
                  <a:latin typeface="Biome" panose="020B0502040204020203" pitchFamily="34" charset="0"/>
                  <a:ea typeface="+mn-ea"/>
                  <a:cs typeface="Biome" panose="020B05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2'!$J$36</c:f>
              <c:strCache>
                <c:ptCount val="1"/>
                <c:pt idx="0">
                  <c:v>Total</c:v>
                </c:pt>
              </c:strCache>
            </c:strRef>
          </c:tx>
          <c:spPr>
            <a:solidFill>
              <a:srgbClr val="FF0000"/>
            </a:solidFill>
            <a:ln>
              <a:noFill/>
            </a:ln>
            <a:effectLst/>
          </c:spPr>
          <c:invertIfNegative val="0"/>
          <c:dLbls>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2'!$I$37:$I$39</c:f>
              <c:strCache>
                <c:ptCount val="2"/>
                <c:pt idx="0">
                  <c:v>Approved</c:v>
                </c:pt>
                <c:pt idx="1">
                  <c:v>Rejected</c:v>
                </c:pt>
              </c:strCache>
            </c:strRef>
          </c:cat>
          <c:val>
            <c:numRef>
              <c:f>'calculation 2'!$J$37:$J$39</c:f>
              <c:numCache>
                <c:formatCode>0</c:formatCode>
                <c:ptCount val="2"/>
                <c:pt idx="0">
                  <c:v>580.50877192982455</c:v>
                </c:pt>
                <c:pt idx="1">
                  <c:v>591.8115942028985</c:v>
                </c:pt>
              </c:numCache>
            </c:numRef>
          </c:val>
          <c:extLst>
            <c:ext xmlns:c16="http://schemas.microsoft.com/office/drawing/2014/chart" uri="{C3380CC4-5D6E-409C-BE32-E72D297353CC}">
              <c16:uniqueId val="{00000000-665F-401D-8224-A75FE3EFEC53}"/>
            </c:ext>
          </c:extLst>
        </c:ser>
        <c:dLbls>
          <c:dLblPos val="outEnd"/>
          <c:showLegendKey val="0"/>
          <c:showVal val="1"/>
          <c:showCatName val="0"/>
          <c:showSerName val="0"/>
          <c:showPercent val="0"/>
          <c:showBubbleSize val="0"/>
        </c:dLbls>
        <c:gapWidth val="454"/>
        <c:axId val="2006072240"/>
        <c:axId val="2006097200"/>
      </c:barChart>
      <c:catAx>
        <c:axId val="20060722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AEAEAE"/>
                </a:solidFill>
                <a:latin typeface="Biome" panose="020B0502040204020203" pitchFamily="34" charset="0"/>
                <a:ea typeface="+mn-ea"/>
                <a:cs typeface="Biome" panose="020B0502040204020203" pitchFamily="34" charset="0"/>
              </a:defRPr>
            </a:pPr>
            <a:endParaRPr lang="en-NG"/>
          </a:p>
        </c:txPr>
        <c:crossAx val="2006097200"/>
        <c:crosses val="autoZero"/>
        <c:auto val="1"/>
        <c:lblAlgn val="ctr"/>
        <c:lblOffset val="100"/>
        <c:noMultiLvlLbl val="0"/>
      </c:catAx>
      <c:valAx>
        <c:axId val="2006097200"/>
        <c:scaling>
          <c:orientation val="minMax"/>
        </c:scaling>
        <c:delete val="1"/>
        <c:axPos val="b"/>
        <c:numFmt formatCode="0" sourceLinked="1"/>
        <c:majorTickMark val="none"/>
        <c:minorTickMark val="none"/>
        <c:tickLblPos val="nextTo"/>
        <c:crossAx val="200607224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4!PivotTable27</c:name>
    <c:fmtId val="7"/>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3 &amp; 4'!$I$2</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 3 &amp; 4'!$H$3:$H$14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 3 &amp; 4'!$I$3:$I$14</c:f>
              <c:numCache>
                <c:formatCode>General</c:formatCode>
                <c:ptCount val="11"/>
                <c:pt idx="0">
                  <c:v>850554</c:v>
                </c:pt>
                <c:pt idx="1">
                  <c:v>2498108</c:v>
                </c:pt>
                <c:pt idx="2">
                  <c:v>2039495</c:v>
                </c:pt>
                <c:pt idx="3">
                  <c:v>2601852</c:v>
                </c:pt>
                <c:pt idx="4">
                  <c:v>2385328</c:v>
                </c:pt>
                <c:pt idx="5">
                  <c:v>2686188</c:v>
                </c:pt>
                <c:pt idx="6">
                  <c:v>2247495</c:v>
                </c:pt>
                <c:pt idx="7">
                  <c:v>2019516</c:v>
                </c:pt>
                <c:pt idx="8">
                  <c:v>2946946</c:v>
                </c:pt>
                <c:pt idx="9">
                  <c:v>3111888</c:v>
                </c:pt>
                <c:pt idx="10">
                  <c:v>1678719</c:v>
                </c:pt>
              </c:numCache>
            </c:numRef>
          </c:val>
          <c:extLst>
            <c:ext xmlns:c16="http://schemas.microsoft.com/office/drawing/2014/chart" uri="{C3380CC4-5D6E-409C-BE32-E72D297353CC}">
              <c16:uniqueId val="{00000000-81D1-4317-802E-D7952E0CA6F5}"/>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General" sourceLinked="1"/>
        <c:majorTickMark val="none"/>
        <c:minorTickMark val="none"/>
        <c:tickLblPos val="nextTo"/>
        <c:crossAx val="6313233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4!PivotTable28</c:name>
    <c:fmtId val="13"/>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 3 &amp; 4'!$L$2</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 3 &amp; 4'!$K$3:$K$14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 3 &amp; 4'!$L$3:$L$14</c:f>
              <c:numCache>
                <c:formatCode>General</c:formatCode>
                <c:ptCount val="11"/>
                <c:pt idx="0">
                  <c:v>181</c:v>
                </c:pt>
                <c:pt idx="1">
                  <c:v>503</c:v>
                </c:pt>
                <c:pt idx="2">
                  <c:v>392</c:v>
                </c:pt>
                <c:pt idx="3">
                  <c:v>517</c:v>
                </c:pt>
                <c:pt idx="4">
                  <c:v>477</c:v>
                </c:pt>
                <c:pt idx="5">
                  <c:v>546</c:v>
                </c:pt>
                <c:pt idx="6">
                  <c:v>438</c:v>
                </c:pt>
                <c:pt idx="7">
                  <c:v>405</c:v>
                </c:pt>
                <c:pt idx="8">
                  <c:v>586</c:v>
                </c:pt>
                <c:pt idx="9">
                  <c:v>624</c:v>
                </c:pt>
                <c:pt idx="10">
                  <c:v>331</c:v>
                </c:pt>
              </c:numCache>
            </c:numRef>
          </c:val>
          <c:extLst>
            <c:ext xmlns:c16="http://schemas.microsoft.com/office/drawing/2014/chart" uri="{C3380CC4-5D6E-409C-BE32-E72D297353CC}">
              <c16:uniqueId val="{00000002-726C-4A35-BF1D-30CA2D208F4F}"/>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General" sourceLinked="1"/>
        <c:majorTickMark val="none"/>
        <c:minorTickMark val="none"/>
        <c:tickLblPos val="nextTo"/>
        <c:crossAx val="631323343"/>
        <c:crosses val="autoZero"/>
        <c:crossBetween val="between"/>
      </c:valAx>
      <c:spPr>
        <a:noFill/>
      </c:spPr>
    </c:plotArea>
    <c:plotVisOnly val="1"/>
    <c:dispBlanksAs val="zero"/>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4!PivotTable29</c:name>
    <c:fmtId val="17"/>
  </c:pivotSource>
  <c:chart>
    <c:autoTitleDeleted val="1"/>
    <c:pivotFmts>
      <c:pivotFmt>
        <c:idx val="0"/>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1"/>
        <c:spPr>
          <a:gradFill flip="none" rotWithShape="1">
            <a:gsLst>
              <a:gs pos="50000">
                <a:srgbClr val="FF0000"/>
              </a:gs>
              <a:gs pos="62000">
                <a:srgbClr val="A40000"/>
              </a:gs>
            </a:gsLst>
            <a:lin ang="5400000" scaled="1"/>
            <a:tileRect/>
          </a:gradFill>
          <a:ln>
            <a:solidFill>
              <a:srgbClr val="FF0000">
                <a:alpha val="91000"/>
              </a:srgbClr>
            </a:solidFill>
          </a:ln>
          <a:effectLst/>
        </c:spPr>
        <c:marker>
          <c:symbol val="none"/>
        </c:marker>
        <c:dLbl>
          <c:idx val="0"/>
          <c:delete val="1"/>
          <c:extLst>
            <c:ext xmlns:c15="http://schemas.microsoft.com/office/drawing/2012/chart" uri="{CE6537A1-D6FC-4f65-9D91-7224C49458BB}"/>
          </c:extLst>
        </c:dLbl>
      </c:pivotFmt>
      <c:pivotFmt>
        <c:idx val="2"/>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3"/>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4"/>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5"/>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6"/>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7"/>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8"/>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9"/>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
        <c:idx val="10"/>
        <c:spPr>
          <a:gradFill>
            <a:gsLst>
              <a:gs pos="77000">
                <a:srgbClr val="FF0000"/>
              </a:gs>
              <a:gs pos="60000">
                <a:srgbClr val="A40000"/>
              </a:gs>
            </a:gsLst>
            <a:lin ang="5400000" scaled="1"/>
          </a:gra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 3 &amp; 4'!$O$2</c:f>
              <c:strCache>
                <c:ptCount val="1"/>
                <c:pt idx="0">
                  <c:v>Total</c:v>
                </c:pt>
              </c:strCache>
            </c:strRef>
          </c:tx>
          <c:spPr>
            <a:gradFill>
              <a:gsLst>
                <a:gs pos="77000">
                  <a:srgbClr val="FF0000"/>
                </a:gs>
                <a:gs pos="60000">
                  <a:srgbClr val="A40000"/>
                </a:gs>
              </a:gsLst>
              <a:lin ang="5400000" scaled="1"/>
            </a:gradFill>
            <a:ln>
              <a:solidFill>
                <a:srgbClr val="FF0000"/>
              </a:solidFill>
            </a:ln>
            <a:effectLst/>
          </c:spPr>
          <c:invertIfNegative val="0"/>
          <c:cat>
            <c:strRef>
              <c:f>'calculation 3 &amp; 4'!$N$3:$N$14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 3 &amp; 4'!$O$3:$O$14</c:f>
              <c:numCache>
                <c:formatCode>[$$-1009]#,##0;\-[$$-1009]#,##0</c:formatCode>
                <c:ptCount val="11"/>
                <c:pt idx="0">
                  <c:v>4699.1933701657463</c:v>
                </c:pt>
                <c:pt idx="1">
                  <c:v>4966.4174950298211</c:v>
                </c:pt>
                <c:pt idx="2">
                  <c:v>5202.7933673469388</c:v>
                </c:pt>
                <c:pt idx="3">
                  <c:v>5032.5957446808507</c:v>
                </c:pt>
                <c:pt idx="4">
                  <c:v>5000.6876310272537</c:v>
                </c:pt>
                <c:pt idx="5">
                  <c:v>4919.7582417582416</c:v>
                </c:pt>
                <c:pt idx="6">
                  <c:v>5131.267123287671</c:v>
                </c:pt>
                <c:pt idx="7">
                  <c:v>4986.4592592592589</c:v>
                </c:pt>
                <c:pt idx="8">
                  <c:v>5028.9180887372013</c:v>
                </c:pt>
                <c:pt idx="9">
                  <c:v>4987</c:v>
                </c:pt>
                <c:pt idx="10">
                  <c:v>5071.6586102719029</c:v>
                </c:pt>
              </c:numCache>
            </c:numRef>
          </c:val>
          <c:extLst>
            <c:ext xmlns:c16="http://schemas.microsoft.com/office/drawing/2014/chart" uri="{C3380CC4-5D6E-409C-BE32-E72D297353CC}">
              <c16:uniqueId val="{00000002-7C8B-47E5-9C28-BDC647938C4D}"/>
            </c:ext>
          </c:extLst>
        </c:ser>
        <c:dLbls>
          <c:showLegendKey val="0"/>
          <c:showVal val="0"/>
          <c:showCatName val="0"/>
          <c:showSerName val="0"/>
          <c:showPercent val="0"/>
          <c:showBubbleSize val="0"/>
        </c:dLbls>
        <c:gapWidth val="150"/>
        <c:axId val="631323343"/>
        <c:axId val="631348783"/>
      </c:barChart>
      <c:catAx>
        <c:axId val="631323343"/>
        <c:scaling>
          <c:orientation val="minMax"/>
        </c:scaling>
        <c:delete val="1"/>
        <c:axPos val="b"/>
        <c:numFmt formatCode="General" sourceLinked="1"/>
        <c:majorTickMark val="out"/>
        <c:minorTickMark val="none"/>
        <c:tickLblPos val="nextTo"/>
        <c:crossAx val="631348783"/>
        <c:crosses val="autoZero"/>
        <c:auto val="1"/>
        <c:lblAlgn val="ctr"/>
        <c:lblOffset val="100"/>
        <c:noMultiLvlLbl val="0"/>
      </c:catAx>
      <c:valAx>
        <c:axId val="631348783"/>
        <c:scaling>
          <c:orientation val="minMax"/>
        </c:scaling>
        <c:delete val="1"/>
        <c:axPos val="l"/>
        <c:numFmt formatCode="[$$-1009]#,##0;\-[$$-1009]#,##0" sourceLinked="1"/>
        <c:majorTickMark val="none"/>
        <c:minorTickMark val="none"/>
        <c:tickLblPos val="nextTo"/>
        <c:crossAx val="631323343"/>
        <c:crosses val="autoZero"/>
        <c:crossBetween val="between"/>
      </c:valAx>
      <c:spPr>
        <a:noFill/>
      </c:spPr>
    </c:plotArea>
    <c:plotVisOnly val="1"/>
    <c:dispBlanksAs val="zero"/>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4!PivotTable24</c:name>
    <c:fmtId val="5"/>
  </c:pivotSource>
  <c:chart>
    <c:autoTitleDeleted val="0"/>
    <c:pivotFmts>
      <c:pivotFmt>
        <c:idx val="0"/>
        <c:spPr>
          <a:solidFill>
            <a:srgbClr val="54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EAE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4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EAE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4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AEAE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 3 &amp; 4'!$B$1:$B$2</c:f>
              <c:strCache>
                <c:ptCount val="1"/>
                <c:pt idx="0">
                  <c:v>Deposit</c:v>
                </c:pt>
              </c:strCache>
            </c:strRef>
          </c:tx>
          <c:spPr>
            <a:solidFill>
              <a:srgbClr val="540000"/>
            </a:solidFill>
            <a:ln>
              <a:noFill/>
            </a:ln>
            <a:effectLst/>
          </c:spPr>
          <c:invertIfNegative val="0"/>
          <c:cat>
            <c:strRef>
              <c:f>'calculation 3 &amp; 4'!$A$3:$A$5</c:f>
              <c:strCache>
                <c:ptCount val="2"/>
                <c:pt idx="0">
                  <c:v>no</c:v>
                </c:pt>
                <c:pt idx="1">
                  <c:v>yes</c:v>
                </c:pt>
              </c:strCache>
            </c:strRef>
          </c:cat>
          <c:val>
            <c:numRef>
              <c:f>'calculation 3 &amp; 4'!$B$3:$B$5</c:f>
              <c:numCache>
                <c:formatCode>General</c:formatCode>
                <c:ptCount val="2"/>
                <c:pt idx="0">
                  <c:v>956</c:v>
                </c:pt>
                <c:pt idx="1">
                  <c:v>268</c:v>
                </c:pt>
              </c:numCache>
            </c:numRef>
          </c:val>
          <c:extLst>
            <c:ext xmlns:c16="http://schemas.microsoft.com/office/drawing/2014/chart" uri="{C3380CC4-5D6E-409C-BE32-E72D297353CC}">
              <c16:uniqueId val="{00000000-83E1-4F26-9A82-3863B6497866}"/>
            </c:ext>
          </c:extLst>
        </c:ser>
        <c:ser>
          <c:idx val="1"/>
          <c:order val="1"/>
          <c:tx>
            <c:strRef>
              <c:f>'calculation 3 &amp; 4'!$C$1:$C$2</c:f>
              <c:strCache>
                <c:ptCount val="1"/>
                <c:pt idx="0">
                  <c:v>Payment</c:v>
                </c:pt>
              </c:strCache>
            </c:strRef>
          </c:tx>
          <c:spPr>
            <a:solidFill>
              <a:schemeClr val="accent2"/>
            </a:solidFill>
            <a:ln>
              <a:noFill/>
            </a:ln>
            <a:effectLst/>
          </c:spPr>
          <c:invertIfNegative val="0"/>
          <c:cat>
            <c:strRef>
              <c:f>'calculation 3 &amp; 4'!$A$3:$A$5</c:f>
              <c:strCache>
                <c:ptCount val="2"/>
                <c:pt idx="0">
                  <c:v>no</c:v>
                </c:pt>
                <c:pt idx="1">
                  <c:v>yes</c:v>
                </c:pt>
              </c:strCache>
            </c:strRef>
          </c:cat>
          <c:val>
            <c:numRef>
              <c:f>'calculation 3 &amp; 4'!$C$3:$C$5</c:f>
              <c:numCache>
                <c:formatCode>General</c:formatCode>
                <c:ptCount val="2"/>
                <c:pt idx="0">
                  <c:v>997</c:v>
                </c:pt>
                <c:pt idx="1">
                  <c:v>269</c:v>
                </c:pt>
              </c:numCache>
            </c:numRef>
          </c:val>
          <c:extLst>
            <c:ext xmlns:c16="http://schemas.microsoft.com/office/drawing/2014/chart" uri="{C3380CC4-5D6E-409C-BE32-E72D297353CC}">
              <c16:uniqueId val="{00000001-83E1-4F26-9A82-3863B6497866}"/>
            </c:ext>
          </c:extLst>
        </c:ser>
        <c:ser>
          <c:idx val="2"/>
          <c:order val="2"/>
          <c:tx>
            <c:strRef>
              <c:f>'calculation 3 &amp; 4'!$D$1:$D$2</c:f>
              <c:strCache>
                <c:ptCount val="1"/>
                <c:pt idx="0">
                  <c:v>Transfer</c:v>
                </c:pt>
              </c:strCache>
            </c:strRef>
          </c:tx>
          <c:spPr>
            <a:solidFill>
              <a:schemeClr val="accent3"/>
            </a:solidFill>
            <a:ln>
              <a:noFill/>
            </a:ln>
            <a:effectLst/>
          </c:spPr>
          <c:invertIfNegative val="0"/>
          <c:cat>
            <c:strRef>
              <c:f>'calculation 3 &amp; 4'!$A$3:$A$5</c:f>
              <c:strCache>
                <c:ptCount val="2"/>
                <c:pt idx="0">
                  <c:v>no</c:v>
                </c:pt>
                <c:pt idx="1">
                  <c:v>yes</c:v>
                </c:pt>
              </c:strCache>
            </c:strRef>
          </c:cat>
          <c:val>
            <c:numRef>
              <c:f>'calculation 3 &amp; 4'!$D$3:$D$5</c:f>
              <c:numCache>
                <c:formatCode>General</c:formatCode>
                <c:ptCount val="2"/>
                <c:pt idx="0">
                  <c:v>976</c:v>
                </c:pt>
                <c:pt idx="1">
                  <c:v>268</c:v>
                </c:pt>
              </c:numCache>
            </c:numRef>
          </c:val>
          <c:extLst>
            <c:ext xmlns:c16="http://schemas.microsoft.com/office/drawing/2014/chart" uri="{C3380CC4-5D6E-409C-BE32-E72D297353CC}">
              <c16:uniqueId val="{00000002-83E1-4F26-9A82-3863B6497866}"/>
            </c:ext>
          </c:extLst>
        </c:ser>
        <c:ser>
          <c:idx val="3"/>
          <c:order val="3"/>
          <c:tx>
            <c:strRef>
              <c:f>'calculation 3 &amp; 4'!$E$1:$E$2</c:f>
              <c:strCache>
                <c:ptCount val="1"/>
                <c:pt idx="0">
                  <c:v>Withdrawal</c:v>
                </c:pt>
              </c:strCache>
            </c:strRef>
          </c:tx>
          <c:spPr>
            <a:solidFill>
              <a:srgbClr val="AEAEAE"/>
            </a:solidFill>
            <a:ln>
              <a:noFill/>
            </a:ln>
            <a:effectLst/>
          </c:spPr>
          <c:invertIfNegative val="0"/>
          <c:cat>
            <c:strRef>
              <c:f>'calculation 3 &amp; 4'!$A$3:$A$5</c:f>
              <c:strCache>
                <c:ptCount val="2"/>
                <c:pt idx="0">
                  <c:v>no</c:v>
                </c:pt>
                <c:pt idx="1">
                  <c:v>yes</c:v>
                </c:pt>
              </c:strCache>
            </c:strRef>
          </c:cat>
          <c:val>
            <c:numRef>
              <c:f>'calculation 3 &amp; 4'!$E$3:$E$5</c:f>
              <c:numCache>
                <c:formatCode>General</c:formatCode>
                <c:ptCount val="2"/>
                <c:pt idx="0">
                  <c:v>1014</c:v>
                </c:pt>
                <c:pt idx="1">
                  <c:v>252</c:v>
                </c:pt>
              </c:numCache>
            </c:numRef>
          </c:val>
          <c:extLst>
            <c:ext xmlns:c16="http://schemas.microsoft.com/office/drawing/2014/chart" uri="{C3380CC4-5D6E-409C-BE32-E72D297353CC}">
              <c16:uniqueId val="{00000003-83E1-4F26-9A82-3863B6497866}"/>
            </c:ext>
          </c:extLst>
        </c:ser>
        <c:dLbls>
          <c:showLegendKey val="0"/>
          <c:showVal val="0"/>
          <c:showCatName val="0"/>
          <c:showSerName val="0"/>
          <c:showPercent val="0"/>
          <c:showBubbleSize val="0"/>
        </c:dLbls>
        <c:gapWidth val="110"/>
        <c:overlap val="100"/>
        <c:axId val="1090269375"/>
        <c:axId val="1090269855"/>
      </c:barChart>
      <c:catAx>
        <c:axId val="1090269375"/>
        <c:scaling>
          <c:orientation val="minMax"/>
        </c:scaling>
        <c:delete val="1"/>
        <c:axPos val="l"/>
        <c:numFmt formatCode="General" sourceLinked="1"/>
        <c:majorTickMark val="none"/>
        <c:minorTickMark val="none"/>
        <c:tickLblPos val="nextTo"/>
        <c:crossAx val="1090269855"/>
        <c:crosses val="autoZero"/>
        <c:auto val="1"/>
        <c:lblAlgn val="ctr"/>
        <c:lblOffset val="100"/>
        <c:noMultiLvlLbl val="0"/>
      </c:catAx>
      <c:valAx>
        <c:axId val="1090269855"/>
        <c:scaling>
          <c:orientation val="minMax"/>
        </c:scaling>
        <c:delete val="1"/>
        <c:axPos val="b"/>
        <c:numFmt formatCode="General" sourceLinked="1"/>
        <c:majorTickMark val="none"/>
        <c:minorTickMark val="none"/>
        <c:tickLblPos val="nextTo"/>
        <c:crossAx val="1090269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rgbClr val="AEAEAE"/>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4!PivotTable32</c:name>
    <c:fmtId val="1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3 &amp; 4'!$B$25</c:f>
              <c:strCache>
                <c:ptCount val="1"/>
                <c:pt idx="0">
                  <c:v>Total</c:v>
                </c:pt>
              </c:strCache>
            </c:strRef>
          </c:tx>
          <c:spPr>
            <a:solidFill>
              <a:srgbClr val="FF0000"/>
            </a:solidFill>
            <a:ln>
              <a:noFill/>
            </a:ln>
            <a:effectLst/>
          </c:spPr>
          <c:invertIfNegative val="0"/>
          <c:dLbls>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3 &amp; 4'!$A$26:$A$31</c:f>
              <c:strCache>
                <c:ptCount val="5"/>
                <c:pt idx="0">
                  <c:v>Shell</c:v>
                </c:pt>
                <c:pt idx="1">
                  <c:v>Uber</c:v>
                </c:pt>
                <c:pt idx="2">
                  <c:v>Apple</c:v>
                </c:pt>
                <c:pt idx="3">
                  <c:v>LocalStore</c:v>
                </c:pt>
                <c:pt idx="4">
                  <c:v>Airbnb</c:v>
                </c:pt>
              </c:strCache>
            </c:strRef>
          </c:cat>
          <c:val>
            <c:numRef>
              <c:f>'calculation 3 &amp; 4'!$B$26:$B$31</c:f>
              <c:numCache>
                <c:formatCode>General</c:formatCode>
                <c:ptCount val="5"/>
                <c:pt idx="0">
                  <c:v>500</c:v>
                </c:pt>
                <c:pt idx="1">
                  <c:v>509</c:v>
                </c:pt>
                <c:pt idx="2">
                  <c:v>513</c:v>
                </c:pt>
                <c:pt idx="3">
                  <c:v>519</c:v>
                </c:pt>
                <c:pt idx="4">
                  <c:v>571</c:v>
                </c:pt>
              </c:numCache>
            </c:numRef>
          </c:val>
          <c:extLst>
            <c:ext xmlns:c16="http://schemas.microsoft.com/office/drawing/2014/chart" uri="{C3380CC4-5D6E-409C-BE32-E72D297353CC}">
              <c16:uniqueId val="{00000001-E6CF-499E-9FD3-4EBDF3093204}"/>
            </c:ext>
          </c:extLst>
        </c:ser>
        <c:dLbls>
          <c:dLblPos val="outEnd"/>
          <c:showLegendKey val="0"/>
          <c:showVal val="1"/>
          <c:showCatName val="0"/>
          <c:showSerName val="0"/>
          <c:showPercent val="0"/>
          <c:showBubbleSize val="0"/>
        </c:dLbls>
        <c:gapWidth val="283"/>
        <c:axId val="1090230015"/>
        <c:axId val="1090242495"/>
      </c:barChart>
      <c:catAx>
        <c:axId val="10902300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rgbClr val="AEAEAE"/>
                </a:solidFill>
                <a:latin typeface="+mn-lt"/>
                <a:ea typeface="+mn-ea"/>
                <a:cs typeface="+mn-cs"/>
              </a:defRPr>
            </a:pPr>
            <a:endParaRPr lang="en-NG"/>
          </a:p>
        </c:txPr>
        <c:crossAx val="1090242495"/>
        <c:crosses val="autoZero"/>
        <c:auto val="1"/>
        <c:lblAlgn val="ctr"/>
        <c:lblOffset val="100"/>
        <c:noMultiLvlLbl val="0"/>
      </c:catAx>
      <c:valAx>
        <c:axId val="1090242495"/>
        <c:scaling>
          <c:orientation val="minMax"/>
        </c:scaling>
        <c:delete val="1"/>
        <c:axPos val="b"/>
        <c:numFmt formatCode="General" sourceLinked="1"/>
        <c:majorTickMark val="none"/>
        <c:minorTickMark val="none"/>
        <c:tickLblPos val="nextTo"/>
        <c:crossAx val="109023001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4!PivotTable25</c:name>
    <c:fmtId val="4"/>
  </c:pivotSource>
  <c:chart>
    <c:autoTitleDeleted val="0"/>
    <c:pivotFmts>
      <c:pivotFmt>
        <c:idx val="0"/>
        <c:spPr>
          <a:solidFill>
            <a:srgbClr val="540000"/>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AEAEAE"/>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540000"/>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AEAEAE"/>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540000"/>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AEAEAE"/>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540000"/>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AEAEAE"/>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540000"/>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AEAEAE"/>
          </a:solidFill>
          <a:ln>
            <a:noFill/>
          </a:ln>
          <a:effectLst/>
        </c:spPr>
        <c:marker>
          <c:symbol val="none"/>
        </c:marker>
        <c:dLbl>
          <c:idx val="0"/>
          <c:delete val="1"/>
          <c:extLst>
            <c:ext xmlns:c15="http://schemas.microsoft.com/office/drawing/2012/chart" uri="{CE6537A1-D6FC-4f65-9D91-7224C49458BB}"/>
          </c:extLst>
        </c:dLbl>
      </c:pivotFmt>
      <c:pivotFmt>
        <c:idx val="20"/>
        <c:spPr>
          <a:solidFill>
            <a:srgbClr val="540000"/>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3"/>
        <c:spPr>
          <a:solidFill>
            <a:srgbClr val="AEAEAE"/>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'calculation 3 &amp; 4'!$B$7:$B$8</c:f>
              <c:strCache>
                <c:ptCount val="1"/>
                <c:pt idx="0">
                  <c:v>ATM</c:v>
                </c:pt>
              </c:strCache>
            </c:strRef>
          </c:tx>
          <c:spPr>
            <a:solidFill>
              <a:srgbClr val="540000"/>
            </a:solidFill>
            <a:ln>
              <a:noFill/>
            </a:ln>
            <a:effectLst/>
          </c:spPr>
          <c:invertIfNegative val="0"/>
          <c:cat>
            <c:strRef>
              <c:f>'calculation 3 &amp; 4'!$A$9:$A$13</c:f>
              <c:strCache>
                <c:ptCount val="4"/>
                <c:pt idx="0">
                  <c:v>High</c:v>
                </c:pt>
                <c:pt idx="1">
                  <c:v>Low</c:v>
                </c:pt>
                <c:pt idx="2">
                  <c:v>Medium</c:v>
                </c:pt>
                <c:pt idx="3">
                  <c:v>Premium</c:v>
                </c:pt>
              </c:strCache>
            </c:strRef>
          </c:cat>
          <c:val>
            <c:numRef>
              <c:f>'calculation 3 &amp; 4'!$B$9:$B$13</c:f>
              <c:numCache>
                <c:formatCode>General</c:formatCode>
                <c:ptCount val="4"/>
                <c:pt idx="0">
                  <c:v>281</c:v>
                </c:pt>
                <c:pt idx="1">
                  <c:v>67</c:v>
                </c:pt>
                <c:pt idx="2">
                  <c:v>173</c:v>
                </c:pt>
                <c:pt idx="3">
                  <c:v>714</c:v>
                </c:pt>
              </c:numCache>
            </c:numRef>
          </c:val>
          <c:extLst>
            <c:ext xmlns:c16="http://schemas.microsoft.com/office/drawing/2014/chart" uri="{C3380CC4-5D6E-409C-BE32-E72D297353CC}">
              <c16:uniqueId val="{00000000-FEAC-4E9E-8E5A-4DB4368BF6AF}"/>
            </c:ext>
          </c:extLst>
        </c:ser>
        <c:ser>
          <c:idx val="1"/>
          <c:order val="1"/>
          <c:tx>
            <c:strRef>
              <c:f>'calculation 3 &amp; 4'!$C$7:$C$8</c:f>
              <c:strCache>
                <c:ptCount val="1"/>
                <c:pt idx="0">
                  <c:v>Branch</c:v>
                </c:pt>
              </c:strCache>
            </c:strRef>
          </c:tx>
          <c:spPr>
            <a:solidFill>
              <a:schemeClr val="accent2"/>
            </a:solidFill>
            <a:ln>
              <a:noFill/>
            </a:ln>
            <a:effectLst/>
          </c:spPr>
          <c:invertIfNegative val="0"/>
          <c:cat>
            <c:strRef>
              <c:f>'calculation 3 &amp; 4'!$A$9:$A$13</c:f>
              <c:strCache>
                <c:ptCount val="4"/>
                <c:pt idx="0">
                  <c:v>High</c:v>
                </c:pt>
                <c:pt idx="1">
                  <c:v>Low</c:v>
                </c:pt>
                <c:pt idx="2">
                  <c:v>Medium</c:v>
                </c:pt>
                <c:pt idx="3">
                  <c:v>Premium</c:v>
                </c:pt>
              </c:strCache>
            </c:strRef>
          </c:cat>
          <c:val>
            <c:numRef>
              <c:f>'calculation 3 &amp; 4'!$C$9:$C$13</c:f>
              <c:numCache>
                <c:formatCode>General</c:formatCode>
                <c:ptCount val="4"/>
                <c:pt idx="0">
                  <c:v>272</c:v>
                </c:pt>
                <c:pt idx="1">
                  <c:v>71</c:v>
                </c:pt>
                <c:pt idx="2">
                  <c:v>156</c:v>
                </c:pt>
                <c:pt idx="3">
                  <c:v>745</c:v>
                </c:pt>
              </c:numCache>
            </c:numRef>
          </c:val>
          <c:extLst>
            <c:ext xmlns:c16="http://schemas.microsoft.com/office/drawing/2014/chart" uri="{C3380CC4-5D6E-409C-BE32-E72D297353CC}">
              <c16:uniqueId val="{0000000D-1528-4D63-B513-A4CE6E5BA8D8}"/>
            </c:ext>
          </c:extLst>
        </c:ser>
        <c:ser>
          <c:idx val="2"/>
          <c:order val="2"/>
          <c:tx>
            <c:strRef>
              <c:f>'calculation 3 &amp; 4'!$D$7:$D$8</c:f>
              <c:strCache>
                <c:ptCount val="1"/>
                <c:pt idx="0">
                  <c:v>Online</c:v>
                </c:pt>
              </c:strCache>
            </c:strRef>
          </c:tx>
          <c:spPr>
            <a:solidFill>
              <a:schemeClr val="accent3"/>
            </a:solidFill>
            <a:ln>
              <a:noFill/>
            </a:ln>
            <a:effectLst/>
          </c:spPr>
          <c:invertIfNegative val="0"/>
          <c:cat>
            <c:strRef>
              <c:f>'calculation 3 &amp; 4'!$A$9:$A$13</c:f>
              <c:strCache>
                <c:ptCount val="4"/>
                <c:pt idx="0">
                  <c:v>High</c:v>
                </c:pt>
                <c:pt idx="1">
                  <c:v>Low</c:v>
                </c:pt>
                <c:pt idx="2">
                  <c:v>Medium</c:v>
                </c:pt>
                <c:pt idx="3">
                  <c:v>Premium</c:v>
                </c:pt>
              </c:strCache>
            </c:strRef>
          </c:cat>
          <c:val>
            <c:numRef>
              <c:f>'calculation 3 &amp; 4'!$D$9:$D$13</c:f>
              <c:numCache>
                <c:formatCode>General</c:formatCode>
                <c:ptCount val="4"/>
                <c:pt idx="0">
                  <c:v>263</c:v>
                </c:pt>
                <c:pt idx="1">
                  <c:v>69</c:v>
                </c:pt>
                <c:pt idx="2">
                  <c:v>186</c:v>
                </c:pt>
                <c:pt idx="3">
                  <c:v>717</c:v>
                </c:pt>
              </c:numCache>
            </c:numRef>
          </c:val>
          <c:extLst>
            <c:ext xmlns:c16="http://schemas.microsoft.com/office/drawing/2014/chart" uri="{C3380CC4-5D6E-409C-BE32-E72D297353CC}">
              <c16:uniqueId val="{0000000E-1528-4D63-B513-A4CE6E5BA8D8}"/>
            </c:ext>
          </c:extLst>
        </c:ser>
        <c:ser>
          <c:idx val="3"/>
          <c:order val="3"/>
          <c:tx>
            <c:strRef>
              <c:f>'calculation 3 &amp; 4'!$E$7:$E$8</c:f>
              <c:strCache>
                <c:ptCount val="1"/>
                <c:pt idx="0">
                  <c:v>POS</c:v>
                </c:pt>
              </c:strCache>
            </c:strRef>
          </c:tx>
          <c:spPr>
            <a:solidFill>
              <a:srgbClr val="AEAEAE"/>
            </a:solidFill>
            <a:ln>
              <a:noFill/>
            </a:ln>
            <a:effectLst/>
          </c:spPr>
          <c:invertIfNegative val="0"/>
          <c:cat>
            <c:strRef>
              <c:f>'calculation 3 &amp; 4'!$A$9:$A$13</c:f>
              <c:strCache>
                <c:ptCount val="4"/>
                <c:pt idx="0">
                  <c:v>High</c:v>
                </c:pt>
                <c:pt idx="1">
                  <c:v>Low</c:v>
                </c:pt>
                <c:pt idx="2">
                  <c:v>Medium</c:v>
                </c:pt>
                <c:pt idx="3">
                  <c:v>Premium</c:v>
                </c:pt>
              </c:strCache>
            </c:strRef>
          </c:cat>
          <c:val>
            <c:numRef>
              <c:f>'calculation 3 &amp; 4'!$E$9:$E$13</c:f>
              <c:numCache>
                <c:formatCode>General</c:formatCode>
                <c:ptCount val="4"/>
                <c:pt idx="0">
                  <c:v>274</c:v>
                </c:pt>
                <c:pt idx="1">
                  <c:v>68</c:v>
                </c:pt>
                <c:pt idx="2">
                  <c:v>165</c:v>
                </c:pt>
                <c:pt idx="3">
                  <c:v>779</c:v>
                </c:pt>
              </c:numCache>
            </c:numRef>
          </c:val>
          <c:extLst>
            <c:ext xmlns:c16="http://schemas.microsoft.com/office/drawing/2014/chart" uri="{C3380CC4-5D6E-409C-BE32-E72D297353CC}">
              <c16:uniqueId val="{0000000F-1528-4D63-B513-A4CE6E5BA8D8}"/>
            </c:ext>
          </c:extLst>
        </c:ser>
        <c:dLbls>
          <c:showLegendKey val="0"/>
          <c:showVal val="0"/>
          <c:showCatName val="0"/>
          <c:showSerName val="0"/>
          <c:showPercent val="0"/>
          <c:showBubbleSize val="0"/>
        </c:dLbls>
        <c:gapWidth val="490"/>
        <c:overlap val="100"/>
        <c:axId val="1090269375"/>
        <c:axId val="1090269855"/>
      </c:barChart>
      <c:catAx>
        <c:axId val="1090269375"/>
        <c:scaling>
          <c:orientation val="minMax"/>
        </c:scaling>
        <c:delete val="1"/>
        <c:axPos val="b"/>
        <c:numFmt formatCode="General" sourceLinked="1"/>
        <c:majorTickMark val="none"/>
        <c:minorTickMark val="none"/>
        <c:tickLblPos val="nextTo"/>
        <c:crossAx val="1090269855"/>
        <c:crosses val="autoZero"/>
        <c:auto val="1"/>
        <c:lblAlgn val="ctr"/>
        <c:lblOffset val="100"/>
        <c:noMultiLvlLbl val="0"/>
      </c:catAx>
      <c:valAx>
        <c:axId val="1090269855"/>
        <c:scaling>
          <c:orientation val="minMax"/>
        </c:scaling>
        <c:delete val="1"/>
        <c:axPos val="l"/>
        <c:numFmt formatCode="General" sourceLinked="1"/>
        <c:majorTickMark val="none"/>
        <c:minorTickMark val="none"/>
        <c:tickLblPos val="nextTo"/>
        <c:crossAx val="1090269375"/>
        <c:crosses val="autoZero"/>
        <c:crossBetween val="between"/>
      </c:valAx>
      <c:spPr>
        <a:noFill/>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rgbClr val="AEAEAE"/>
              </a:solidFill>
              <a:latin typeface="+mn-lt"/>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4!PivotTable8</c:name>
    <c:fmtId val="2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3 &amp; 4'!$J$24</c:f>
              <c:strCache>
                <c:ptCount val="1"/>
                <c:pt idx="0">
                  <c:v>Total</c:v>
                </c:pt>
              </c:strCache>
            </c:strRef>
          </c:tx>
          <c:spPr>
            <a:solidFill>
              <a:srgbClr val="FF0000"/>
            </a:solidFill>
            <a:ln>
              <a:noFill/>
            </a:ln>
            <a:effectLst/>
          </c:spPr>
          <c:invertIfNegative val="0"/>
          <c:dLbls>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3 &amp; 4'!$I$25:$I$29</c:f>
              <c:strCache>
                <c:ptCount val="4"/>
                <c:pt idx="0">
                  <c:v>Deposit</c:v>
                </c:pt>
                <c:pt idx="1">
                  <c:v>Payment</c:v>
                </c:pt>
                <c:pt idx="2">
                  <c:v>Transfer</c:v>
                </c:pt>
                <c:pt idx="3">
                  <c:v>Withdrawal</c:v>
                </c:pt>
              </c:strCache>
            </c:strRef>
          </c:cat>
          <c:val>
            <c:numRef>
              <c:f>'calculation 3 &amp; 4'!$J$25:$J$29</c:f>
              <c:numCache>
                <c:formatCode>[&gt;=1000000]"$"0.0,,"M";[&gt;=1000]"$"0.0,"K";0.0</c:formatCode>
                <c:ptCount val="4"/>
                <c:pt idx="0">
                  <c:v>6202065</c:v>
                </c:pt>
                <c:pt idx="1">
                  <c:v>6365745</c:v>
                </c:pt>
                <c:pt idx="2">
                  <c:v>6108848</c:v>
                </c:pt>
                <c:pt idx="3">
                  <c:v>6389431</c:v>
                </c:pt>
              </c:numCache>
            </c:numRef>
          </c:val>
          <c:extLst>
            <c:ext xmlns:c16="http://schemas.microsoft.com/office/drawing/2014/chart" uri="{C3380CC4-5D6E-409C-BE32-E72D297353CC}">
              <c16:uniqueId val="{00000001-0ADE-488B-848F-86C1A6CFAE0B}"/>
            </c:ext>
          </c:extLst>
        </c:ser>
        <c:dLbls>
          <c:dLblPos val="outEnd"/>
          <c:showLegendKey val="0"/>
          <c:showVal val="1"/>
          <c:showCatName val="0"/>
          <c:showSerName val="0"/>
          <c:showPercent val="0"/>
          <c:showBubbleSize val="0"/>
        </c:dLbls>
        <c:gapWidth val="283"/>
        <c:axId val="1090230015"/>
        <c:axId val="1090242495"/>
      </c:barChart>
      <c:catAx>
        <c:axId val="10902300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rgbClr val="AEAEAE"/>
                </a:solidFill>
                <a:latin typeface="+mn-lt"/>
                <a:ea typeface="+mn-ea"/>
                <a:cs typeface="+mn-cs"/>
              </a:defRPr>
            </a:pPr>
            <a:endParaRPr lang="en-NG"/>
          </a:p>
        </c:txPr>
        <c:crossAx val="1090242495"/>
        <c:crosses val="autoZero"/>
        <c:auto val="1"/>
        <c:lblAlgn val="ctr"/>
        <c:lblOffset val="100"/>
        <c:noMultiLvlLbl val="0"/>
      </c:catAx>
      <c:valAx>
        <c:axId val="1090242495"/>
        <c:scaling>
          <c:orientation val="minMax"/>
        </c:scaling>
        <c:delete val="1"/>
        <c:axPos val="b"/>
        <c:numFmt formatCode="[&gt;=1000000]&quot;$&quot;0.0,,&quot;M&quot;;[&gt;=1000]&quot;$&quot;0.0,&quot;K&quot;;0.0" sourceLinked="1"/>
        <c:majorTickMark val="none"/>
        <c:minorTickMark val="none"/>
        <c:tickLblPos val="nextTo"/>
        <c:crossAx val="109023001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4!PivotTable1</c:name>
    <c:fmtId val="2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3 &amp; 4'!$B$15</c:f>
              <c:strCache>
                <c:ptCount val="1"/>
                <c:pt idx="0">
                  <c:v>Total</c:v>
                </c:pt>
              </c:strCache>
            </c:strRef>
          </c:tx>
          <c:spPr>
            <a:solidFill>
              <a:srgbClr val="FF0000"/>
            </a:solidFill>
            <a:ln>
              <a:noFill/>
            </a:ln>
            <a:effectLst/>
          </c:spPr>
          <c:invertIfNegative val="0"/>
          <c:dLbls>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3 &amp; 4'!$A$16:$A$21</c:f>
              <c:strCache>
                <c:ptCount val="5"/>
                <c:pt idx="0">
                  <c:v>Uber</c:v>
                </c:pt>
                <c:pt idx="1">
                  <c:v>Shell</c:v>
                </c:pt>
                <c:pt idx="2">
                  <c:v>LocalStore</c:v>
                </c:pt>
                <c:pt idx="3">
                  <c:v>Apple</c:v>
                </c:pt>
                <c:pt idx="4">
                  <c:v>Airbnb</c:v>
                </c:pt>
              </c:strCache>
            </c:strRef>
          </c:cat>
          <c:val>
            <c:numRef>
              <c:f>'calculation 3 &amp; 4'!$B$16:$B$21</c:f>
              <c:numCache>
                <c:formatCode>[&gt;=1000000]"$"0.0,,"M";[&gt;=1000]"$"0.0,"K";0.0</c:formatCode>
                <c:ptCount val="5"/>
                <c:pt idx="0">
                  <c:v>2479569</c:v>
                </c:pt>
                <c:pt idx="1">
                  <c:v>2529625</c:v>
                </c:pt>
                <c:pt idx="2">
                  <c:v>2579155</c:v>
                </c:pt>
                <c:pt idx="3">
                  <c:v>2617799</c:v>
                </c:pt>
                <c:pt idx="4">
                  <c:v>2984953</c:v>
                </c:pt>
              </c:numCache>
            </c:numRef>
          </c:val>
          <c:extLst>
            <c:ext xmlns:c16="http://schemas.microsoft.com/office/drawing/2014/chart" uri="{C3380CC4-5D6E-409C-BE32-E72D297353CC}">
              <c16:uniqueId val="{00000000-D069-40FD-B016-0377D7477BFA}"/>
            </c:ext>
          </c:extLst>
        </c:ser>
        <c:dLbls>
          <c:dLblPos val="outEnd"/>
          <c:showLegendKey val="0"/>
          <c:showVal val="1"/>
          <c:showCatName val="0"/>
          <c:showSerName val="0"/>
          <c:showPercent val="0"/>
          <c:showBubbleSize val="0"/>
        </c:dLbls>
        <c:gapWidth val="283"/>
        <c:axId val="1090230015"/>
        <c:axId val="1090242495"/>
      </c:barChart>
      <c:catAx>
        <c:axId val="10902300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rgbClr val="AEAEAE"/>
                </a:solidFill>
                <a:latin typeface="+mn-lt"/>
                <a:ea typeface="+mn-ea"/>
                <a:cs typeface="+mn-cs"/>
              </a:defRPr>
            </a:pPr>
            <a:endParaRPr lang="en-NG"/>
          </a:p>
        </c:txPr>
        <c:crossAx val="1090242495"/>
        <c:crosses val="autoZero"/>
        <c:auto val="1"/>
        <c:lblAlgn val="ctr"/>
        <c:lblOffset val="100"/>
        <c:noMultiLvlLbl val="0"/>
      </c:catAx>
      <c:valAx>
        <c:axId val="1090242495"/>
        <c:scaling>
          <c:orientation val="minMax"/>
        </c:scaling>
        <c:delete val="1"/>
        <c:axPos val="b"/>
        <c:numFmt formatCode="[&gt;=1000000]&quot;$&quot;0.0,,&quot;M&quot;;[&gt;=1000]&quot;$&quot;0.0,&quot;K&quot;;0.0" sourceLinked="1"/>
        <c:majorTickMark val="none"/>
        <c:minorTickMark val="none"/>
        <c:tickLblPos val="nextTo"/>
        <c:crossAx val="109023001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4!PivotTable7</c:name>
    <c:fmtId val="21"/>
  </c:pivotSource>
  <c:chart>
    <c:autoTitleDeleted val="1"/>
    <c:pivotFmts>
      <c:pivotFmt>
        <c:idx val="0"/>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AEAEAE"/>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AEAEAE"/>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AEAEAE"/>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AEAEAE"/>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3 &amp; 4'!$G$24</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AEAEAE"/>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3 &amp; 4'!$F$25:$F$29</c:f>
              <c:strCache>
                <c:ptCount val="4"/>
                <c:pt idx="0">
                  <c:v>ATM</c:v>
                </c:pt>
                <c:pt idx="1">
                  <c:v>Branch</c:v>
                </c:pt>
                <c:pt idx="2">
                  <c:v>Online</c:v>
                </c:pt>
                <c:pt idx="3">
                  <c:v>POS</c:v>
                </c:pt>
              </c:strCache>
            </c:strRef>
          </c:cat>
          <c:val>
            <c:numRef>
              <c:f>'calculation 3 &amp; 4'!$G$25:$G$29</c:f>
              <c:numCache>
                <c:formatCode>[&gt;=1000000]"$"0.0,,"M";[&gt;=1000]"$"0.0,"K";0.0</c:formatCode>
                <c:ptCount val="4"/>
                <c:pt idx="0">
                  <c:v>6307573</c:v>
                </c:pt>
                <c:pt idx="1">
                  <c:v>6312508</c:v>
                </c:pt>
                <c:pt idx="2">
                  <c:v>6083120</c:v>
                </c:pt>
                <c:pt idx="3">
                  <c:v>6362888</c:v>
                </c:pt>
              </c:numCache>
            </c:numRef>
          </c:val>
          <c:extLst>
            <c:ext xmlns:c16="http://schemas.microsoft.com/office/drawing/2014/chart" uri="{C3380CC4-5D6E-409C-BE32-E72D297353CC}">
              <c16:uniqueId val="{00000000-D9DD-4424-B2E5-CF26EE811CE6}"/>
            </c:ext>
          </c:extLst>
        </c:ser>
        <c:dLbls>
          <c:showLegendKey val="0"/>
          <c:showVal val="0"/>
          <c:showCatName val="0"/>
          <c:showSerName val="0"/>
          <c:showPercent val="0"/>
          <c:showBubbleSize val="0"/>
        </c:dLbls>
        <c:gapWidth val="500"/>
        <c:overlap val="-23"/>
        <c:axId val="1090194495"/>
        <c:axId val="1090214655"/>
      </c:barChart>
      <c:catAx>
        <c:axId val="10901944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rgbClr val="AEAEAE"/>
                </a:solidFill>
                <a:latin typeface="+mn-lt"/>
                <a:ea typeface="+mn-ea"/>
                <a:cs typeface="+mn-cs"/>
              </a:defRPr>
            </a:pPr>
            <a:endParaRPr lang="en-NG"/>
          </a:p>
        </c:txPr>
        <c:crossAx val="1090214655"/>
        <c:crosses val="autoZero"/>
        <c:auto val="1"/>
        <c:lblAlgn val="ctr"/>
        <c:lblOffset val="100"/>
        <c:noMultiLvlLbl val="0"/>
      </c:catAx>
      <c:valAx>
        <c:axId val="1090214655"/>
        <c:scaling>
          <c:orientation val="minMax"/>
        </c:scaling>
        <c:delete val="1"/>
        <c:axPos val="l"/>
        <c:numFmt formatCode="[&gt;=1000000]&quot;$&quot;0.0,,&quot;M&quot;;[&gt;=1000]&quot;$&quot;0.0,&quot;K&quot;;0.0" sourceLinked="1"/>
        <c:majorTickMark val="none"/>
        <c:minorTickMark val="none"/>
        <c:tickLblPos val="nextTo"/>
        <c:crossAx val="10901944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4!PivotTable9</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sz="1100" b="1">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pivotFmt>
    </c:pivotFmts>
    <c:plotArea>
      <c:layout/>
      <c:barChart>
        <c:barDir val="bar"/>
        <c:grouping val="clustered"/>
        <c:varyColors val="0"/>
        <c:ser>
          <c:idx val="0"/>
          <c:order val="0"/>
          <c:tx>
            <c:strRef>
              <c:f>'calculation 3 &amp; 4'!$U$5</c:f>
              <c:strCache>
                <c:ptCount val="1"/>
                <c:pt idx="0">
                  <c:v>Total</c:v>
                </c:pt>
              </c:strCache>
            </c:strRef>
          </c:tx>
          <c:spPr>
            <a:solidFill>
              <a:srgbClr val="FF0000"/>
            </a:solidFill>
            <a:ln>
              <a:noFill/>
            </a:ln>
            <a:effectLst/>
          </c:spPr>
          <c:invertIfNegative val="0"/>
          <c:dPt>
            <c:idx val="4"/>
            <c:invertIfNegative val="0"/>
            <c:bubble3D val="0"/>
            <c:spPr>
              <a:solidFill>
                <a:srgbClr val="C00000"/>
              </a:solidFill>
              <a:ln>
                <a:noFill/>
              </a:ln>
              <a:effectLst/>
            </c:spPr>
            <c:extLst>
              <c:ext xmlns:c16="http://schemas.microsoft.com/office/drawing/2014/chart" uri="{C3380CC4-5D6E-409C-BE32-E72D297353CC}">
                <c16:uniqueId val="{00000001-3399-4061-BFFF-973147112B44}"/>
              </c:ext>
            </c:extLst>
          </c:dPt>
          <c:dLbls>
            <c:spPr>
              <a:noFill/>
              <a:ln>
                <a:noFill/>
              </a:ln>
              <a:effectLst/>
            </c:spPr>
            <c:txPr>
              <a:bodyPr wrap="square" lIns="38100" tIns="19050" rIns="38100" bIns="19050" anchor="ctr">
                <a:spAutoFit/>
              </a:bodyPr>
              <a:lstStyle/>
              <a:p>
                <a:pPr>
                  <a:defRPr sz="1100" b="1">
                    <a:solidFill>
                      <a:srgbClr val="AEAEAE"/>
                    </a:solidFill>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3 &amp; 4'!$T$6:$T$11</c:f>
              <c:strCache>
                <c:ptCount val="5"/>
                <c:pt idx="0">
                  <c:v>North Daniel</c:v>
                </c:pt>
                <c:pt idx="1">
                  <c:v>Robertaport</c:v>
                </c:pt>
                <c:pt idx="2">
                  <c:v>Caldwellburgh</c:v>
                </c:pt>
                <c:pt idx="3">
                  <c:v>Michaeltown</c:v>
                </c:pt>
                <c:pt idx="4">
                  <c:v>Lisaville</c:v>
                </c:pt>
              </c:strCache>
            </c:strRef>
          </c:cat>
          <c:val>
            <c:numRef>
              <c:f>'calculation 3 &amp; 4'!$U$6:$U$11</c:f>
              <c:numCache>
                <c:formatCode>[&gt;=1000000]"$"0.0,,"M";[&gt;=1000]"$"0.0,"K";0.0</c:formatCode>
                <c:ptCount val="5"/>
                <c:pt idx="0">
                  <c:v>3031719</c:v>
                </c:pt>
                <c:pt idx="1">
                  <c:v>3069907</c:v>
                </c:pt>
                <c:pt idx="2">
                  <c:v>3378768</c:v>
                </c:pt>
                <c:pt idx="3">
                  <c:v>3559601</c:v>
                </c:pt>
                <c:pt idx="4">
                  <c:v>4203646</c:v>
                </c:pt>
              </c:numCache>
            </c:numRef>
          </c:val>
          <c:extLst>
            <c:ext xmlns:c16="http://schemas.microsoft.com/office/drawing/2014/chart" uri="{C3380CC4-5D6E-409C-BE32-E72D297353CC}">
              <c16:uniqueId val="{00000000-3399-4061-BFFF-973147112B44}"/>
            </c:ext>
          </c:extLst>
        </c:ser>
        <c:dLbls>
          <c:dLblPos val="outEnd"/>
          <c:showLegendKey val="0"/>
          <c:showVal val="1"/>
          <c:showCatName val="0"/>
          <c:showSerName val="0"/>
          <c:showPercent val="0"/>
          <c:showBubbleSize val="0"/>
        </c:dLbls>
        <c:gapWidth val="283"/>
        <c:axId val="1090230015"/>
        <c:axId val="1090242495"/>
      </c:barChart>
      <c:catAx>
        <c:axId val="10902300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rgbClr val="AEAEAE"/>
                </a:solidFill>
                <a:latin typeface="+mn-lt"/>
                <a:ea typeface="+mn-ea"/>
                <a:cs typeface="+mn-cs"/>
              </a:defRPr>
            </a:pPr>
            <a:endParaRPr lang="en-NG"/>
          </a:p>
        </c:txPr>
        <c:crossAx val="1090242495"/>
        <c:crosses val="autoZero"/>
        <c:auto val="1"/>
        <c:lblAlgn val="ctr"/>
        <c:lblOffset val="100"/>
        <c:noMultiLvlLbl val="0"/>
      </c:catAx>
      <c:valAx>
        <c:axId val="1090242495"/>
        <c:scaling>
          <c:orientation val="minMax"/>
        </c:scaling>
        <c:delete val="1"/>
        <c:axPos val="b"/>
        <c:numFmt formatCode="[&gt;=1000000]&quot;$&quot;0.0,,&quot;M&quot;;[&gt;=1000]&quot;$&quot;0.0,&quot;K&quot;;0.0" sourceLinked="1"/>
        <c:majorTickMark val="none"/>
        <c:minorTickMark val="none"/>
        <c:tickLblPos val="nextTo"/>
        <c:crossAx val="109023001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4!PivotTable15</c:name>
    <c:fmtId val="3"/>
  </c:pivotSource>
  <c:chart>
    <c:autoTitleDeleted val="1"/>
    <c:pivotFmts>
      <c:pivotFmt>
        <c:idx val="0"/>
        <c:spPr>
          <a:solidFill>
            <a:srgbClr val="FF0000">
              <a:alpha val="92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alpha val="92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alpha val="92000"/>
            </a:srgb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AEAEAE"/>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3 &amp; 4'!$Y$28</c:f>
              <c:strCache>
                <c:ptCount val="1"/>
                <c:pt idx="0">
                  <c:v>Total</c:v>
                </c:pt>
              </c:strCache>
            </c:strRef>
          </c:tx>
          <c:spPr>
            <a:solidFill>
              <a:srgbClr val="FF0000">
                <a:alpha val="92000"/>
              </a:srgb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rgbClr val="AEAEAE"/>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3 &amp; 4'!$X$29:$X$34</c:f>
              <c:strCache>
                <c:ptCount val="5"/>
                <c:pt idx="0">
                  <c:v>West Linda</c:v>
                </c:pt>
                <c:pt idx="1">
                  <c:v>Simonland</c:v>
                </c:pt>
                <c:pt idx="2">
                  <c:v>North Daniel</c:v>
                </c:pt>
                <c:pt idx="3">
                  <c:v>Javiertown</c:v>
                </c:pt>
                <c:pt idx="4">
                  <c:v>Caldwellburgh</c:v>
                </c:pt>
              </c:strCache>
            </c:strRef>
          </c:cat>
          <c:val>
            <c:numRef>
              <c:f>'calculation 3 &amp; 4'!$Y$29:$Y$34</c:f>
              <c:numCache>
                <c:formatCode>[&gt;=1000000]"$"0,,"M";[&gt;=1000]"$"0,"K";0</c:formatCode>
                <c:ptCount val="5"/>
                <c:pt idx="0">
                  <c:v>92231</c:v>
                </c:pt>
                <c:pt idx="1">
                  <c:v>187736.30434782608</c:v>
                </c:pt>
                <c:pt idx="2">
                  <c:v>56944.50588235294</c:v>
                </c:pt>
                <c:pt idx="3">
                  <c:v>113815.28571428571</c:v>
                </c:pt>
                <c:pt idx="4">
                  <c:v>198379.33333333334</c:v>
                </c:pt>
              </c:numCache>
            </c:numRef>
          </c:val>
          <c:extLst>
            <c:ext xmlns:c16="http://schemas.microsoft.com/office/drawing/2014/chart" uri="{C3380CC4-5D6E-409C-BE32-E72D297353CC}">
              <c16:uniqueId val="{00000000-48AA-42CA-921F-202C6299CF2A}"/>
            </c:ext>
          </c:extLst>
        </c:ser>
        <c:dLbls>
          <c:showLegendKey val="0"/>
          <c:showVal val="0"/>
          <c:showCatName val="0"/>
          <c:showSerName val="0"/>
          <c:showPercent val="0"/>
          <c:showBubbleSize val="0"/>
        </c:dLbls>
        <c:gapWidth val="280"/>
        <c:overlap val="-69"/>
        <c:axId val="1174526479"/>
        <c:axId val="1174546159"/>
      </c:barChart>
      <c:catAx>
        <c:axId val="11745264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AEAEAE"/>
                </a:solidFill>
                <a:latin typeface="+mn-lt"/>
                <a:ea typeface="+mn-ea"/>
                <a:cs typeface="+mn-cs"/>
              </a:defRPr>
            </a:pPr>
            <a:endParaRPr lang="en-NG"/>
          </a:p>
        </c:txPr>
        <c:crossAx val="1174546159"/>
        <c:crosses val="autoZero"/>
        <c:auto val="1"/>
        <c:lblAlgn val="ctr"/>
        <c:lblOffset val="100"/>
        <c:noMultiLvlLbl val="0"/>
      </c:catAx>
      <c:valAx>
        <c:axId val="1174546159"/>
        <c:scaling>
          <c:orientation val="minMax"/>
        </c:scaling>
        <c:delete val="1"/>
        <c:axPos val="l"/>
        <c:numFmt formatCode="[&gt;=1000000]&quot;$&quot;0,,&quot;M&quot;;[&gt;=1000]&quot;$&quot;0,&quot;K&quot;;0" sourceLinked="1"/>
        <c:majorTickMark val="none"/>
        <c:minorTickMark val="none"/>
        <c:tickLblPos val="nextTo"/>
        <c:crossAx val="117452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solidFill>
            <a:srgbClr val="AEAEAE"/>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7"/>
            <c:spPr>
              <a:solidFill>
                <a:srgbClr val="FF0000"/>
              </a:solidFill>
              <a:ln w="9525">
                <a:noFill/>
              </a:ln>
              <a:effectLst/>
            </c:spPr>
          </c:marker>
          <c:trendline>
            <c:spPr>
              <a:ln w="15875" cap="rnd" cmpd="sng">
                <a:solidFill>
                  <a:srgbClr val="FF0000">
                    <a:alpha val="60000"/>
                  </a:srgbClr>
                </a:solidFill>
                <a:prstDash val="sysDash"/>
              </a:ln>
              <a:effectLst/>
            </c:spPr>
            <c:trendlineType val="poly"/>
            <c:order val="2"/>
            <c:dispRSqr val="0"/>
            <c:dispEq val="0"/>
          </c:trendline>
          <c:xVal>
            <c:numRef>
              <c:f>'calculation 3 &amp; 4'!$AC$6:$AC$25</c:f>
              <c:numCache>
                <c:formatCode>General</c:formatCode>
                <c:ptCount val="20"/>
                <c:pt idx="0">
                  <c:v>18</c:v>
                </c:pt>
                <c:pt idx="1">
                  <c:v>135</c:v>
                </c:pt>
                <c:pt idx="2">
                  <c:v>140</c:v>
                </c:pt>
                <c:pt idx="3">
                  <c:v>85</c:v>
                </c:pt>
                <c:pt idx="4">
                  <c:v>162</c:v>
                </c:pt>
                <c:pt idx="5">
                  <c:v>133</c:v>
                </c:pt>
                <c:pt idx="6">
                  <c:v>62</c:v>
                </c:pt>
                <c:pt idx="7">
                  <c:v>101</c:v>
                </c:pt>
                <c:pt idx="8">
                  <c:v>42</c:v>
                </c:pt>
                <c:pt idx="9">
                  <c:v>193</c:v>
                </c:pt>
                <c:pt idx="10">
                  <c:v>35</c:v>
                </c:pt>
                <c:pt idx="11">
                  <c:v>197</c:v>
                </c:pt>
                <c:pt idx="12">
                  <c:v>78</c:v>
                </c:pt>
                <c:pt idx="13">
                  <c:v>136</c:v>
                </c:pt>
                <c:pt idx="14">
                  <c:v>23</c:v>
                </c:pt>
                <c:pt idx="15">
                  <c:v>52</c:v>
                </c:pt>
                <c:pt idx="16">
                  <c:v>115</c:v>
                </c:pt>
                <c:pt idx="17">
                  <c:v>46</c:v>
                </c:pt>
                <c:pt idx="18">
                  <c:v>113</c:v>
                </c:pt>
                <c:pt idx="19">
                  <c:v>85</c:v>
                </c:pt>
              </c:numCache>
            </c:numRef>
          </c:xVal>
          <c:yVal>
            <c:numRef>
              <c:f>'calculation 3 &amp; 4'!$AB$6:$AB$25</c:f>
              <c:numCache>
                <c:formatCode>[&gt;=1000000]"$"0,,"M";[&gt;=1000]"$"0,"K";0</c:formatCode>
                <c:ptCount val="20"/>
                <c:pt idx="0">
                  <c:v>198379.33333333334</c:v>
                </c:pt>
                <c:pt idx="1">
                  <c:v>33699.80740740741</c:v>
                </c:pt>
                <c:pt idx="2">
                  <c:v>31665.407142857144</c:v>
                </c:pt>
                <c:pt idx="3">
                  <c:v>56944.50588235294</c:v>
                </c:pt>
                <c:pt idx="4">
                  <c:v>28247.858024691359</c:v>
                </c:pt>
                <c:pt idx="5">
                  <c:v>10594.751879699248</c:v>
                </c:pt>
                <c:pt idx="6">
                  <c:v>29385.774193548386</c:v>
                </c:pt>
                <c:pt idx="7">
                  <c:v>9440.5247524752467</c:v>
                </c:pt>
                <c:pt idx="8">
                  <c:v>113815.28571428571</c:v>
                </c:pt>
                <c:pt idx="9">
                  <c:v>7172.7823834196888</c:v>
                </c:pt>
                <c:pt idx="10">
                  <c:v>55662.171428571426</c:v>
                </c:pt>
                <c:pt idx="11">
                  <c:v>22070.467005076142</c:v>
                </c:pt>
                <c:pt idx="12">
                  <c:v>41981.243589743586</c:v>
                </c:pt>
                <c:pt idx="13">
                  <c:v>17748.286764705881</c:v>
                </c:pt>
                <c:pt idx="14">
                  <c:v>187736.30434782608</c:v>
                </c:pt>
                <c:pt idx="15">
                  <c:v>20948.557692307691</c:v>
                </c:pt>
                <c:pt idx="16">
                  <c:v>29892.53043478261</c:v>
                </c:pt>
                <c:pt idx="17">
                  <c:v>92231</c:v>
                </c:pt>
                <c:pt idx="18">
                  <c:v>9518.5221238938047</c:v>
                </c:pt>
                <c:pt idx="19">
                  <c:v>11238.129411764707</c:v>
                </c:pt>
              </c:numCache>
            </c:numRef>
          </c:yVal>
          <c:smooth val="0"/>
          <c:extLst>
            <c:ext xmlns:c16="http://schemas.microsoft.com/office/drawing/2014/chart" uri="{C3380CC4-5D6E-409C-BE32-E72D297353CC}">
              <c16:uniqueId val="{00000001-2AC9-4D6D-8F6B-551761651B20}"/>
            </c:ext>
          </c:extLst>
        </c:ser>
        <c:dLbls>
          <c:showLegendKey val="0"/>
          <c:showVal val="0"/>
          <c:showCatName val="0"/>
          <c:showSerName val="0"/>
          <c:showPercent val="0"/>
          <c:showBubbleSize val="0"/>
        </c:dLbls>
        <c:axId val="1800941680"/>
        <c:axId val="1800942160"/>
      </c:scatterChart>
      <c:valAx>
        <c:axId val="1800941680"/>
        <c:scaling>
          <c:orientation val="minMax"/>
        </c:scaling>
        <c:delete val="0"/>
        <c:axPos val="b"/>
        <c:majorGridlines>
          <c:spPr>
            <a:ln w="9525" cap="flat" cmpd="sng" algn="ctr">
              <a:solidFill>
                <a:srgbClr val="AEAEAE">
                  <a:alpha val="23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rgbClr val="AEAEAE"/>
                </a:solidFill>
                <a:latin typeface="+mn-lt"/>
                <a:ea typeface="+mn-ea"/>
                <a:cs typeface="+mn-cs"/>
              </a:defRPr>
            </a:pPr>
            <a:endParaRPr lang="en-NG"/>
          </a:p>
        </c:txPr>
        <c:crossAx val="1800942160"/>
        <c:crosses val="autoZero"/>
        <c:crossBetween val="midCat"/>
      </c:valAx>
      <c:valAx>
        <c:axId val="1800942160"/>
        <c:scaling>
          <c:orientation val="minMax"/>
        </c:scaling>
        <c:delete val="0"/>
        <c:axPos val="l"/>
        <c:majorGridlines>
          <c:spPr>
            <a:ln w="9525" cap="flat" cmpd="sng" algn="ctr">
              <a:solidFill>
                <a:srgbClr val="AEAEAE">
                  <a:alpha val="19000"/>
                </a:srgbClr>
              </a:solidFill>
              <a:round/>
            </a:ln>
            <a:effectLst/>
          </c:spPr>
        </c:majorGridlines>
        <c:numFmt formatCode="[&gt;=1000000]&quot;$&quot;0,,&quot;M&quot;;[&gt;=1000]&quot;$&quot;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rgbClr val="AEAEAE"/>
                </a:solidFill>
                <a:latin typeface="+mn-lt"/>
                <a:ea typeface="+mn-ea"/>
                <a:cs typeface="+mn-cs"/>
              </a:defRPr>
            </a:pPr>
            <a:endParaRPr lang="en-NG"/>
          </a:p>
        </c:txPr>
        <c:crossAx val="1800941680"/>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4!PivotTable12</c:name>
    <c:fmtId val="10"/>
  </c:pivotSource>
  <c:chart>
    <c:autoTitleDeleted val="1"/>
    <c:pivotFmts>
      <c:pivotFmt>
        <c:idx val="0"/>
        <c:spPr>
          <a:solidFill>
            <a:schemeClr val="accent1"/>
          </a:solidFill>
          <a:ln w="28575" cap="rnd">
            <a:solidFill>
              <a:srgbClr val="FF0000"/>
            </a:solidFill>
            <a:round/>
          </a:ln>
          <a:effectLst/>
        </c:spPr>
        <c:marker>
          <c:symbol val="diamond"/>
          <c:size val="4"/>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diamond"/>
          <c:size val="4"/>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diamond"/>
          <c:size val="4"/>
          <c:spPr>
            <a:solidFill>
              <a:srgbClr val="ED885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3 &amp; 4'!$AB$28</c:f>
              <c:strCache>
                <c:ptCount val="1"/>
                <c:pt idx="0">
                  <c:v>Total</c:v>
                </c:pt>
              </c:strCache>
            </c:strRef>
          </c:tx>
          <c:spPr>
            <a:ln w="28575" cap="rnd">
              <a:solidFill>
                <a:srgbClr val="FF0000"/>
              </a:solidFill>
              <a:round/>
            </a:ln>
            <a:effectLst/>
          </c:spPr>
          <c:marker>
            <c:symbol val="diamond"/>
            <c:size val="4"/>
            <c:spPr>
              <a:solidFill>
                <a:srgbClr val="ED8855"/>
              </a:solidFill>
              <a:ln w="9525">
                <a:solidFill>
                  <a:schemeClr val="accent1"/>
                </a:solidFill>
              </a:ln>
              <a:effectLst/>
            </c:spPr>
          </c:marker>
          <c:trendline>
            <c:spPr>
              <a:ln w="19050" cap="rnd">
                <a:solidFill>
                  <a:srgbClr val="C00000"/>
                </a:solidFill>
                <a:prstDash val="sysDot"/>
              </a:ln>
              <a:effectLst/>
            </c:spPr>
            <c:trendlineType val="linear"/>
            <c:dispRSqr val="0"/>
            <c:dispEq val="0"/>
          </c:trendline>
          <c:cat>
            <c:strRef>
              <c:f>'calculation 3 &amp; 4'!$AA$29:$AA$49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'calculation 3 &amp; 4'!$AB$29:$AB$49</c:f>
              <c:numCache>
                <c:formatCode>0%</c:formatCode>
                <c:ptCount val="20"/>
                <c:pt idx="0">
                  <c:v>1.606541693744753</c:v>
                </c:pt>
                <c:pt idx="1">
                  <c:v>0.39503015469394637</c:v>
                </c:pt>
                <c:pt idx="2">
                  <c:v>0.37364840031047769</c:v>
                </c:pt>
                <c:pt idx="3">
                  <c:v>0.50193257527473056</c:v>
                </c:pt>
                <c:pt idx="4">
                  <c:v>0.32915114507753562</c:v>
                </c:pt>
                <c:pt idx="5">
                  <c:v>0.41276215722969672</c:v>
                </c:pt>
                <c:pt idx="6">
                  <c:v>0.40618006652434452</c:v>
                </c:pt>
                <c:pt idx="7">
                  <c:v>0.30032484597982478</c:v>
                </c:pt>
                <c:pt idx="8">
                  <c:v>0.16659167922575205</c:v>
                </c:pt>
                <c:pt idx="9">
                  <c:v>0.56944706628760733</c:v>
                </c:pt>
                <c:pt idx="10">
                  <c:v>0.59277167052991531</c:v>
                </c:pt>
                <c:pt idx="11">
                  <c:v>7.601494150752372E-2</c:v>
                </c:pt>
                <c:pt idx="12">
                  <c:v>5.3785844627632584E-2</c:v>
                </c:pt>
                <c:pt idx="13">
                  <c:v>0.29915712024382024</c:v>
                </c:pt>
                <c:pt idx="14">
                  <c:v>0.19705054434119973</c:v>
                </c:pt>
                <c:pt idx="15">
                  <c:v>0.11568902718155269</c:v>
                </c:pt>
                <c:pt idx="16">
                  <c:v>1.3856547527462406</c:v>
                </c:pt>
                <c:pt idx="17">
                  <c:v>0.4186895845139248</c:v>
                </c:pt>
                <c:pt idx="18">
                  <c:v>0.52617381876544012</c:v>
                </c:pt>
                <c:pt idx="19">
                  <c:v>0.17321965093928487</c:v>
                </c:pt>
              </c:numCache>
            </c:numRef>
          </c:val>
          <c:smooth val="1"/>
          <c:extLst>
            <c:ext xmlns:c16="http://schemas.microsoft.com/office/drawing/2014/chart" uri="{C3380CC4-5D6E-409C-BE32-E72D297353CC}">
              <c16:uniqueId val="{00000001-7DC1-454E-9E90-D6C187897CF8}"/>
            </c:ext>
          </c:extLst>
        </c:ser>
        <c:dLbls>
          <c:showLegendKey val="0"/>
          <c:showVal val="0"/>
          <c:showCatName val="0"/>
          <c:showSerName val="0"/>
          <c:showPercent val="0"/>
          <c:showBubbleSize val="0"/>
        </c:dLbls>
        <c:marker val="1"/>
        <c:smooth val="0"/>
        <c:axId val="591607968"/>
        <c:axId val="591608448"/>
      </c:lineChart>
      <c:catAx>
        <c:axId val="5916079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AEAEAE"/>
                </a:solidFill>
                <a:latin typeface="+mn-lt"/>
                <a:ea typeface="+mn-ea"/>
                <a:cs typeface="+mn-cs"/>
              </a:defRPr>
            </a:pPr>
            <a:endParaRPr lang="en-NG"/>
          </a:p>
        </c:txPr>
        <c:crossAx val="591608448"/>
        <c:crosses val="autoZero"/>
        <c:auto val="1"/>
        <c:lblAlgn val="ctr"/>
        <c:lblOffset val="100"/>
        <c:tickLblSkip val="5"/>
        <c:noMultiLvlLbl val="0"/>
      </c:catAx>
      <c:valAx>
        <c:axId val="591608448"/>
        <c:scaling>
          <c:orientation val="minMax"/>
        </c:scaling>
        <c:delete val="0"/>
        <c:axPos val="l"/>
        <c:majorGridlines>
          <c:spPr>
            <a:ln w="9525" cap="flat" cmpd="sng" algn="ctr">
              <a:solidFill>
                <a:srgbClr val="FF0000">
                  <a:alpha val="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AEAEAE"/>
                </a:solidFill>
                <a:latin typeface="+mn-lt"/>
                <a:ea typeface="+mn-ea"/>
                <a:cs typeface="+mn-cs"/>
              </a:defRPr>
            </a:pPr>
            <a:endParaRPr lang="en-NG"/>
          </a:p>
        </c:txPr>
        <c:crossAx val="5916079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4!PivotTable19</c:name>
    <c:fmtId val="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0000"/>
          </a:solidFill>
          <a:ln>
            <a:noFill/>
          </a:ln>
          <a:effectLst/>
        </c:spPr>
        <c:dLbl>
          <c:idx val="0"/>
          <c:spPr>
            <a:noFill/>
            <a:ln>
              <a:noFill/>
            </a:ln>
            <a:effectLst/>
          </c:spPr>
          <c:txPr>
            <a:bodyPr wrap="square" lIns="38100" tIns="19050" rIns="38100" bIns="19050" anchor="ctr">
              <a:spAutoFit/>
            </a:bodyPr>
            <a:lstStyle/>
            <a:p>
              <a:pPr>
                <a:defRPr>
                  <a:solidFill>
                    <a:srgbClr val="AEAEAE"/>
                  </a:solidFill>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sz="1100" b="1">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pivotFmt>
      <c:pivotFmt>
        <c:idx val="21"/>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sz="1100" b="1">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00000"/>
          </a:solidFill>
          <a:ln>
            <a:noFill/>
          </a:ln>
          <a:effectLst/>
        </c:spPr>
      </c:pivotFmt>
      <c:pivotFmt>
        <c:idx val="23"/>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sz="1100" b="1">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C00000"/>
          </a:solidFill>
          <a:ln>
            <a:noFill/>
          </a:ln>
          <a:effectLst/>
        </c:spPr>
      </c:pivotFmt>
      <c:pivotFmt>
        <c:idx val="25"/>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sz="1100" b="1">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alpha val="97000"/>
            </a:srgbClr>
          </a:solidFill>
          <a:ln>
            <a:noFill/>
          </a:ln>
          <a:effectLst/>
        </c:spPr>
      </c:pivotFmt>
      <c:pivotFmt>
        <c:idx val="27"/>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sz="1100" b="1">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0000">
              <a:alpha val="97000"/>
            </a:srgbClr>
          </a:solidFill>
          <a:ln>
            <a:noFill/>
          </a:ln>
          <a:effectLst/>
        </c:spPr>
      </c:pivotFmt>
      <c:pivotFmt>
        <c:idx val="29"/>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sz="1200" b="1">
                  <a:solidFill>
                    <a:srgbClr val="AEAEAE"/>
                  </a:solidFill>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0000">
              <a:alpha val="97000"/>
            </a:srgbClr>
          </a:solidFill>
          <a:ln>
            <a:noFill/>
          </a:ln>
          <a:effectLst/>
        </c:spPr>
      </c:pivotFmt>
    </c:pivotFmts>
    <c:plotArea>
      <c:layout/>
      <c:barChart>
        <c:barDir val="bar"/>
        <c:grouping val="clustered"/>
        <c:varyColors val="0"/>
        <c:ser>
          <c:idx val="0"/>
          <c:order val="0"/>
          <c:tx>
            <c:strRef>
              <c:f>'calculation 3 &amp; 4'!$AH$4</c:f>
              <c:strCache>
                <c:ptCount val="1"/>
                <c:pt idx="0">
                  <c:v>Total</c:v>
                </c:pt>
              </c:strCache>
            </c:strRef>
          </c:tx>
          <c:spPr>
            <a:solidFill>
              <a:srgbClr val="FF0000"/>
            </a:solidFill>
            <a:ln>
              <a:noFill/>
            </a:ln>
            <a:effectLst/>
          </c:spPr>
          <c:invertIfNegative val="0"/>
          <c:dPt>
            <c:idx val="1"/>
            <c:invertIfNegative val="0"/>
            <c:bubble3D val="0"/>
            <c:spPr>
              <a:solidFill>
                <a:srgbClr val="FF0000">
                  <a:alpha val="97000"/>
                </a:srgbClr>
              </a:solidFill>
              <a:ln>
                <a:noFill/>
              </a:ln>
              <a:effectLst/>
            </c:spPr>
            <c:extLst>
              <c:ext xmlns:c16="http://schemas.microsoft.com/office/drawing/2014/chart" uri="{C3380CC4-5D6E-409C-BE32-E72D297353CC}">
                <c16:uniqueId val="{00000001-B127-4491-B3A9-1910A5825039}"/>
              </c:ext>
            </c:extLst>
          </c:dPt>
          <c:dPt>
            <c:idx val="4"/>
            <c:invertIfNegative val="0"/>
            <c:bubble3D val="0"/>
            <c:extLst>
              <c:ext xmlns:c16="http://schemas.microsoft.com/office/drawing/2014/chart" uri="{C3380CC4-5D6E-409C-BE32-E72D297353CC}">
                <c16:uniqueId val="{00000001-A77C-4221-A103-E4E44833DAA9}"/>
              </c:ext>
            </c:extLst>
          </c:dPt>
          <c:dLbls>
            <c:spPr>
              <a:noFill/>
              <a:ln>
                <a:noFill/>
              </a:ln>
              <a:effectLst/>
            </c:spPr>
            <c:txPr>
              <a:bodyPr wrap="square" lIns="38100" tIns="19050" rIns="38100" bIns="19050" anchor="ctr">
                <a:spAutoFit/>
              </a:bodyPr>
              <a:lstStyle/>
              <a:p>
                <a:pPr>
                  <a:defRPr sz="1200" b="1">
                    <a:solidFill>
                      <a:srgbClr val="AEAEAE"/>
                    </a:solidFill>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3 &amp; 4'!$AG$5:$AG$10</c:f>
              <c:strCache>
                <c:ptCount val="5"/>
                <c:pt idx="0">
                  <c:v>Fraud</c:v>
                </c:pt>
                <c:pt idx="1">
                  <c:v>Technical Issue</c:v>
                </c:pt>
                <c:pt idx="2">
                  <c:v>Service Delay</c:v>
                </c:pt>
                <c:pt idx="3">
                  <c:v>Others</c:v>
                </c:pt>
                <c:pt idx="4">
                  <c:v>Charges Dispute</c:v>
                </c:pt>
              </c:strCache>
            </c:strRef>
          </c:cat>
          <c:val>
            <c:numRef>
              <c:f>'calculation 3 &amp; 4'!$AH$5:$AH$10</c:f>
              <c:numCache>
                <c:formatCode>0</c:formatCode>
                <c:ptCount val="5"/>
                <c:pt idx="0">
                  <c:v>142</c:v>
                </c:pt>
                <c:pt idx="1">
                  <c:v>148</c:v>
                </c:pt>
                <c:pt idx="2">
                  <c:v>159</c:v>
                </c:pt>
                <c:pt idx="3">
                  <c:v>167</c:v>
                </c:pt>
                <c:pt idx="4">
                  <c:v>184</c:v>
                </c:pt>
              </c:numCache>
            </c:numRef>
          </c:val>
          <c:extLst>
            <c:ext xmlns:c16="http://schemas.microsoft.com/office/drawing/2014/chart" uri="{C3380CC4-5D6E-409C-BE32-E72D297353CC}">
              <c16:uniqueId val="{00000002-A77C-4221-A103-E4E44833DAA9}"/>
            </c:ext>
          </c:extLst>
        </c:ser>
        <c:dLbls>
          <c:dLblPos val="outEnd"/>
          <c:showLegendKey val="0"/>
          <c:showVal val="1"/>
          <c:showCatName val="0"/>
          <c:showSerName val="0"/>
          <c:showPercent val="0"/>
          <c:showBubbleSize val="0"/>
        </c:dLbls>
        <c:gapWidth val="163"/>
        <c:overlap val="-10"/>
        <c:axId val="1090230015"/>
        <c:axId val="1090242495"/>
      </c:barChart>
      <c:catAx>
        <c:axId val="10902300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rgbClr val="AEAEAE"/>
                </a:solidFill>
                <a:latin typeface="+mn-lt"/>
                <a:ea typeface="+mn-ea"/>
                <a:cs typeface="+mn-cs"/>
              </a:defRPr>
            </a:pPr>
            <a:endParaRPr lang="en-NG"/>
          </a:p>
        </c:txPr>
        <c:crossAx val="1090242495"/>
        <c:crosses val="autoZero"/>
        <c:auto val="1"/>
        <c:lblAlgn val="ctr"/>
        <c:lblOffset val="100"/>
        <c:noMultiLvlLbl val="0"/>
      </c:catAx>
      <c:valAx>
        <c:axId val="1090242495"/>
        <c:scaling>
          <c:orientation val="minMax"/>
        </c:scaling>
        <c:delete val="1"/>
        <c:axPos val="b"/>
        <c:numFmt formatCode="0" sourceLinked="1"/>
        <c:majorTickMark val="none"/>
        <c:minorTickMark val="none"/>
        <c:tickLblPos val="nextTo"/>
        <c:crossAx val="109023001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4!PivotTable20</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EAE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3 &amp; 4'!$AH$12:$AH$13</c:f>
              <c:strCache>
                <c:ptCount val="1"/>
                <c:pt idx="0">
                  <c:v>Corporate</c:v>
                </c:pt>
              </c:strCache>
            </c:strRef>
          </c:tx>
          <c:spPr>
            <a:solidFill>
              <a:srgbClr val="FF0000"/>
            </a:solidFill>
            <a:ln>
              <a:noFill/>
            </a:ln>
            <a:effectLst/>
          </c:spPr>
          <c:invertIfNegative val="0"/>
          <c:cat>
            <c:strRef>
              <c:f>'calculation 3 &amp; 4'!$AG$14:$AG$19</c:f>
              <c:strCache>
                <c:ptCount val="5"/>
                <c:pt idx="0">
                  <c:v>Fraud</c:v>
                </c:pt>
                <c:pt idx="1">
                  <c:v>Technical Issue</c:v>
                </c:pt>
                <c:pt idx="2">
                  <c:v>Service Delay</c:v>
                </c:pt>
                <c:pt idx="3">
                  <c:v>Others</c:v>
                </c:pt>
                <c:pt idx="4">
                  <c:v>Charges Dispute</c:v>
                </c:pt>
              </c:strCache>
            </c:strRef>
          </c:cat>
          <c:val>
            <c:numRef>
              <c:f>'calculation 3 &amp; 4'!$AH$14:$AH$19</c:f>
              <c:numCache>
                <c:formatCode>0</c:formatCode>
                <c:ptCount val="5"/>
                <c:pt idx="0">
                  <c:v>44</c:v>
                </c:pt>
                <c:pt idx="1">
                  <c:v>46</c:v>
                </c:pt>
                <c:pt idx="2">
                  <c:v>53</c:v>
                </c:pt>
                <c:pt idx="3">
                  <c:v>62</c:v>
                </c:pt>
                <c:pt idx="4">
                  <c:v>64</c:v>
                </c:pt>
              </c:numCache>
            </c:numRef>
          </c:val>
          <c:extLst>
            <c:ext xmlns:c16="http://schemas.microsoft.com/office/drawing/2014/chart" uri="{C3380CC4-5D6E-409C-BE32-E72D297353CC}">
              <c16:uniqueId val="{00000000-116F-487D-A3F0-769360221262}"/>
            </c:ext>
          </c:extLst>
        </c:ser>
        <c:ser>
          <c:idx val="1"/>
          <c:order val="1"/>
          <c:tx>
            <c:strRef>
              <c:f>'calculation 3 &amp; 4'!$AI$12:$AI$13</c:f>
              <c:strCache>
                <c:ptCount val="1"/>
                <c:pt idx="0">
                  <c:v>Private</c:v>
                </c:pt>
              </c:strCache>
            </c:strRef>
          </c:tx>
          <c:spPr>
            <a:solidFill>
              <a:srgbClr val="AEAEAE"/>
            </a:solidFill>
            <a:ln>
              <a:noFill/>
            </a:ln>
            <a:effectLst/>
          </c:spPr>
          <c:invertIfNegative val="0"/>
          <c:cat>
            <c:strRef>
              <c:f>'calculation 3 &amp; 4'!$AG$14:$AG$19</c:f>
              <c:strCache>
                <c:ptCount val="5"/>
                <c:pt idx="0">
                  <c:v>Fraud</c:v>
                </c:pt>
                <c:pt idx="1">
                  <c:v>Technical Issue</c:v>
                </c:pt>
                <c:pt idx="2">
                  <c:v>Service Delay</c:v>
                </c:pt>
                <c:pt idx="3">
                  <c:v>Others</c:v>
                </c:pt>
                <c:pt idx="4">
                  <c:v>Charges Dispute</c:v>
                </c:pt>
              </c:strCache>
            </c:strRef>
          </c:cat>
          <c:val>
            <c:numRef>
              <c:f>'calculation 3 &amp; 4'!$AI$14:$AI$19</c:f>
              <c:numCache>
                <c:formatCode>0</c:formatCode>
                <c:ptCount val="5"/>
                <c:pt idx="0">
                  <c:v>7</c:v>
                </c:pt>
                <c:pt idx="1">
                  <c:v>18</c:v>
                </c:pt>
                <c:pt idx="2">
                  <c:v>8</c:v>
                </c:pt>
                <c:pt idx="3">
                  <c:v>16</c:v>
                </c:pt>
                <c:pt idx="4">
                  <c:v>18</c:v>
                </c:pt>
              </c:numCache>
            </c:numRef>
          </c:val>
          <c:extLst>
            <c:ext xmlns:c16="http://schemas.microsoft.com/office/drawing/2014/chart" uri="{C3380CC4-5D6E-409C-BE32-E72D297353CC}">
              <c16:uniqueId val="{00000001-1C39-4AA4-B515-DC02F25590F9}"/>
            </c:ext>
          </c:extLst>
        </c:ser>
        <c:ser>
          <c:idx val="2"/>
          <c:order val="2"/>
          <c:tx>
            <c:strRef>
              <c:f>'calculation 3 &amp; 4'!$AJ$12:$AJ$13</c:f>
              <c:strCache>
                <c:ptCount val="1"/>
                <c:pt idx="0">
                  <c:v>Retail</c:v>
                </c:pt>
              </c:strCache>
            </c:strRef>
          </c:tx>
          <c:spPr>
            <a:solidFill>
              <a:schemeClr val="accent3"/>
            </a:solidFill>
            <a:ln>
              <a:noFill/>
            </a:ln>
            <a:effectLst/>
          </c:spPr>
          <c:invertIfNegative val="0"/>
          <c:cat>
            <c:strRef>
              <c:f>'calculation 3 &amp; 4'!$AG$14:$AG$19</c:f>
              <c:strCache>
                <c:ptCount val="5"/>
                <c:pt idx="0">
                  <c:v>Fraud</c:v>
                </c:pt>
                <c:pt idx="1">
                  <c:v>Technical Issue</c:v>
                </c:pt>
                <c:pt idx="2">
                  <c:v>Service Delay</c:v>
                </c:pt>
                <c:pt idx="3">
                  <c:v>Others</c:v>
                </c:pt>
                <c:pt idx="4">
                  <c:v>Charges Dispute</c:v>
                </c:pt>
              </c:strCache>
            </c:strRef>
          </c:cat>
          <c:val>
            <c:numRef>
              <c:f>'calculation 3 &amp; 4'!$AJ$14:$AJ$19</c:f>
              <c:numCache>
                <c:formatCode>0</c:formatCode>
                <c:ptCount val="5"/>
                <c:pt idx="0">
                  <c:v>91</c:v>
                </c:pt>
                <c:pt idx="1">
                  <c:v>84</c:v>
                </c:pt>
                <c:pt idx="2">
                  <c:v>98</c:v>
                </c:pt>
                <c:pt idx="3">
                  <c:v>89</c:v>
                </c:pt>
                <c:pt idx="4">
                  <c:v>102</c:v>
                </c:pt>
              </c:numCache>
            </c:numRef>
          </c:val>
          <c:extLst>
            <c:ext xmlns:c16="http://schemas.microsoft.com/office/drawing/2014/chart" uri="{C3380CC4-5D6E-409C-BE32-E72D297353CC}">
              <c16:uniqueId val="{00000002-1C39-4AA4-B515-DC02F25590F9}"/>
            </c:ext>
          </c:extLst>
        </c:ser>
        <c:dLbls>
          <c:showLegendKey val="0"/>
          <c:showVal val="0"/>
          <c:showCatName val="0"/>
          <c:showSerName val="0"/>
          <c:showPercent val="0"/>
          <c:showBubbleSize val="0"/>
        </c:dLbls>
        <c:gapWidth val="209"/>
        <c:overlap val="28"/>
        <c:axId val="357409375"/>
        <c:axId val="357418495"/>
      </c:barChart>
      <c:catAx>
        <c:axId val="3574093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AEAEAE"/>
                </a:solidFill>
                <a:latin typeface="+mn-lt"/>
                <a:ea typeface="+mn-ea"/>
                <a:cs typeface="+mn-cs"/>
              </a:defRPr>
            </a:pPr>
            <a:endParaRPr lang="en-NG"/>
          </a:p>
        </c:txPr>
        <c:crossAx val="357418495"/>
        <c:crosses val="autoZero"/>
        <c:auto val="1"/>
        <c:lblAlgn val="ctr"/>
        <c:lblOffset val="100"/>
        <c:noMultiLvlLbl val="0"/>
      </c:catAx>
      <c:valAx>
        <c:axId val="3574184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AEAEAE"/>
                </a:solidFill>
                <a:latin typeface="+mn-lt"/>
                <a:ea typeface="+mn-ea"/>
                <a:cs typeface="+mn-cs"/>
              </a:defRPr>
            </a:pPr>
            <a:endParaRPr lang="en-NG"/>
          </a:p>
        </c:txPr>
        <c:crossAx val="357409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bg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4!PivotTable37</c:name>
    <c:fmtId val="3"/>
  </c:pivotSource>
  <c:chart>
    <c:autoTitleDeleted val="1"/>
    <c:pivotFmts>
      <c:pivotFmt>
        <c:idx val="0"/>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3 &amp; 4'!$AP$21</c:f>
              <c:strCache>
                <c:ptCount val="1"/>
                <c:pt idx="0">
                  <c:v>Total</c:v>
                </c:pt>
              </c:strCache>
            </c:strRef>
          </c:tx>
          <c:spPr>
            <a:ln w="28575" cap="rnd">
              <a:solidFill>
                <a:srgbClr val="FF0000"/>
              </a:solidFill>
              <a:round/>
            </a:ln>
            <a:effectLst/>
          </c:spPr>
          <c:marker>
            <c:symbol val="none"/>
          </c:marker>
          <c:cat>
            <c:strRef>
              <c:f>'calculation 3 &amp; 4'!$AP$22</c:f>
              <c:strCache>
                <c:ptCount val="1"/>
                <c:pt idx="0">
                  <c:v>Total</c:v>
                </c:pt>
              </c:strCache>
            </c:strRef>
          </c:cat>
          <c:val>
            <c:numRef>
              <c:f>'calculation 3 &amp; 4'!$AP$22</c:f>
              <c:numCache>
                <c:formatCode>General</c:formatCode>
                <c:ptCount val="1"/>
                <c:pt idx="0">
                  <c:v>800</c:v>
                </c:pt>
              </c:numCache>
            </c:numRef>
          </c:val>
          <c:smooth val="1"/>
          <c:extLst>
            <c:ext xmlns:c16="http://schemas.microsoft.com/office/drawing/2014/chart" uri="{C3380CC4-5D6E-409C-BE32-E72D297353CC}">
              <c16:uniqueId val="{00000000-9D3A-4547-B077-96F0E2AF8466}"/>
            </c:ext>
          </c:extLst>
        </c:ser>
        <c:dLbls>
          <c:showLegendKey val="0"/>
          <c:showVal val="0"/>
          <c:showCatName val="0"/>
          <c:showSerName val="0"/>
          <c:showPercent val="0"/>
          <c:showBubbleSize val="0"/>
        </c:dLbls>
        <c:smooth val="0"/>
        <c:axId val="1205800015"/>
        <c:axId val="1205814895"/>
      </c:lineChart>
      <c:catAx>
        <c:axId val="1205800015"/>
        <c:scaling>
          <c:orientation val="minMax"/>
        </c:scaling>
        <c:delete val="1"/>
        <c:axPos val="b"/>
        <c:numFmt formatCode="General" sourceLinked="1"/>
        <c:majorTickMark val="none"/>
        <c:minorTickMark val="none"/>
        <c:tickLblPos val="nextTo"/>
        <c:crossAx val="1205814895"/>
        <c:crosses val="autoZero"/>
        <c:auto val="1"/>
        <c:lblAlgn val="ctr"/>
        <c:lblOffset val="100"/>
        <c:noMultiLvlLbl val="0"/>
      </c:catAx>
      <c:valAx>
        <c:axId val="1205814895"/>
        <c:scaling>
          <c:orientation val="minMax"/>
        </c:scaling>
        <c:delete val="1"/>
        <c:axPos val="l"/>
        <c:numFmt formatCode="General" sourceLinked="1"/>
        <c:majorTickMark val="none"/>
        <c:minorTickMark val="none"/>
        <c:tickLblPos val="nextTo"/>
        <c:crossAx val="120580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4!PivotTable39</c:name>
    <c:fmtId val="8"/>
  </c:pivotSource>
  <c:chart>
    <c:autoTitleDeleted val="1"/>
    <c:pivotFmts>
      <c:pivotFmt>
        <c:idx val="0"/>
        <c:spPr>
          <a:solidFill>
            <a:schemeClr val="accent1"/>
          </a:solidFill>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9"/>
        <c:marker>
          <c:symbol val="circle"/>
          <c:size val="7"/>
          <c:spPr>
            <a:solidFill>
              <a:srgbClr val="262626"/>
            </a:solidFill>
          </c:spPr>
        </c:marker>
      </c:pivotFmt>
      <c:pivotFmt>
        <c:idx val="10"/>
        <c:marker>
          <c:symbol val="circle"/>
          <c:size val="6"/>
          <c:spPr>
            <a:solidFill>
              <a:srgbClr val="C00000"/>
            </a:solidFill>
          </c:spPr>
        </c:marker>
      </c:pivotFmt>
    </c:pivotFmts>
    <c:plotArea>
      <c:layout/>
      <c:lineChart>
        <c:grouping val="standard"/>
        <c:varyColors val="0"/>
        <c:ser>
          <c:idx val="0"/>
          <c:order val="0"/>
          <c:tx>
            <c:strRef>
              <c:f>'calculation 3 &amp; 4'!$AI$48</c:f>
              <c:strCache>
                <c:ptCount val="1"/>
                <c:pt idx="0">
                  <c:v>Total</c:v>
                </c:pt>
              </c:strCache>
            </c:strRef>
          </c:tx>
          <c:spPr>
            <a:ln w="28575" cap="rnd">
              <a:solidFill>
                <a:srgbClr val="FF0000"/>
              </a:solidFill>
              <a:round/>
            </a:ln>
            <a:effectLst/>
          </c:spPr>
          <c:marker>
            <c:symbol val="none"/>
          </c:marker>
          <c:dPt>
            <c:idx val="0"/>
            <c:marker>
              <c:symbol val="circle"/>
              <c:size val="7"/>
              <c:spPr>
                <a:solidFill>
                  <a:srgbClr val="262626"/>
                </a:solidFill>
              </c:spPr>
            </c:marker>
            <c:bubble3D val="0"/>
            <c:extLst>
              <c:ext xmlns:c16="http://schemas.microsoft.com/office/drawing/2014/chart" uri="{C3380CC4-5D6E-409C-BE32-E72D297353CC}">
                <c16:uniqueId val="{00000005-4A4F-47D4-A31F-C2C9DF90CAE5}"/>
              </c:ext>
            </c:extLst>
          </c:dPt>
          <c:dPt>
            <c:idx val="11"/>
            <c:marker>
              <c:symbol val="circle"/>
              <c:size val="6"/>
              <c:spPr>
                <a:solidFill>
                  <a:srgbClr val="C00000"/>
                </a:solidFill>
              </c:spPr>
            </c:marker>
            <c:bubble3D val="0"/>
            <c:extLst>
              <c:ext xmlns:c16="http://schemas.microsoft.com/office/drawing/2014/chart" uri="{C3380CC4-5D6E-409C-BE32-E72D297353CC}">
                <c16:uniqueId val="{00000006-4A4F-47D4-A31F-C2C9DF90CAE5}"/>
              </c:ext>
            </c:extLst>
          </c:dPt>
          <c:cat>
            <c:strRef>
              <c:f>'calculation 3 &amp; 4'!$AH$49:$AH$61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3 &amp; 4'!$AI$49:$AI$61</c:f>
              <c:numCache>
                <c:formatCode>General</c:formatCode>
                <c:ptCount val="12"/>
                <c:pt idx="0">
                  <c:v>69</c:v>
                </c:pt>
                <c:pt idx="1">
                  <c:v>54</c:v>
                </c:pt>
                <c:pt idx="2">
                  <c:v>67</c:v>
                </c:pt>
                <c:pt idx="3">
                  <c:v>70</c:v>
                </c:pt>
                <c:pt idx="4">
                  <c:v>77</c:v>
                </c:pt>
                <c:pt idx="5">
                  <c:v>63</c:v>
                </c:pt>
                <c:pt idx="6">
                  <c:v>74</c:v>
                </c:pt>
                <c:pt idx="7">
                  <c:v>66</c:v>
                </c:pt>
                <c:pt idx="8">
                  <c:v>59</c:v>
                </c:pt>
                <c:pt idx="9">
                  <c:v>71</c:v>
                </c:pt>
                <c:pt idx="10">
                  <c:v>67</c:v>
                </c:pt>
                <c:pt idx="11">
                  <c:v>63</c:v>
                </c:pt>
              </c:numCache>
            </c:numRef>
          </c:val>
          <c:smooth val="1"/>
          <c:extLst>
            <c:ext xmlns:c16="http://schemas.microsoft.com/office/drawing/2014/chart" uri="{C3380CC4-5D6E-409C-BE32-E72D297353CC}">
              <c16:uniqueId val="{00000004-4A4F-47D4-A31F-C2C9DF90CAE5}"/>
            </c:ext>
          </c:extLst>
        </c:ser>
        <c:dLbls>
          <c:showLegendKey val="0"/>
          <c:showVal val="0"/>
          <c:showCatName val="0"/>
          <c:showSerName val="0"/>
          <c:showPercent val="0"/>
          <c:showBubbleSize val="0"/>
        </c:dLbls>
        <c:smooth val="0"/>
        <c:axId val="2006044400"/>
        <c:axId val="2006047760"/>
      </c:lineChart>
      <c:catAx>
        <c:axId val="2006044400"/>
        <c:scaling>
          <c:orientation val="minMax"/>
        </c:scaling>
        <c:delete val="0"/>
        <c:axPos val="b"/>
        <c:numFmt formatCode="General" sourceLinked="1"/>
        <c:majorTickMark val="out"/>
        <c:minorTickMark val="none"/>
        <c:tickLblPos val="nextTo"/>
        <c:spPr>
          <a:noFill/>
          <a:ln>
            <a:noFill/>
          </a:ln>
        </c:spPr>
        <c:txPr>
          <a:bodyPr/>
          <a:lstStyle/>
          <a:p>
            <a:pPr>
              <a:defRPr sz="1400">
                <a:solidFill>
                  <a:schemeClr val="bg1">
                    <a:lumMod val="85000"/>
                  </a:schemeClr>
                </a:solidFill>
              </a:defRPr>
            </a:pPr>
            <a:endParaRPr lang="en-NG"/>
          </a:p>
        </c:txPr>
        <c:crossAx val="2006047760"/>
        <c:crosses val="autoZero"/>
        <c:auto val="1"/>
        <c:lblAlgn val="ctr"/>
        <c:lblOffset val="100"/>
        <c:noMultiLvlLbl val="0"/>
      </c:catAx>
      <c:valAx>
        <c:axId val="2006047760"/>
        <c:scaling>
          <c:orientation val="minMax"/>
        </c:scaling>
        <c:delete val="1"/>
        <c:axPos val="l"/>
        <c:numFmt formatCode="General" sourceLinked="1"/>
        <c:majorTickMark val="out"/>
        <c:minorTickMark val="none"/>
        <c:tickLblPos val="nextTo"/>
        <c:crossAx val="200604440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4!PivotTable44</c:name>
    <c:fmtId val="3"/>
  </c:pivotSource>
  <c:chart>
    <c:autoTitleDeleted val="1"/>
    <c:pivotFmts>
      <c:pivotFmt>
        <c:idx val="0"/>
        <c:spPr>
          <a:ln>
            <a:noFill/>
          </a:ln>
        </c:spPr>
        <c:marker>
          <c:symbol val="none"/>
        </c:marker>
        <c:dLbl>
          <c:idx val="0"/>
          <c:delete val="1"/>
          <c:extLst>
            <c:ext xmlns:c15="http://schemas.microsoft.com/office/drawing/2012/chart" uri="{CE6537A1-D6FC-4f65-9D91-7224C49458BB}"/>
          </c:extLst>
        </c:dLbl>
      </c:pivotFmt>
      <c:pivotFmt>
        <c:idx val="1"/>
        <c:spPr>
          <a:solidFill>
            <a:srgbClr val="FF0000"/>
          </a:solidFill>
          <a:ln w="19050">
            <a:noFill/>
          </a:ln>
          <a:effectLst/>
        </c:spPr>
      </c:pivotFmt>
      <c:pivotFmt>
        <c:idx val="2"/>
        <c:spPr>
          <a:solidFill>
            <a:srgbClr val="AEAEAE"/>
          </a:solidFill>
          <a:ln w="19050">
            <a:noFill/>
          </a:ln>
          <a:effectLst/>
        </c:spPr>
      </c:pivotFmt>
      <c:pivotFmt>
        <c:idx val="3"/>
        <c:spPr>
          <a:ln>
            <a:noFill/>
          </a:ln>
        </c:spPr>
        <c:marker>
          <c:symbol val="none"/>
        </c:marker>
        <c:dLbl>
          <c:idx val="0"/>
          <c:delete val="1"/>
          <c:extLst>
            <c:ext xmlns:c15="http://schemas.microsoft.com/office/drawing/2012/chart" uri="{CE6537A1-D6FC-4f65-9D91-7224C49458BB}"/>
          </c:extLst>
        </c:dLbl>
      </c:pivotFmt>
      <c:pivotFmt>
        <c:idx val="4"/>
        <c:spPr>
          <a:solidFill>
            <a:srgbClr val="FF0000"/>
          </a:solidFill>
          <a:ln w="19050">
            <a:noFill/>
          </a:ln>
          <a:effectLst/>
        </c:spPr>
      </c:pivotFmt>
      <c:pivotFmt>
        <c:idx val="5"/>
        <c:spPr>
          <a:solidFill>
            <a:srgbClr val="AEAEAE"/>
          </a:solidFill>
          <a:ln w="19050">
            <a:noFill/>
          </a:ln>
          <a:effectLst/>
        </c:spPr>
      </c:pivotFmt>
      <c:pivotFmt>
        <c:idx val="6"/>
        <c:spPr>
          <a:ln>
            <a:noFill/>
          </a:ln>
        </c:spPr>
        <c:marker>
          <c:symbol val="none"/>
        </c:marker>
        <c:dLbl>
          <c:idx val="0"/>
          <c:spPr>
            <a:noFill/>
            <a:ln>
              <a:noFill/>
            </a:ln>
            <a:effectLst/>
          </c:spPr>
          <c:txPr>
            <a:bodyPr wrap="square" lIns="38100" tIns="19050" rIns="38100" bIns="19050" anchor="ctr">
              <a:spAutoFit/>
            </a:bodyPr>
            <a:lstStyle/>
            <a:p>
              <a:pPr>
                <a:defRPr>
                  <a:solidFill>
                    <a:schemeClr val="bg2"/>
                  </a:solidFill>
                </a:defRPr>
              </a:pPr>
              <a:endParaRPr lang="en-NG"/>
            </a:p>
          </c:txPr>
          <c:showLegendKey val="0"/>
          <c:showVal val="0"/>
          <c:showCatName val="1"/>
          <c:showSerName val="0"/>
          <c:showPercent val="0"/>
          <c:showBubbleSize val="0"/>
          <c:extLst>
            <c:ext xmlns:c15="http://schemas.microsoft.com/office/drawing/2012/chart" uri="{CE6537A1-D6FC-4f65-9D91-7224C49458BB}"/>
          </c:extLst>
        </c:dLbl>
      </c:pivotFmt>
      <c:pivotFmt>
        <c:idx val="7"/>
        <c:spPr>
          <a:solidFill>
            <a:srgbClr val="FF0000"/>
          </a:solidFill>
          <a:ln w="19050">
            <a:noFill/>
          </a:ln>
          <a:effectLst/>
        </c:spPr>
        <c:dLbl>
          <c:idx val="0"/>
          <c:layout>
            <c:manualLayout>
              <c:x val="0.1709898597109846"/>
              <c:y val="-0.08"/>
            </c:manualLayout>
          </c:layout>
          <c:spPr>
            <a:noFill/>
            <a:ln>
              <a:noFill/>
            </a:ln>
            <a:effectLst/>
          </c:spPr>
          <c:txPr>
            <a:bodyPr wrap="square" lIns="38100" tIns="19050" rIns="38100" bIns="19050" anchor="ctr">
              <a:spAutoFit/>
            </a:bodyPr>
            <a:lstStyle/>
            <a:p>
              <a:pPr>
                <a:defRPr>
                  <a:solidFill>
                    <a:schemeClr val="bg2"/>
                  </a:solidFill>
                </a:defRPr>
              </a:pPr>
              <a:endParaRPr lang="en-NG"/>
            </a:p>
          </c:txPr>
          <c:showLegendKey val="0"/>
          <c:showVal val="0"/>
          <c:showCatName val="1"/>
          <c:showSerName val="0"/>
          <c:showPercent val="0"/>
          <c:showBubbleSize val="0"/>
          <c:extLst>
            <c:ext xmlns:c15="http://schemas.microsoft.com/office/drawing/2012/chart" uri="{CE6537A1-D6FC-4f65-9D91-7224C49458BB}"/>
          </c:extLst>
        </c:dLbl>
      </c:pivotFmt>
      <c:pivotFmt>
        <c:idx val="8"/>
        <c:spPr>
          <a:solidFill>
            <a:srgbClr val="AEAEAE"/>
          </a:solidFill>
          <a:ln w="19050">
            <a:noFill/>
          </a:ln>
          <a:effectLst/>
        </c:spPr>
        <c:dLbl>
          <c:idx val="0"/>
          <c:layout>
            <c:manualLayout>
              <c:x val="-0.22798647961464624"/>
              <c:y val="0.08"/>
            </c:manualLayout>
          </c:layout>
          <c:spPr>
            <a:noFill/>
            <a:ln>
              <a:noFill/>
            </a:ln>
            <a:effectLst/>
          </c:spPr>
          <c:txPr>
            <a:bodyPr wrap="square" lIns="38100" tIns="19050" rIns="38100" bIns="19050" anchor="ctr">
              <a:spAutoFit/>
            </a:bodyPr>
            <a:lstStyle/>
            <a:p>
              <a:pPr>
                <a:defRPr>
                  <a:solidFill>
                    <a:schemeClr val="bg2"/>
                  </a:solidFill>
                </a:defRPr>
              </a:pPr>
              <a:endParaRPr lang="en-NG"/>
            </a:p>
          </c:txPr>
          <c:showLegendKey val="0"/>
          <c:showVal val="0"/>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 3 &amp; 4'!$AM$10</c:f>
              <c:strCache>
                <c:ptCount val="1"/>
                <c:pt idx="0">
                  <c:v>Total</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1-E1C7-4DB1-9256-DDE888118927}"/>
              </c:ext>
            </c:extLst>
          </c:dPt>
          <c:dPt>
            <c:idx val="1"/>
            <c:bubble3D val="0"/>
            <c:spPr>
              <a:solidFill>
                <a:srgbClr val="AEAEAE"/>
              </a:solidFill>
              <a:ln w="19050">
                <a:noFill/>
              </a:ln>
              <a:effectLst/>
            </c:spPr>
            <c:extLst>
              <c:ext xmlns:c16="http://schemas.microsoft.com/office/drawing/2014/chart" uri="{C3380CC4-5D6E-409C-BE32-E72D297353CC}">
                <c16:uniqueId val="{00000003-E1C7-4DB1-9256-DDE888118927}"/>
              </c:ext>
            </c:extLst>
          </c:dPt>
          <c:dLbls>
            <c:dLbl>
              <c:idx val="0"/>
              <c:layout>
                <c:manualLayout>
                  <c:x val="0.1709898597109846"/>
                  <c:y val="-0.08"/>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C7-4DB1-9256-DDE888118927}"/>
                </c:ext>
              </c:extLst>
            </c:dLbl>
            <c:dLbl>
              <c:idx val="1"/>
              <c:layout>
                <c:manualLayout>
                  <c:x val="-0.22798647961464624"/>
                  <c:y val="0.08"/>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C7-4DB1-9256-DDE888118927}"/>
                </c:ext>
              </c:extLst>
            </c:dLbl>
            <c:spPr>
              <a:noFill/>
              <a:ln>
                <a:noFill/>
              </a:ln>
              <a:effectLst/>
            </c:spPr>
            <c:txPr>
              <a:bodyPr wrap="square" lIns="38100" tIns="19050" rIns="38100" bIns="19050" anchor="ctr">
                <a:spAutoFit/>
              </a:bodyPr>
              <a:lstStyle/>
              <a:p>
                <a:pPr>
                  <a:defRPr>
                    <a:solidFill>
                      <a:schemeClr val="bg2"/>
                    </a:solidFill>
                  </a:defRPr>
                </a:pPr>
                <a:endParaRPr lang="en-NG"/>
              </a:p>
            </c:txPr>
            <c:showLegendKey val="0"/>
            <c:showVal val="0"/>
            <c:showCatName val="1"/>
            <c:showSerName val="0"/>
            <c:showPercent val="0"/>
            <c:showBubbleSize val="0"/>
            <c:showLeaderLines val="1"/>
            <c:leaderLines>
              <c:spPr>
                <a:ln>
                  <a:solidFill>
                    <a:srgbClr val="AEAEAE">
                      <a:alpha val="79000"/>
                    </a:srgbClr>
                  </a:solidFill>
                </a:ln>
              </c:spPr>
            </c:leaderLines>
            <c:extLst>
              <c:ext xmlns:c15="http://schemas.microsoft.com/office/drawing/2012/chart" uri="{CE6537A1-D6FC-4f65-9D91-7224C49458BB}"/>
            </c:extLst>
          </c:dLbls>
          <c:cat>
            <c:strRef>
              <c:f>'calculation 3 &amp; 4'!$AL$11:$AL$13</c:f>
              <c:strCache>
                <c:ptCount val="2"/>
                <c:pt idx="0">
                  <c:v>No</c:v>
                </c:pt>
                <c:pt idx="1">
                  <c:v>yes</c:v>
                </c:pt>
              </c:strCache>
            </c:strRef>
          </c:cat>
          <c:val>
            <c:numRef>
              <c:f>'calculation 3 &amp; 4'!$AM$11:$AM$13</c:f>
              <c:numCache>
                <c:formatCode>0.00%</c:formatCode>
                <c:ptCount val="2"/>
                <c:pt idx="0">
                  <c:v>0.41125</c:v>
                </c:pt>
                <c:pt idx="1">
                  <c:v>0.58875</c:v>
                </c:pt>
              </c:numCache>
            </c:numRef>
          </c:val>
          <c:extLst>
            <c:ext xmlns:c16="http://schemas.microsoft.com/office/drawing/2014/chart" uri="{C3380CC4-5D6E-409C-BE32-E72D297353CC}">
              <c16:uniqueId val="{00000004-E1C7-4DB1-9256-DDE888118927}"/>
            </c:ext>
          </c:extLst>
        </c:ser>
        <c:dLbls>
          <c:showLegendKey val="0"/>
          <c:showVal val="0"/>
          <c:showCatName val="0"/>
          <c:showSerName val="0"/>
          <c:showPercent val="0"/>
          <c:showBubbleSize val="0"/>
          <c:showLeaderLines val="1"/>
        </c:dLbls>
        <c:firstSliceAng val="300"/>
        <c:holeSize val="87"/>
      </c:doughnutChart>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PROJECT.xlsx]calculation 3 &amp; 4!PivotTable48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AEAEA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5400"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rgbClr val="FF0000"/>
            </a:solidFill>
            <a:prstDash val="sysDash"/>
            <a:round/>
          </a:ln>
          <a:effectLst/>
        </c:spPr>
        <c:marker>
          <c:symbol val="squar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'calculation 3 &amp; 4'!$BA$20:$BA$21</c:f>
              <c:strCache>
                <c:ptCount val="1"/>
                <c:pt idx="0">
                  <c:v>Checking</c:v>
                </c:pt>
              </c:strCache>
            </c:strRef>
          </c:tx>
          <c:spPr>
            <a:ln w="28575" cap="rnd">
              <a:solidFill>
                <a:srgbClr val="AEAEAE"/>
              </a:solidFill>
              <a:round/>
            </a:ln>
            <a:effectLst/>
          </c:spPr>
          <c:marker>
            <c:symbol val="none"/>
          </c:marker>
          <c:cat>
            <c:strRef>
              <c:f>'calculation 3 &amp; 4'!$AZ$22:$AZ$27</c:f>
              <c:strCache>
                <c:ptCount val="5"/>
                <c:pt idx="0">
                  <c:v>Charges Dispute</c:v>
                </c:pt>
                <c:pt idx="1">
                  <c:v>Fraud</c:v>
                </c:pt>
                <c:pt idx="2">
                  <c:v>Others</c:v>
                </c:pt>
                <c:pt idx="3">
                  <c:v>Service Delay</c:v>
                </c:pt>
                <c:pt idx="4">
                  <c:v>Technical Issue</c:v>
                </c:pt>
              </c:strCache>
            </c:strRef>
          </c:cat>
          <c:val>
            <c:numRef>
              <c:f>'calculation 3 &amp; 4'!$BA$22:$BA$27</c:f>
              <c:numCache>
                <c:formatCode>General</c:formatCode>
                <c:ptCount val="5"/>
                <c:pt idx="0">
                  <c:v>89</c:v>
                </c:pt>
                <c:pt idx="1">
                  <c:v>76</c:v>
                </c:pt>
                <c:pt idx="2">
                  <c:v>83</c:v>
                </c:pt>
                <c:pt idx="3">
                  <c:v>66</c:v>
                </c:pt>
                <c:pt idx="4">
                  <c:v>75</c:v>
                </c:pt>
              </c:numCache>
            </c:numRef>
          </c:val>
          <c:extLst>
            <c:ext xmlns:c16="http://schemas.microsoft.com/office/drawing/2014/chart" uri="{C3380CC4-5D6E-409C-BE32-E72D297353CC}">
              <c16:uniqueId val="{00000000-CF44-4543-B852-75C9D5951DA8}"/>
            </c:ext>
          </c:extLst>
        </c:ser>
        <c:ser>
          <c:idx val="1"/>
          <c:order val="1"/>
          <c:tx>
            <c:strRef>
              <c:f>'calculation 3 &amp; 4'!$BB$20:$BB$21</c:f>
              <c:strCache>
                <c:ptCount val="1"/>
                <c:pt idx="0">
                  <c:v>CreditCard</c:v>
                </c:pt>
              </c:strCache>
            </c:strRef>
          </c:tx>
          <c:spPr>
            <a:ln w="28575" cap="rnd">
              <a:solidFill>
                <a:schemeClr val="accent2"/>
              </a:solidFill>
              <a:round/>
            </a:ln>
            <a:effectLst/>
          </c:spPr>
          <c:marker>
            <c:symbol val="none"/>
          </c:marker>
          <c:cat>
            <c:strRef>
              <c:f>'calculation 3 &amp; 4'!$AZ$22:$AZ$27</c:f>
              <c:strCache>
                <c:ptCount val="5"/>
                <c:pt idx="0">
                  <c:v>Charges Dispute</c:v>
                </c:pt>
                <c:pt idx="1">
                  <c:v>Fraud</c:v>
                </c:pt>
                <c:pt idx="2">
                  <c:v>Others</c:v>
                </c:pt>
                <c:pt idx="3">
                  <c:v>Service Delay</c:v>
                </c:pt>
                <c:pt idx="4">
                  <c:v>Technical Issue</c:v>
                </c:pt>
              </c:strCache>
            </c:strRef>
          </c:cat>
          <c:val>
            <c:numRef>
              <c:f>'calculation 3 &amp; 4'!$BB$22:$BB$27</c:f>
              <c:numCache>
                <c:formatCode>General</c:formatCode>
                <c:ptCount val="5"/>
                <c:pt idx="0">
                  <c:v>53</c:v>
                </c:pt>
                <c:pt idx="1">
                  <c:v>62</c:v>
                </c:pt>
                <c:pt idx="2">
                  <c:v>71</c:v>
                </c:pt>
                <c:pt idx="3">
                  <c:v>50</c:v>
                </c:pt>
                <c:pt idx="4">
                  <c:v>36</c:v>
                </c:pt>
              </c:numCache>
            </c:numRef>
          </c:val>
          <c:extLst>
            <c:ext xmlns:c16="http://schemas.microsoft.com/office/drawing/2014/chart" uri="{C3380CC4-5D6E-409C-BE32-E72D297353CC}">
              <c16:uniqueId val="{00000001-CF44-4543-B852-75C9D5951DA8}"/>
            </c:ext>
          </c:extLst>
        </c:ser>
        <c:ser>
          <c:idx val="2"/>
          <c:order val="2"/>
          <c:tx>
            <c:strRef>
              <c:f>'calculation 3 &amp; 4'!$BC$20:$BC$21</c:f>
              <c:strCache>
                <c:ptCount val="1"/>
                <c:pt idx="0">
                  <c:v>Loan</c:v>
                </c:pt>
              </c:strCache>
            </c:strRef>
          </c:tx>
          <c:spPr>
            <a:ln w="25400" cap="rnd">
              <a:solidFill>
                <a:schemeClr val="accent3"/>
              </a:solidFill>
              <a:prstDash val="sysDash"/>
              <a:round/>
            </a:ln>
            <a:effectLst/>
          </c:spPr>
          <c:marker>
            <c:symbol val="none"/>
          </c:marker>
          <c:cat>
            <c:strRef>
              <c:f>'calculation 3 &amp; 4'!$AZ$22:$AZ$27</c:f>
              <c:strCache>
                <c:ptCount val="5"/>
                <c:pt idx="0">
                  <c:v>Charges Dispute</c:v>
                </c:pt>
                <c:pt idx="1">
                  <c:v>Fraud</c:v>
                </c:pt>
                <c:pt idx="2">
                  <c:v>Others</c:v>
                </c:pt>
                <c:pt idx="3">
                  <c:v>Service Delay</c:v>
                </c:pt>
                <c:pt idx="4">
                  <c:v>Technical Issue</c:v>
                </c:pt>
              </c:strCache>
            </c:strRef>
          </c:cat>
          <c:val>
            <c:numRef>
              <c:f>'calculation 3 &amp; 4'!$BC$22:$BC$27</c:f>
              <c:numCache>
                <c:formatCode>General</c:formatCode>
                <c:ptCount val="5"/>
                <c:pt idx="0">
                  <c:v>32</c:v>
                </c:pt>
                <c:pt idx="1">
                  <c:v>29</c:v>
                </c:pt>
                <c:pt idx="2">
                  <c:v>24</c:v>
                </c:pt>
                <c:pt idx="3">
                  <c:v>27</c:v>
                </c:pt>
                <c:pt idx="4">
                  <c:v>24</c:v>
                </c:pt>
              </c:numCache>
            </c:numRef>
          </c:val>
          <c:extLst>
            <c:ext xmlns:c16="http://schemas.microsoft.com/office/drawing/2014/chart" uri="{C3380CC4-5D6E-409C-BE32-E72D297353CC}">
              <c16:uniqueId val="{00000002-CF44-4543-B852-75C9D5951DA8}"/>
            </c:ext>
          </c:extLst>
        </c:ser>
        <c:ser>
          <c:idx val="3"/>
          <c:order val="3"/>
          <c:tx>
            <c:strRef>
              <c:f>'calculation 3 &amp; 4'!$BD$20:$BD$21</c:f>
              <c:strCache>
                <c:ptCount val="1"/>
                <c:pt idx="0">
                  <c:v>Savings</c:v>
                </c:pt>
              </c:strCache>
            </c:strRef>
          </c:tx>
          <c:spPr>
            <a:ln w="22225" cap="rnd">
              <a:solidFill>
                <a:srgbClr val="FF0000"/>
              </a:solidFill>
              <a:prstDash val="sysDash"/>
              <a:round/>
            </a:ln>
            <a:effectLst/>
          </c:spPr>
          <c:marker>
            <c:symbol val="square"/>
            <c:size val="5"/>
            <c:spPr>
              <a:solidFill>
                <a:schemeClr val="accent4"/>
              </a:solidFill>
              <a:ln w="9525">
                <a:solidFill>
                  <a:schemeClr val="accent4"/>
                </a:solidFill>
              </a:ln>
              <a:effectLst/>
            </c:spPr>
          </c:marker>
          <c:cat>
            <c:strRef>
              <c:f>'calculation 3 &amp; 4'!$AZ$22:$AZ$27</c:f>
              <c:strCache>
                <c:ptCount val="5"/>
                <c:pt idx="0">
                  <c:v>Charges Dispute</c:v>
                </c:pt>
                <c:pt idx="1">
                  <c:v>Fraud</c:v>
                </c:pt>
                <c:pt idx="2">
                  <c:v>Others</c:v>
                </c:pt>
                <c:pt idx="3">
                  <c:v>Service Delay</c:v>
                </c:pt>
                <c:pt idx="4">
                  <c:v>Technical Issue</c:v>
                </c:pt>
              </c:strCache>
            </c:strRef>
          </c:cat>
          <c:val>
            <c:numRef>
              <c:f>'calculation 3 &amp; 4'!$BD$22:$BD$27</c:f>
              <c:numCache>
                <c:formatCode>General</c:formatCode>
                <c:ptCount val="5"/>
                <c:pt idx="0">
                  <c:v>105</c:v>
                </c:pt>
                <c:pt idx="1">
                  <c:v>81</c:v>
                </c:pt>
                <c:pt idx="2">
                  <c:v>115</c:v>
                </c:pt>
                <c:pt idx="3">
                  <c:v>96</c:v>
                </c:pt>
                <c:pt idx="4">
                  <c:v>74</c:v>
                </c:pt>
              </c:numCache>
            </c:numRef>
          </c:val>
          <c:extLst>
            <c:ext xmlns:c16="http://schemas.microsoft.com/office/drawing/2014/chart" uri="{C3380CC4-5D6E-409C-BE32-E72D297353CC}">
              <c16:uniqueId val="{00000003-CF44-4543-B852-75C9D5951DA8}"/>
            </c:ext>
          </c:extLst>
        </c:ser>
        <c:dLbls>
          <c:showLegendKey val="0"/>
          <c:showVal val="0"/>
          <c:showCatName val="0"/>
          <c:showSerName val="0"/>
          <c:showPercent val="0"/>
          <c:showBubbleSize val="0"/>
        </c:dLbls>
        <c:axId val="729022464"/>
        <c:axId val="729022944"/>
      </c:radarChart>
      <c:catAx>
        <c:axId val="729022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Aharoni" panose="02010803020104030203" pitchFamily="2" charset="-79"/>
                <a:ea typeface="+mn-ea"/>
                <a:cs typeface="Aharoni" panose="02010803020104030203" pitchFamily="2" charset="-79"/>
              </a:defRPr>
            </a:pPr>
            <a:endParaRPr lang="en-NG"/>
          </a:p>
        </c:txPr>
        <c:crossAx val="729022944"/>
        <c:crosses val="autoZero"/>
        <c:auto val="1"/>
        <c:lblAlgn val="ctr"/>
        <c:lblOffset val="100"/>
        <c:noMultiLvlLbl val="0"/>
      </c:catAx>
      <c:valAx>
        <c:axId val="729022944"/>
        <c:scaling>
          <c:orientation val="minMax"/>
        </c:scaling>
        <c:delete val="1"/>
        <c:axPos val="l"/>
        <c:numFmt formatCode="General" sourceLinked="1"/>
        <c:majorTickMark val="none"/>
        <c:minorTickMark val="none"/>
        <c:tickLblPos val="nextTo"/>
        <c:crossAx val="72902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2006044400"/>
        <c:axId val="2006047760"/>
      </c:lineChart>
      <c:catAx>
        <c:axId val="2006044400"/>
        <c:scaling>
          <c:orientation val="minMax"/>
        </c:scaling>
        <c:delete val="1"/>
        <c:axPos val="b"/>
        <c:numFmt formatCode="General" sourceLinked="1"/>
        <c:majorTickMark val="none"/>
        <c:minorTickMark val="none"/>
        <c:tickLblPos val="nextTo"/>
        <c:crossAx val="2006047760"/>
        <c:crosses val="autoZero"/>
        <c:auto val="1"/>
        <c:lblAlgn val="ctr"/>
        <c:lblOffset val="100"/>
        <c:noMultiLvlLbl val="0"/>
      </c:catAx>
      <c:valAx>
        <c:axId val="2006047760"/>
        <c:scaling>
          <c:orientation val="minMax"/>
        </c:scaling>
        <c:delete val="1"/>
        <c:axPos val="l"/>
        <c:numFmt formatCode="General" sourceLinked="1"/>
        <c:majorTickMark val="none"/>
        <c:minorTickMark val="none"/>
        <c:tickLblPos val="nextTo"/>
        <c:crossAx val="200604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350"/>
        <c:holeSize val="88"/>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layout>
            <c:manualLayout>
              <c:x val="0.17611590001347485"/>
              <c:y val="-7.18036452373339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layout>
            <c:manualLayout>
              <c:x val="0.27983953625182839"/>
              <c:y val="-7.83309829672437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0.30677913022958597"/>
              <c:y val="-7.83309829672443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dLbl>
          <c:idx val="0"/>
          <c:layout>
            <c:manualLayout>
              <c:x val="0.37685810503472655"/>
              <c:y val="-2.244854299132481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AEAEAE"/>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743750147621024"/>
                  <c:h val="0.24271248830414582"/>
                </c:manualLayout>
              </c15:layout>
            </c:ext>
          </c:extLst>
        </c:dLbl>
      </c:pivotFmt>
    </c:pivotFmts>
    <c:plotArea>
      <c:layout>
        <c:manualLayout>
          <c:layoutTarget val="inner"/>
          <c:xMode val="edge"/>
          <c:yMode val="edge"/>
          <c:x val="0.21623556278809405"/>
          <c:y val="0.12309052761390835"/>
          <c:w val="0.74531749550512039"/>
          <c:h val="0.81243348173118723"/>
        </c:manualLayout>
      </c:layout>
      <c:barChart>
        <c:barDir val="bar"/>
        <c:grouping val="stacked"/>
        <c:varyColors val="0"/>
        <c:dLbls>
          <c:dLblPos val="ctr"/>
          <c:showLegendKey val="0"/>
          <c:showVal val="1"/>
          <c:showCatName val="0"/>
          <c:showSerName val="0"/>
          <c:showPercent val="0"/>
          <c:showBubbleSize val="0"/>
        </c:dLbls>
        <c:gapWidth val="123"/>
        <c:overlap val="100"/>
        <c:axId val="2006117840"/>
        <c:axId val="2006118320"/>
      </c:barChart>
      <c:catAx>
        <c:axId val="2006117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AEAEAE"/>
                </a:solidFill>
                <a:latin typeface="Biome" panose="020B0502040204020203" pitchFamily="34" charset="0"/>
                <a:ea typeface="+mn-ea"/>
                <a:cs typeface="Biome" panose="020B0502040204020203" pitchFamily="34" charset="0"/>
              </a:defRPr>
            </a:pPr>
            <a:endParaRPr lang="en-NG"/>
          </a:p>
        </c:txPr>
        <c:crossAx val="2006118320"/>
        <c:crosses val="autoZero"/>
        <c:auto val="1"/>
        <c:lblAlgn val="ctr"/>
        <c:lblOffset val="100"/>
        <c:noMultiLvlLbl val="0"/>
      </c:catAx>
      <c:valAx>
        <c:axId val="2006118320"/>
        <c:scaling>
          <c:orientation val="minMax"/>
        </c:scaling>
        <c:delete val="1"/>
        <c:axPos val="b"/>
        <c:numFmt formatCode="General" sourceLinked="1"/>
        <c:majorTickMark val="none"/>
        <c:minorTickMark val="none"/>
        <c:tickLblPos val="nextTo"/>
        <c:crossAx val="20061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microsoft.com/office/2007/relationships/hdphoto" Target="../media/hdphoto1.wdp"/><Relationship Id="rId18" Type="http://schemas.openxmlformats.org/officeDocument/2006/relationships/hyperlink" Target="#'Dashboard 4'!A1"/><Relationship Id="rId26" Type="http://schemas.openxmlformats.org/officeDocument/2006/relationships/image" Target="../media/image10.png"/><Relationship Id="rId3" Type="http://schemas.openxmlformats.org/officeDocument/2006/relationships/chart" Target="../charts/chart3.xml"/><Relationship Id="rId21" Type="http://schemas.openxmlformats.org/officeDocument/2006/relationships/hyperlink" Target="#'dashboard 2'!A1"/><Relationship Id="rId7" Type="http://schemas.openxmlformats.org/officeDocument/2006/relationships/chart" Target="../charts/chart7.xml"/><Relationship Id="rId12" Type="http://schemas.openxmlformats.org/officeDocument/2006/relationships/image" Target="../media/image2.png"/><Relationship Id="rId17" Type="http://schemas.openxmlformats.org/officeDocument/2006/relationships/image" Target="../media/image6.png"/><Relationship Id="rId25" Type="http://schemas.openxmlformats.org/officeDocument/2006/relationships/hyperlink" Target="#'Dashboard 5'!A1"/><Relationship Id="rId2" Type="http://schemas.openxmlformats.org/officeDocument/2006/relationships/chart" Target="../charts/chart2.xml"/><Relationship Id="rId16" Type="http://schemas.openxmlformats.org/officeDocument/2006/relationships/image" Target="../media/image5.png"/><Relationship Id="rId20" Type="http://schemas.microsoft.com/office/2007/relationships/hdphoto" Target="../media/hdphoto2.wdp"/><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24" Type="http://schemas.openxmlformats.org/officeDocument/2006/relationships/image" Target="../media/image9.png"/><Relationship Id="rId5" Type="http://schemas.openxmlformats.org/officeDocument/2006/relationships/chart" Target="../charts/chart5.xml"/><Relationship Id="rId15" Type="http://schemas.openxmlformats.org/officeDocument/2006/relationships/image" Target="../media/image4.png"/><Relationship Id="rId23" Type="http://schemas.openxmlformats.org/officeDocument/2006/relationships/hyperlink" Target="#'Dashoard 3'!A1"/><Relationship Id="rId28" Type="http://schemas.openxmlformats.org/officeDocument/2006/relationships/image" Target="../media/image11.png"/><Relationship Id="rId10" Type="http://schemas.openxmlformats.org/officeDocument/2006/relationships/hyperlink" Target="#'dashboard 1'!A1"/><Relationship Id="rId19"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 Id="rId22" Type="http://schemas.openxmlformats.org/officeDocument/2006/relationships/image" Target="../media/image8.png"/><Relationship Id="rId27" Type="http://schemas.microsoft.com/office/2007/relationships/hdphoto" Target="../media/hdphoto3.wdp"/></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18" Type="http://schemas.openxmlformats.org/officeDocument/2006/relationships/image" Target="../media/image7.png"/><Relationship Id="rId26" Type="http://schemas.openxmlformats.org/officeDocument/2006/relationships/image" Target="../media/image10.png"/><Relationship Id="rId3" Type="http://schemas.openxmlformats.org/officeDocument/2006/relationships/chart" Target="../charts/chart12.xml"/><Relationship Id="rId21" Type="http://schemas.openxmlformats.org/officeDocument/2006/relationships/image" Target="../media/image12.png"/><Relationship Id="rId7" Type="http://schemas.openxmlformats.org/officeDocument/2006/relationships/chart" Target="../charts/chart16.xml"/><Relationship Id="rId12" Type="http://schemas.openxmlformats.org/officeDocument/2006/relationships/chart" Target="../charts/chart21.xml"/><Relationship Id="rId17" Type="http://schemas.openxmlformats.org/officeDocument/2006/relationships/hyperlink" Target="#'Dashboard 4'!A1"/><Relationship Id="rId25" Type="http://schemas.openxmlformats.org/officeDocument/2006/relationships/hyperlink" Target="#'Dashboard 5'!A1"/><Relationship Id="rId2" Type="http://schemas.openxmlformats.org/officeDocument/2006/relationships/chart" Target="../charts/chart11.xml"/><Relationship Id="rId16" Type="http://schemas.openxmlformats.org/officeDocument/2006/relationships/image" Target="../media/image6.png"/><Relationship Id="rId20" Type="http://schemas.openxmlformats.org/officeDocument/2006/relationships/hyperlink" Target="#'dashboard 2'!A1"/><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24" Type="http://schemas.openxmlformats.org/officeDocument/2006/relationships/image" Target="../media/image9.png"/><Relationship Id="rId5" Type="http://schemas.openxmlformats.org/officeDocument/2006/relationships/chart" Target="../charts/chart14.xml"/><Relationship Id="rId15" Type="http://schemas.openxmlformats.org/officeDocument/2006/relationships/image" Target="../media/image1.png"/><Relationship Id="rId23" Type="http://schemas.openxmlformats.org/officeDocument/2006/relationships/hyperlink" Target="#'Dashoard 3'!A1"/><Relationship Id="rId28" Type="http://schemas.openxmlformats.org/officeDocument/2006/relationships/image" Target="../media/image11.png"/><Relationship Id="rId10" Type="http://schemas.openxmlformats.org/officeDocument/2006/relationships/chart" Target="../charts/chart19.xml"/><Relationship Id="rId19" Type="http://schemas.microsoft.com/office/2007/relationships/hdphoto" Target="../media/hdphoto2.wdp"/><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hyperlink" Target="#'dashboard 1'!A1"/><Relationship Id="rId22" Type="http://schemas.microsoft.com/office/2007/relationships/hdphoto" Target="../media/hdphoto4.wdp"/><Relationship Id="rId27" Type="http://schemas.microsoft.com/office/2007/relationships/hdphoto" Target="../media/hdphoto3.wdp"/></Relationships>
</file>

<file path=xl/drawings/_rels/drawing3.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image" Target="../media/image6.png"/><Relationship Id="rId18" Type="http://schemas.openxmlformats.org/officeDocument/2006/relationships/image" Target="../media/image16.png"/><Relationship Id="rId26" Type="http://schemas.openxmlformats.org/officeDocument/2006/relationships/image" Target="../media/image10.png"/><Relationship Id="rId3" Type="http://schemas.openxmlformats.org/officeDocument/2006/relationships/chart" Target="../charts/chart25.xml"/><Relationship Id="rId21" Type="http://schemas.microsoft.com/office/2007/relationships/hdphoto" Target="../media/hdphoto2.wdp"/><Relationship Id="rId7" Type="http://schemas.openxmlformats.org/officeDocument/2006/relationships/chart" Target="../charts/chart29.xml"/><Relationship Id="rId12" Type="http://schemas.microsoft.com/office/2007/relationships/hdphoto" Target="../media/hdphoto5.wdp"/><Relationship Id="rId17" Type="http://schemas.openxmlformats.org/officeDocument/2006/relationships/image" Target="../media/image15.png"/><Relationship Id="rId25" Type="http://schemas.openxmlformats.org/officeDocument/2006/relationships/hyperlink" Target="#'Dashboard 5'!A1"/><Relationship Id="rId2" Type="http://schemas.openxmlformats.org/officeDocument/2006/relationships/chart" Target="../charts/chart24.xml"/><Relationship Id="rId16" Type="http://schemas.openxmlformats.org/officeDocument/2006/relationships/image" Target="../media/image9.png"/><Relationship Id="rId20" Type="http://schemas.openxmlformats.org/officeDocument/2006/relationships/image" Target="../media/image7.png"/><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image" Target="../media/image13.png"/><Relationship Id="rId24" Type="http://schemas.openxmlformats.org/officeDocument/2006/relationships/image" Target="../media/image17.png"/><Relationship Id="rId5" Type="http://schemas.openxmlformats.org/officeDocument/2006/relationships/chart" Target="../charts/chart27.xml"/><Relationship Id="rId15" Type="http://schemas.openxmlformats.org/officeDocument/2006/relationships/hyperlink" Target="#'Dashoard 3'!A1"/><Relationship Id="rId23" Type="http://schemas.openxmlformats.org/officeDocument/2006/relationships/image" Target="../media/image8.png"/><Relationship Id="rId28" Type="http://schemas.openxmlformats.org/officeDocument/2006/relationships/image" Target="../media/image11.png"/><Relationship Id="rId10" Type="http://schemas.openxmlformats.org/officeDocument/2006/relationships/hyperlink" Target="#'dashboard 1'!A1"/><Relationship Id="rId19" Type="http://schemas.openxmlformats.org/officeDocument/2006/relationships/hyperlink" Target="#'Dashboard 4'!A1"/><Relationship Id="rId4" Type="http://schemas.openxmlformats.org/officeDocument/2006/relationships/chart" Target="../charts/chart26.xml"/><Relationship Id="rId9" Type="http://schemas.openxmlformats.org/officeDocument/2006/relationships/chart" Target="../charts/chart31.xml"/><Relationship Id="rId14" Type="http://schemas.openxmlformats.org/officeDocument/2006/relationships/image" Target="../media/image14.png"/><Relationship Id="rId22" Type="http://schemas.openxmlformats.org/officeDocument/2006/relationships/hyperlink" Target="#'dashboard 2'!A1"/><Relationship Id="rId27" Type="http://schemas.microsoft.com/office/2007/relationships/hdphoto" Target="../media/hdphoto3.wdp"/></Relationships>
</file>

<file path=xl/drawings/_rels/drawing4.xml.rels><?xml version="1.0" encoding="UTF-8" standalone="yes"?>
<Relationships xmlns="http://schemas.openxmlformats.org/package/2006/relationships"><Relationship Id="rId8" Type="http://schemas.openxmlformats.org/officeDocument/2006/relationships/hyperlink" Target="#'dashboard 1'!A1"/><Relationship Id="rId13" Type="http://schemas.openxmlformats.org/officeDocument/2006/relationships/chart" Target="../charts/chart35.xml"/><Relationship Id="rId18" Type="http://schemas.openxmlformats.org/officeDocument/2006/relationships/image" Target="../media/image17.png"/><Relationship Id="rId3" Type="http://schemas.openxmlformats.org/officeDocument/2006/relationships/hyperlink" Target="#'Dashboard 4'!A1"/><Relationship Id="rId21" Type="http://schemas.openxmlformats.org/officeDocument/2006/relationships/hyperlink" Target="#'Dashboard 5'!A1"/><Relationship Id="rId7" Type="http://schemas.openxmlformats.org/officeDocument/2006/relationships/image" Target="../media/image9.png"/><Relationship Id="rId12" Type="http://schemas.openxmlformats.org/officeDocument/2006/relationships/chart" Target="../charts/chart34.xml"/><Relationship Id="rId17" Type="http://schemas.microsoft.com/office/2007/relationships/hdphoto" Target="../media/hdphoto6.wdp"/><Relationship Id="rId2" Type="http://schemas.microsoft.com/office/2007/relationships/hdphoto" Target="../media/hdphoto2.wdp"/><Relationship Id="rId16" Type="http://schemas.openxmlformats.org/officeDocument/2006/relationships/image" Target="../media/image20.png"/><Relationship Id="rId20" Type="http://schemas.openxmlformats.org/officeDocument/2006/relationships/image" Target="../media/image6.png"/><Relationship Id="rId1" Type="http://schemas.openxmlformats.org/officeDocument/2006/relationships/image" Target="../media/image7.png"/><Relationship Id="rId6" Type="http://schemas.openxmlformats.org/officeDocument/2006/relationships/hyperlink" Target="#'Dashoard 3'!A1"/><Relationship Id="rId11" Type="http://schemas.openxmlformats.org/officeDocument/2006/relationships/chart" Target="../charts/chart33.xml"/><Relationship Id="rId24" Type="http://schemas.openxmlformats.org/officeDocument/2006/relationships/image" Target="../media/image11.png"/><Relationship Id="rId5" Type="http://schemas.openxmlformats.org/officeDocument/2006/relationships/image" Target="../media/image8.png"/><Relationship Id="rId15" Type="http://schemas.openxmlformats.org/officeDocument/2006/relationships/image" Target="../media/image19.png"/><Relationship Id="rId23" Type="http://schemas.microsoft.com/office/2007/relationships/hdphoto" Target="../media/hdphoto3.wdp"/><Relationship Id="rId10" Type="http://schemas.openxmlformats.org/officeDocument/2006/relationships/chart" Target="../charts/chart32.xml"/><Relationship Id="rId19" Type="http://schemas.openxmlformats.org/officeDocument/2006/relationships/image" Target="../media/image15.png"/><Relationship Id="rId4" Type="http://schemas.openxmlformats.org/officeDocument/2006/relationships/hyperlink" Target="#'dashboard 2'!A1"/><Relationship Id="rId9" Type="http://schemas.openxmlformats.org/officeDocument/2006/relationships/image" Target="../media/image1.png"/><Relationship Id="rId14" Type="http://schemas.openxmlformats.org/officeDocument/2006/relationships/image" Target="../media/image18.png"/><Relationship Id="rId22"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18" Type="http://schemas.openxmlformats.org/officeDocument/2006/relationships/image" Target="../media/image23.png"/><Relationship Id="rId3" Type="http://schemas.openxmlformats.org/officeDocument/2006/relationships/chart" Target="../charts/chart38.xml"/><Relationship Id="rId21" Type="http://schemas.microsoft.com/office/2007/relationships/hdphoto" Target="../media/hdphoto3.wdp"/><Relationship Id="rId7" Type="http://schemas.openxmlformats.org/officeDocument/2006/relationships/hyperlink" Target="#'Dashboard 4'!A1"/><Relationship Id="rId12" Type="http://schemas.openxmlformats.org/officeDocument/2006/relationships/hyperlink" Target="#'Dashoard 3'!A1"/><Relationship Id="rId17" Type="http://schemas.openxmlformats.org/officeDocument/2006/relationships/image" Target="../media/image22.png"/><Relationship Id="rId2" Type="http://schemas.openxmlformats.org/officeDocument/2006/relationships/chart" Target="../charts/chart37.xml"/><Relationship Id="rId16" Type="http://schemas.openxmlformats.org/officeDocument/2006/relationships/image" Target="../media/image21.png"/><Relationship Id="rId20" Type="http://schemas.openxmlformats.org/officeDocument/2006/relationships/image" Target="../media/image25.png"/><Relationship Id="rId1" Type="http://schemas.openxmlformats.org/officeDocument/2006/relationships/chart" Target="../charts/chart36.xml"/><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chart" Target="../charts/chart40.xml"/><Relationship Id="rId15" Type="http://schemas.openxmlformats.org/officeDocument/2006/relationships/image" Target="../media/image1.png"/><Relationship Id="rId23" Type="http://schemas.openxmlformats.org/officeDocument/2006/relationships/chart" Target="../charts/chart41.xml"/><Relationship Id="rId10" Type="http://schemas.openxmlformats.org/officeDocument/2006/relationships/hyperlink" Target="#'dashboard 2'!A1"/><Relationship Id="rId19" Type="http://schemas.openxmlformats.org/officeDocument/2006/relationships/image" Target="../media/image24.png"/><Relationship Id="rId4" Type="http://schemas.openxmlformats.org/officeDocument/2006/relationships/chart" Target="../charts/chart39.xml"/><Relationship Id="rId9" Type="http://schemas.microsoft.com/office/2007/relationships/hdphoto" Target="../media/hdphoto2.wdp"/><Relationship Id="rId14" Type="http://schemas.openxmlformats.org/officeDocument/2006/relationships/hyperlink" Target="#'dashboard 1'!A1"/><Relationship Id="rId22"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twoCellAnchor>
    <xdr:from>
      <xdr:col>5</xdr:col>
      <xdr:colOff>529164</xdr:colOff>
      <xdr:row>0</xdr:row>
      <xdr:rowOff>146310</xdr:rowOff>
    </xdr:from>
    <xdr:to>
      <xdr:col>25</xdr:col>
      <xdr:colOff>581171</xdr:colOff>
      <xdr:row>43</xdr:row>
      <xdr:rowOff>9885</xdr:rowOff>
    </xdr:to>
    <xdr:grpSp>
      <xdr:nvGrpSpPr>
        <xdr:cNvPr id="38" name="Group 37">
          <a:extLst>
            <a:ext uri="{FF2B5EF4-FFF2-40B4-BE49-F238E27FC236}">
              <a16:creationId xmlns:a16="http://schemas.microsoft.com/office/drawing/2014/main" id="{45A28646-07C6-47AC-941E-23FE5E823620}"/>
            </a:ext>
          </a:extLst>
        </xdr:cNvPr>
        <xdr:cNvGrpSpPr/>
      </xdr:nvGrpSpPr>
      <xdr:grpSpPr>
        <a:xfrm>
          <a:off x="3610782" y="146310"/>
          <a:ext cx="12378477" cy="8296001"/>
          <a:chOff x="2842617" y="119063"/>
          <a:chExt cx="11638359" cy="7267367"/>
        </a:xfrm>
      </xdr:grpSpPr>
      <xdr:sp macro="" textlink="">
        <xdr:nvSpPr>
          <xdr:cNvPr id="40" name="Rectangle: Rounded Corners 39">
            <a:extLst>
              <a:ext uri="{FF2B5EF4-FFF2-40B4-BE49-F238E27FC236}">
                <a16:creationId xmlns:a16="http://schemas.microsoft.com/office/drawing/2014/main" id="{EA54032F-6CA8-D073-6018-A085274D2B59}"/>
              </a:ext>
            </a:extLst>
          </xdr:cNvPr>
          <xdr:cNvSpPr/>
        </xdr:nvSpPr>
        <xdr:spPr>
          <a:xfrm>
            <a:off x="2842617" y="119063"/>
            <a:ext cx="11638359" cy="7267367"/>
          </a:xfrm>
          <a:prstGeom prst="roundRect">
            <a:avLst>
              <a:gd name="adj" fmla="val 1724"/>
            </a:avLst>
          </a:prstGeom>
          <a:solidFill>
            <a:srgbClr val="3232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4" name="Rectangle: Rounded Corners 43">
            <a:extLst>
              <a:ext uri="{FF2B5EF4-FFF2-40B4-BE49-F238E27FC236}">
                <a16:creationId xmlns:a16="http://schemas.microsoft.com/office/drawing/2014/main" id="{E8E40D52-77E7-71C7-C8B1-2C28EDEC1840}"/>
              </a:ext>
            </a:extLst>
          </xdr:cNvPr>
          <xdr:cNvSpPr/>
        </xdr:nvSpPr>
        <xdr:spPr>
          <a:xfrm>
            <a:off x="2976562" y="282774"/>
            <a:ext cx="11333299" cy="6950274"/>
          </a:xfrm>
          <a:prstGeom prst="roundRect">
            <a:avLst>
              <a:gd name="adj" fmla="val 1724"/>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6</xdr:col>
      <xdr:colOff>167355</xdr:colOff>
      <xdr:row>5</xdr:row>
      <xdr:rowOff>32301</xdr:rowOff>
    </xdr:from>
    <xdr:to>
      <xdr:col>7</xdr:col>
      <xdr:colOff>96420</xdr:colOff>
      <xdr:row>40</xdr:row>
      <xdr:rowOff>167488</xdr:rowOff>
    </xdr:to>
    <xdr:sp macro="" textlink="">
      <xdr:nvSpPr>
        <xdr:cNvPr id="2" name="Rectangle: Rounded Corners 1">
          <a:extLst>
            <a:ext uri="{FF2B5EF4-FFF2-40B4-BE49-F238E27FC236}">
              <a16:creationId xmlns:a16="http://schemas.microsoft.com/office/drawing/2014/main" id="{3E5E917D-C5B0-419E-BE56-95D943897E1A}"/>
            </a:ext>
          </a:extLst>
        </xdr:cNvPr>
        <xdr:cNvSpPr/>
      </xdr:nvSpPr>
      <xdr:spPr>
        <a:xfrm>
          <a:off x="3828527" y="999684"/>
          <a:ext cx="539260" cy="6906867"/>
        </a:xfrm>
        <a:prstGeom prst="roundRect">
          <a:avLst>
            <a:gd name="adj" fmla="val 12101"/>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238509</xdr:colOff>
      <xdr:row>10</xdr:row>
      <xdr:rowOff>551</xdr:rowOff>
    </xdr:from>
    <xdr:to>
      <xdr:col>10</xdr:col>
      <xdr:colOff>448061</xdr:colOff>
      <xdr:row>16</xdr:row>
      <xdr:rowOff>84207</xdr:rowOff>
    </xdr:to>
    <xdr:sp macro="" textlink="">
      <xdr:nvSpPr>
        <xdr:cNvPr id="3" name="Rectangle: Rounded Corners 2">
          <a:extLst>
            <a:ext uri="{FF2B5EF4-FFF2-40B4-BE49-F238E27FC236}">
              <a16:creationId xmlns:a16="http://schemas.microsoft.com/office/drawing/2014/main" id="{B7A83024-9CB2-4D7E-BA1C-10B219E88628}"/>
            </a:ext>
          </a:extLst>
        </xdr:cNvPr>
        <xdr:cNvSpPr/>
      </xdr:nvSpPr>
      <xdr:spPr>
        <a:xfrm>
          <a:off x="4509876" y="1935317"/>
          <a:ext cx="2040138" cy="1244515"/>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17</xdr:col>
      <xdr:colOff>212314</xdr:colOff>
      <xdr:row>16</xdr:row>
      <xdr:rowOff>181888</xdr:rowOff>
    </xdr:from>
    <xdr:to>
      <xdr:col>25</xdr:col>
      <xdr:colOff>225013</xdr:colOff>
      <xdr:row>29</xdr:row>
      <xdr:rowOff>107495</xdr:rowOff>
    </xdr:to>
    <xdr:sp macro="" textlink="">
      <xdr:nvSpPr>
        <xdr:cNvPr id="4" name="Rectangle 3">
          <a:extLst>
            <a:ext uri="{FF2B5EF4-FFF2-40B4-BE49-F238E27FC236}">
              <a16:creationId xmlns:a16="http://schemas.microsoft.com/office/drawing/2014/main" id="{0F3ACD05-9073-4144-A421-DFBC3BB3E11E}"/>
            </a:ext>
          </a:extLst>
        </xdr:cNvPr>
        <xdr:cNvSpPr/>
      </xdr:nvSpPr>
      <xdr:spPr>
        <a:xfrm>
          <a:off x="10585634" y="3277513"/>
          <a:ext cx="4894262" cy="2440802"/>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240890</xdr:colOff>
      <xdr:row>29</xdr:row>
      <xdr:rowOff>181328</xdr:rowOff>
    </xdr:from>
    <xdr:to>
      <xdr:col>13</xdr:col>
      <xdr:colOff>201995</xdr:colOff>
      <xdr:row>41</xdr:row>
      <xdr:rowOff>115430</xdr:rowOff>
    </xdr:to>
    <xdr:sp macro="" textlink="">
      <xdr:nvSpPr>
        <xdr:cNvPr id="5" name="Rectangle 4">
          <a:extLst>
            <a:ext uri="{FF2B5EF4-FFF2-40B4-BE49-F238E27FC236}">
              <a16:creationId xmlns:a16="http://schemas.microsoft.com/office/drawing/2014/main" id="{E93B665F-E390-438E-BB73-8355C0115DBB}"/>
            </a:ext>
          </a:extLst>
        </xdr:cNvPr>
        <xdr:cNvSpPr/>
      </xdr:nvSpPr>
      <xdr:spPr>
        <a:xfrm>
          <a:off x="4512257" y="5792148"/>
          <a:ext cx="3622277" cy="2255821"/>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19</xdr:col>
      <xdr:colOff>236920</xdr:colOff>
      <xdr:row>29</xdr:row>
      <xdr:rowOff>181328</xdr:rowOff>
    </xdr:from>
    <xdr:to>
      <xdr:col>25</xdr:col>
      <xdr:colOff>225013</xdr:colOff>
      <xdr:row>41</xdr:row>
      <xdr:rowOff>146517</xdr:rowOff>
    </xdr:to>
    <xdr:sp macro="" textlink="">
      <xdr:nvSpPr>
        <xdr:cNvPr id="6" name="Rectangle 5">
          <a:extLst>
            <a:ext uri="{FF2B5EF4-FFF2-40B4-BE49-F238E27FC236}">
              <a16:creationId xmlns:a16="http://schemas.microsoft.com/office/drawing/2014/main" id="{B57FA7CA-54F4-479E-AF63-0AE230DAB0B2}"/>
            </a:ext>
          </a:extLst>
        </xdr:cNvPr>
        <xdr:cNvSpPr/>
      </xdr:nvSpPr>
      <xdr:spPr>
        <a:xfrm>
          <a:off x="11830631" y="5792148"/>
          <a:ext cx="3649265" cy="2286908"/>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13</xdr:col>
      <xdr:colOff>291690</xdr:colOff>
      <xdr:row>29</xdr:row>
      <xdr:rowOff>181328</xdr:rowOff>
    </xdr:from>
    <xdr:to>
      <xdr:col>19</xdr:col>
      <xdr:colOff>138497</xdr:colOff>
      <xdr:row>41</xdr:row>
      <xdr:rowOff>128130</xdr:rowOff>
    </xdr:to>
    <xdr:sp macro="" textlink="">
      <xdr:nvSpPr>
        <xdr:cNvPr id="7" name="Rectangle 6">
          <a:extLst>
            <a:ext uri="{FF2B5EF4-FFF2-40B4-BE49-F238E27FC236}">
              <a16:creationId xmlns:a16="http://schemas.microsoft.com/office/drawing/2014/main" id="{A4D71412-1D71-4BF6-860F-20A641D8ED70}"/>
            </a:ext>
          </a:extLst>
        </xdr:cNvPr>
        <xdr:cNvSpPr/>
      </xdr:nvSpPr>
      <xdr:spPr>
        <a:xfrm>
          <a:off x="8224229" y="5792148"/>
          <a:ext cx="3507979" cy="2268521"/>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240890</xdr:colOff>
      <xdr:row>16</xdr:row>
      <xdr:rowOff>182330</xdr:rowOff>
    </xdr:from>
    <xdr:to>
      <xdr:col>17</xdr:col>
      <xdr:colOff>29462</xdr:colOff>
      <xdr:row>29</xdr:row>
      <xdr:rowOff>121659</xdr:rowOff>
    </xdr:to>
    <xdr:sp macro="" textlink="">
      <xdr:nvSpPr>
        <xdr:cNvPr id="8" name="Rectangle 7">
          <a:extLst>
            <a:ext uri="{FF2B5EF4-FFF2-40B4-BE49-F238E27FC236}">
              <a16:creationId xmlns:a16="http://schemas.microsoft.com/office/drawing/2014/main" id="{9119D3BB-1F61-456E-9BEC-631C4668CB1E}"/>
            </a:ext>
          </a:extLst>
        </xdr:cNvPr>
        <xdr:cNvSpPr/>
      </xdr:nvSpPr>
      <xdr:spPr>
        <a:xfrm>
          <a:off x="4512257" y="3277955"/>
          <a:ext cx="5890525" cy="2454524"/>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12</xdr:col>
      <xdr:colOff>159930</xdr:colOff>
      <xdr:row>10</xdr:row>
      <xdr:rowOff>551</xdr:rowOff>
    </xdr:from>
    <xdr:to>
      <xdr:col>15</xdr:col>
      <xdr:colOff>371861</xdr:colOff>
      <xdr:row>16</xdr:row>
      <xdr:rowOff>84207</xdr:rowOff>
    </xdr:to>
    <xdr:sp macro="" textlink="">
      <xdr:nvSpPr>
        <xdr:cNvPr id="9" name="Rectangle: Rounded Corners 8">
          <a:extLst>
            <a:ext uri="{FF2B5EF4-FFF2-40B4-BE49-F238E27FC236}">
              <a16:creationId xmlns:a16="http://schemas.microsoft.com/office/drawing/2014/main" id="{737DF448-B415-4909-A43C-C1F3CEBDB938}"/>
            </a:ext>
          </a:extLst>
        </xdr:cNvPr>
        <xdr:cNvSpPr/>
      </xdr:nvSpPr>
      <xdr:spPr>
        <a:xfrm>
          <a:off x="7482274" y="1935317"/>
          <a:ext cx="2042517" cy="1244515"/>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22</xdr:col>
      <xdr:colOff>15967</xdr:colOff>
      <xdr:row>10</xdr:row>
      <xdr:rowOff>551</xdr:rowOff>
    </xdr:from>
    <xdr:to>
      <xdr:col>25</xdr:col>
      <xdr:colOff>225013</xdr:colOff>
      <xdr:row>16</xdr:row>
      <xdr:rowOff>84207</xdr:rowOff>
    </xdr:to>
    <xdr:sp macro="" textlink="">
      <xdr:nvSpPr>
        <xdr:cNvPr id="10" name="Rectangle: Rounded Corners 9">
          <a:extLst>
            <a:ext uri="{FF2B5EF4-FFF2-40B4-BE49-F238E27FC236}">
              <a16:creationId xmlns:a16="http://schemas.microsoft.com/office/drawing/2014/main" id="{8461392F-C187-4A3D-B219-F88EDDBE0B09}"/>
            </a:ext>
          </a:extLst>
        </xdr:cNvPr>
        <xdr:cNvSpPr/>
      </xdr:nvSpPr>
      <xdr:spPr>
        <a:xfrm>
          <a:off x="13440264" y="1935317"/>
          <a:ext cx="2039632" cy="1244515"/>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16</xdr:col>
      <xdr:colOff>554423</xdr:colOff>
      <xdr:row>10</xdr:row>
      <xdr:rowOff>551</xdr:rowOff>
    </xdr:from>
    <xdr:to>
      <xdr:col>20</xdr:col>
      <xdr:colOff>159136</xdr:colOff>
      <xdr:row>16</xdr:row>
      <xdr:rowOff>84207</xdr:rowOff>
    </xdr:to>
    <xdr:sp macro="" textlink="">
      <xdr:nvSpPr>
        <xdr:cNvPr id="11" name="Rectangle: Rounded Corners 10">
          <a:extLst>
            <a:ext uri="{FF2B5EF4-FFF2-40B4-BE49-F238E27FC236}">
              <a16:creationId xmlns:a16="http://schemas.microsoft.com/office/drawing/2014/main" id="{E2CB93F1-FC91-4BBC-9C86-012F614510B8}"/>
            </a:ext>
          </a:extLst>
        </xdr:cNvPr>
        <xdr:cNvSpPr/>
      </xdr:nvSpPr>
      <xdr:spPr>
        <a:xfrm>
          <a:off x="10317548" y="1935317"/>
          <a:ext cx="2045494" cy="1244515"/>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7</xdr:col>
      <xdr:colOff>227775</xdr:colOff>
      <xdr:row>10</xdr:row>
      <xdr:rowOff>29173</xdr:rowOff>
    </xdr:from>
    <xdr:to>
      <xdr:col>9</xdr:col>
      <xdr:colOff>573124</xdr:colOff>
      <xdr:row>11</xdr:row>
      <xdr:rowOff>71823</xdr:rowOff>
    </xdr:to>
    <xdr:sp macro="" textlink="">
      <xdr:nvSpPr>
        <xdr:cNvPr id="12" name="TextBox 11">
          <a:extLst>
            <a:ext uri="{FF2B5EF4-FFF2-40B4-BE49-F238E27FC236}">
              <a16:creationId xmlns:a16="http://schemas.microsoft.com/office/drawing/2014/main" id="{11616E2B-13DB-DC8F-0EAF-FCF66AF3DC38}"/>
            </a:ext>
          </a:extLst>
        </xdr:cNvPr>
        <xdr:cNvSpPr txBox="1"/>
      </xdr:nvSpPr>
      <xdr:spPr>
        <a:xfrm>
          <a:off x="4499142" y="1963939"/>
          <a:ext cx="1565740" cy="236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TOTAL CUSTOMERS		</a:t>
          </a:r>
          <a:endParaRPr lang="en-NG" sz="1100" b="1">
            <a:solidFill>
              <a:schemeClr val="bg2">
                <a:lumMod val="75000"/>
              </a:schemeClr>
            </a:solidFill>
          </a:endParaRPr>
        </a:p>
      </xdr:txBody>
    </xdr:sp>
    <xdr:clientData/>
  </xdr:twoCellAnchor>
  <xdr:twoCellAnchor>
    <xdr:from>
      <xdr:col>22</xdr:col>
      <xdr:colOff>1598</xdr:colOff>
      <xdr:row>10</xdr:row>
      <xdr:rowOff>29173</xdr:rowOff>
    </xdr:from>
    <xdr:to>
      <xdr:col>24</xdr:col>
      <xdr:colOff>337525</xdr:colOff>
      <xdr:row>11</xdr:row>
      <xdr:rowOff>71823</xdr:rowOff>
    </xdr:to>
    <xdr:sp macro="" textlink="">
      <xdr:nvSpPr>
        <xdr:cNvPr id="13" name="TextBox 12">
          <a:extLst>
            <a:ext uri="{FF2B5EF4-FFF2-40B4-BE49-F238E27FC236}">
              <a16:creationId xmlns:a16="http://schemas.microsoft.com/office/drawing/2014/main" id="{805268BF-D1BA-4CB8-9A65-0451C5DD8B1C}"/>
            </a:ext>
          </a:extLst>
        </xdr:cNvPr>
        <xdr:cNvSpPr txBox="1"/>
      </xdr:nvSpPr>
      <xdr:spPr>
        <a:xfrm>
          <a:off x="13425895" y="1963939"/>
          <a:ext cx="1556318" cy="236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AVERAGE TENURE</a:t>
          </a:r>
          <a:endParaRPr lang="en-NG" sz="1100" b="1">
            <a:solidFill>
              <a:schemeClr val="bg2">
                <a:lumMod val="75000"/>
              </a:schemeClr>
            </a:solidFill>
          </a:endParaRPr>
        </a:p>
      </xdr:txBody>
    </xdr:sp>
    <xdr:clientData/>
  </xdr:twoCellAnchor>
  <xdr:twoCellAnchor>
    <xdr:from>
      <xdr:col>16</xdr:col>
      <xdr:colOff>561007</xdr:colOff>
      <xdr:row>10</xdr:row>
      <xdr:rowOff>29173</xdr:rowOff>
    </xdr:from>
    <xdr:to>
      <xdr:col>19</xdr:col>
      <xdr:colOff>290896</xdr:colOff>
      <xdr:row>11</xdr:row>
      <xdr:rowOff>71823</xdr:rowOff>
    </xdr:to>
    <xdr:sp macro="" textlink="">
      <xdr:nvSpPr>
        <xdr:cNvPr id="14" name="TextBox 13">
          <a:extLst>
            <a:ext uri="{FF2B5EF4-FFF2-40B4-BE49-F238E27FC236}">
              <a16:creationId xmlns:a16="http://schemas.microsoft.com/office/drawing/2014/main" id="{8D3827D0-F522-40DC-964A-473B2A08BC78}"/>
            </a:ext>
          </a:extLst>
        </xdr:cNvPr>
        <xdr:cNvSpPr txBox="1"/>
      </xdr:nvSpPr>
      <xdr:spPr>
        <a:xfrm>
          <a:off x="10324132" y="1963939"/>
          <a:ext cx="1560475" cy="236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AVERAGE</a:t>
          </a:r>
          <a:r>
            <a:rPr lang="en-GB" sz="1100" b="1" baseline="0">
              <a:solidFill>
                <a:schemeClr val="bg2">
                  <a:lumMod val="75000"/>
                </a:schemeClr>
              </a:solidFill>
            </a:rPr>
            <a:t> INCOME</a:t>
          </a:r>
          <a:endParaRPr lang="en-NG" sz="1100" b="1">
            <a:solidFill>
              <a:schemeClr val="bg2">
                <a:lumMod val="75000"/>
              </a:schemeClr>
            </a:solidFill>
          </a:endParaRPr>
        </a:p>
      </xdr:txBody>
    </xdr:sp>
    <xdr:clientData/>
  </xdr:twoCellAnchor>
  <xdr:twoCellAnchor>
    <xdr:from>
      <xdr:col>12</xdr:col>
      <xdr:colOff>201617</xdr:colOff>
      <xdr:row>10</xdr:row>
      <xdr:rowOff>29173</xdr:rowOff>
    </xdr:from>
    <xdr:to>
      <xdr:col>14</xdr:col>
      <xdr:colOff>533287</xdr:colOff>
      <xdr:row>11</xdr:row>
      <xdr:rowOff>71823</xdr:rowOff>
    </xdr:to>
    <xdr:sp macro="" textlink="">
      <xdr:nvSpPr>
        <xdr:cNvPr id="15" name="TextBox 14">
          <a:extLst>
            <a:ext uri="{FF2B5EF4-FFF2-40B4-BE49-F238E27FC236}">
              <a16:creationId xmlns:a16="http://schemas.microsoft.com/office/drawing/2014/main" id="{E7625621-F310-4F6B-B6F6-8A7DF95E9096}"/>
            </a:ext>
          </a:extLst>
        </xdr:cNvPr>
        <xdr:cNvSpPr txBox="1"/>
      </xdr:nvSpPr>
      <xdr:spPr>
        <a:xfrm>
          <a:off x="7523961" y="1963939"/>
          <a:ext cx="1552060" cy="236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AVERAGE</a:t>
          </a:r>
          <a:r>
            <a:rPr lang="en-GB" sz="1100" b="1" baseline="0">
              <a:solidFill>
                <a:schemeClr val="bg2">
                  <a:lumMod val="75000"/>
                </a:schemeClr>
              </a:solidFill>
            </a:rPr>
            <a:t> AGE</a:t>
          </a:r>
          <a:endParaRPr lang="en-NG" sz="1100" b="1">
            <a:solidFill>
              <a:schemeClr val="bg2">
                <a:lumMod val="75000"/>
              </a:schemeClr>
            </a:solidFill>
          </a:endParaRPr>
        </a:p>
      </xdr:txBody>
    </xdr:sp>
    <xdr:clientData/>
  </xdr:twoCellAnchor>
  <xdr:twoCellAnchor>
    <xdr:from>
      <xdr:col>7</xdr:col>
      <xdr:colOff>299571</xdr:colOff>
      <xdr:row>11</xdr:row>
      <xdr:rowOff>13256</xdr:rowOff>
    </xdr:from>
    <xdr:to>
      <xdr:col>8</xdr:col>
      <xdr:colOff>512106</xdr:colOff>
      <xdr:row>13</xdr:row>
      <xdr:rowOff>71828</xdr:rowOff>
    </xdr:to>
    <xdr:sp macro="" textlink="CUSTOMER">
      <xdr:nvSpPr>
        <xdr:cNvPr id="16" name="TextBox 15">
          <a:extLst>
            <a:ext uri="{FF2B5EF4-FFF2-40B4-BE49-F238E27FC236}">
              <a16:creationId xmlns:a16="http://schemas.microsoft.com/office/drawing/2014/main" id="{98858E6D-C38C-432A-A40D-84D7B8143FC5}"/>
            </a:ext>
          </a:extLst>
        </xdr:cNvPr>
        <xdr:cNvSpPr txBox="1"/>
      </xdr:nvSpPr>
      <xdr:spPr>
        <a:xfrm>
          <a:off x="4570938" y="2141498"/>
          <a:ext cx="822731" cy="445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875124-369D-4C1C-B42B-B876F7F90D87}" type="TxLink">
            <a:rPr lang="en-US" sz="2800" b="1" i="0" u="none" strike="noStrike">
              <a:solidFill>
                <a:srgbClr val="FF0000"/>
              </a:solidFill>
              <a:latin typeface="Aptos Narrow"/>
            </a:rPr>
            <a:pPr/>
            <a:t>500</a:t>
          </a:fld>
          <a:endParaRPr lang="en-NG" sz="2800" b="1">
            <a:solidFill>
              <a:srgbClr val="FF0000"/>
            </a:solidFill>
          </a:endParaRPr>
        </a:p>
      </xdr:txBody>
    </xdr:sp>
    <xdr:clientData/>
  </xdr:twoCellAnchor>
  <xdr:twoCellAnchor>
    <xdr:from>
      <xdr:col>12</xdr:col>
      <xdr:colOff>234033</xdr:colOff>
      <xdr:row>11</xdr:row>
      <xdr:rowOff>13256</xdr:rowOff>
    </xdr:from>
    <xdr:to>
      <xdr:col>13</xdr:col>
      <xdr:colOff>437042</xdr:colOff>
      <xdr:row>13</xdr:row>
      <xdr:rowOff>71828</xdr:rowOff>
    </xdr:to>
    <xdr:sp macro="" textlink="age">
      <xdr:nvSpPr>
        <xdr:cNvPr id="17" name="TextBox 16">
          <a:extLst>
            <a:ext uri="{FF2B5EF4-FFF2-40B4-BE49-F238E27FC236}">
              <a16:creationId xmlns:a16="http://schemas.microsoft.com/office/drawing/2014/main" id="{420F94EA-22D7-4E95-A187-0A2B35A801E5}"/>
            </a:ext>
          </a:extLst>
        </xdr:cNvPr>
        <xdr:cNvSpPr txBox="1"/>
      </xdr:nvSpPr>
      <xdr:spPr>
        <a:xfrm>
          <a:off x="7556377" y="2141498"/>
          <a:ext cx="813204" cy="445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C3B257-B84F-4DE0-9B69-7E81E0AB62C2}" type="TxLink">
            <a:rPr lang="en-US" sz="2800" b="1" i="0" u="none" strike="noStrike">
              <a:solidFill>
                <a:srgbClr val="FF0000"/>
              </a:solidFill>
              <a:latin typeface="Aptos Narrow"/>
            </a:rPr>
            <a:pPr/>
            <a:t>46</a:t>
          </a:fld>
          <a:endParaRPr lang="en-NG" sz="5400" b="1">
            <a:solidFill>
              <a:srgbClr val="FF0000"/>
            </a:solidFill>
          </a:endParaRPr>
        </a:p>
      </xdr:txBody>
    </xdr:sp>
    <xdr:clientData/>
  </xdr:twoCellAnchor>
  <xdr:twoCellAnchor>
    <xdr:from>
      <xdr:col>17</xdr:col>
      <xdr:colOff>7856</xdr:colOff>
      <xdr:row>11</xdr:row>
      <xdr:rowOff>13256</xdr:rowOff>
    </xdr:from>
    <xdr:to>
      <xdr:col>20</xdr:col>
      <xdr:colOff>19795</xdr:colOff>
      <xdr:row>13</xdr:row>
      <xdr:rowOff>71828</xdr:rowOff>
    </xdr:to>
    <xdr:sp macro="" textlink="income">
      <xdr:nvSpPr>
        <xdr:cNvPr id="18" name="TextBox 17">
          <a:extLst>
            <a:ext uri="{FF2B5EF4-FFF2-40B4-BE49-F238E27FC236}">
              <a16:creationId xmlns:a16="http://schemas.microsoft.com/office/drawing/2014/main" id="{0EADC9EA-97C5-42AE-924B-4C3E76DEC544}"/>
            </a:ext>
          </a:extLst>
        </xdr:cNvPr>
        <xdr:cNvSpPr txBox="1"/>
      </xdr:nvSpPr>
      <xdr:spPr>
        <a:xfrm>
          <a:off x="10381176" y="2141498"/>
          <a:ext cx="1842525" cy="445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90C56F-96F1-4662-9882-76CA0E61DEF7}" type="TxLink">
            <a:rPr lang="en-US" sz="2800" b="1" i="0" u="none" strike="noStrike">
              <a:solidFill>
                <a:srgbClr val="FF0000"/>
              </a:solidFill>
              <a:latin typeface="Aptos Narrow"/>
            </a:rPr>
            <a:pPr/>
            <a:t> $114,399 </a:t>
          </a:fld>
          <a:endParaRPr lang="en-NG" sz="5400" b="1">
            <a:solidFill>
              <a:srgbClr val="FF0000"/>
            </a:solidFill>
          </a:endParaRPr>
        </a:p>
      </xdr:txBody>
    </xdr:sp>
    <xdr:clientData/>
  </xdr:twoCellAnchor>
  <xdr:twoCellAnchor>
    <xdr:from>
      <xdr:col>22</xdr:col>
      <xdr:colOff>18093</xdr:colOff>
      <xdr:row>11</xdr:row>
      <xdr:rowOff>13256</xdr:rowOff>
    </xdr:from>
    <xdr:to>
      <xdr:col>23</xdr:col>
      <xdr:colOff>215838</xdr:colOff>
      <xdr:row>13</xdr:row>
      <xdr:rowOff>71828</xdr:rowOff>
    </xdr:to>
    <xdr:sp macro="" textlink="tenure">
      <xdr:nvSpPr>
        <xdr:cNvPr id="19" name="TextBox 18">
          <a:extLst>
            <a:ext uri="{FF2B5EF4-FFF2-40B4-BE49-F238E27FC236}">
              <a16:creationId xmlns:a16="http://schemas.microsoft.com/office/drawing/2014/main" id="{A855012F-3CB6-45A9-8CC0-A551BE17071A}"/>
            </a:ext>
          </a:extLst>
        </xdr:cNvPr>
        <xdr:cNvSpPr txBox="1"/>
      </xdr:nvSpPr>
      <xdr:spPr>
        <a:xfrm>
          <a:off x="13442390" y="2141498"/>
          <a:ext cx="807940" cy="445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D6BE30-BC66-44DC-88F0-8A51D1A1433A}" type="TxLink">
            <a:rPr lang="en-US" sz="2800" b="1" i="0" u="none" strike="noStrike">
              <a:solidFill>
                <a:srgbClr val="FF0000"/>
              </a:solidFill>
              <a:latin typeface="Aptos Narrow"/>
            </a:rPr>
            <a:pPr/>
            <a:t>5</a:t>
          </a:fld>
          <a:endParaRPr lang="en-NG" sz="5400" b="1">
            <a:solidFill>
              <a:srgbClr val="FF0000"/>
            </a:solidFill>
          </a:endParaRPr>
        </a:p>
      </xdr:txBody>
    </xdr:sp>
    <xdr:clientData/>
  </xdr:twoCellAnchor>
  <xdr:twoCellAnchor>
    <xdr:from>
      <xdr:col>22</xdr:col>
      <xdr:colOff>193659</xdr:colOff>
      <xdr:row>11</xdr:row>
      <xdr:rowOff>94574</xdr:rowOff>
    </xdr:from>
    <xdr:to>
      <xdr:col>23</xdr:col>
      <xdr:colOff>387146</xdr:colOff>
      <xdr:row>13</xdr:row>
      <xdr:rowOff>158833</xdr:rowOff>
    </xdr:to>
    <xdr:sp macro="" textlink="tenure">
      <xdr:nvSpPr>
        <xdr:cNvPr id="20" name="TextBox 19">
          <a:extLst>
            <a:ext uri="{FF2B5EF4-FFF2-40B4-BE49-F238E27FC236}">
              <a16:creationId xmlns:a16="http://schemas.microsoft.com/office/drawing/2014/main" id="{1CF5936C-BE28-4173-86DF-E376E022792B}"/>
            </a:ext>
          </a:extLst>
        </xdr:cNvPr>
        <xdr:cNvSpPr txBox="1"/>
      </xdr:nvSpPr>
      <xdr:spPr>
        <a:xfrm>
          <a:off x="13617956" y="2222816"/>
          <a:ext cx="803682" cy="45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FF0000"/>
              </a:solidFill>
              <a:latin typeface="Aptos Narrow"/>
            </a:rPr>
            <a:t>Yrs</a:t>
          </a:r>
          <a:endParaRPr lang="en-NG" sz="4000" b="1">
            <a:solidFill>
              <a:srgbClr val="FF0000"/>
            </a:solidFill>
          </a:endParaRPr>
        </a:p>
      </xdr:txBody>
    </xdr:sp>
    <xdr:clientData/>
  </xdr:twoCellAnchor>
  <xdr:twoCellAnchor>
    <xdr:from>
      <xdr:col>7</xdr:col>
      <xdr:colOff>70035</xdr:colOff>
      <xdr:row>17</xdr:row>
      <xdr:rowOff>125157</xdr:rowOff>
    </xdr:from>
    <xdr:to>
      <xdr:col>16</xdr:col>
      <xdr:colOff>560295</xdr:colOff>
      <xdr:row>29</xdr:row>
      <xdr:rowOff>140072</xdr:rowOff>
    </xdr:to>
    <xdr:graphicFrame macro="">
      <xdr:nvGraphicFramePr>
        <xdr:cNvPr id="21" name="Chart 20">
          <a:extLst>
            <a:ext uri="{FF2B5EF4-FFF2-40B4-BE49-F238E27FC236}">
              <a16:creationId xmlns:a16="http://schemas.microsoft.com/office/drawing/2014/main" id="{BE628535-D3C3-4BCE-A3DF-3E893FB17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90878</xdr:colOff>
      <xdr:row>17</xdr:row>
      <xdr:rowOff>55332</xdr:rowOff>
    </xdr:from>
    <xdr:to>
      <xdr:col>25</xdr:col>
      <xdr:colOff>284641</xdr:colOff>
      <xdr:row>29</xdr:row>
      <xdr:rowOff>111630</xdr:rowOff>
    </xdr:to>
    <xdr:graphicFrame macro="">
      <xdr:nvGraphicFramePr>
        <xdr:cNvPr id="22" name="Chart 21">
          <a:extLst>
            <a:ext uri="{FF2B5EF4-FFF2-40B4-BE49-F238E27FC236}">
              <a16:creationId xmlns:a16="http://schemas.microsoft.com/office/drawing/2014/main" id="{2F50F0FE-2264-4684-ADF3-261CBD997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213559</xdr:colOff>
      <xdr:row>30</xdr:row>
      <xdr:rowOff>55332</xdr:rowOff>
    </xdr:from>
    <xdr:to>
      <xdr:col>13</xdr:col>
      <xdr:colOff>284639</xdr:colOff>
      <xdr:row>42</xdr:row>
      <xdr:rowOff>12683</xdr:rowOff>
    </xdr:to>
    <xdr:graphicFrame macro="">
      <xdr:nvGraphicFramePr>
        <xdr:cNvPr id="23" name="Chart 22">
          <a:extLst>
            <a:ext uri="{FF2B5EF4-FFF2-40B4-BE49-F238E27FC236}">
              <a16:creationId xmlns:a16="http://schemas.microsoft.com/office/drawing/2014/main" id="{1DCF32A4-C87C-4421-84A0-AA04FCAE7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227774</xdr:colOff>
      <xdr:row>30</xdr:row>
      <xdr:rowOff>126414</xdr:rowOff>
    </xdr:from>
    <xdr:to>
      <xdr:col>18</xdr:col>
      <xdr:colOff>554751</xdr:colOff>
      <xdr:row>41</xdr:row>
      <xdr:rowOff>69547</xdr:rowOff>
    </xdr:to>
    <xdr:graphicFrame macro="">
      <xdr:nvGraphicFramePr>
        <xdr:cNvPr id="24" name="Chart 23">
          <a:extLst>
            <a:ext uri="{FF2B5EF4-FFF2-40B4-BE49-F238E27FC236}">
              <a16:creationId xmlns:a16="http://schemas.microsoft.com/office/drawing/2014/main" id="{5B337505-EA04-46B5-8716-170DC9FF1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561011</xdr:colOff>
      <xdr:row>33</xdr:row>
      <xdr:rowOff>188535</xdr:rowOff>
    </xdr:from>
    <xdr:to>
      <xdr:col>16</xdr:col>
      <xdr:colOff>152713</xdr:colOff>
      <xdr:row>36</xdr:row>
      <xdr:rowOff>53631</xdr:rowOff>
    </xdr:to>
    <xdr:sp macro="" textlink="loyal">
      <xdr:nvSpPr>
        <xdr:cNvPr id="25" name="TextBox 24">
          <a:extLst>
            <a:ext uri="{FF2B5EF4-FFF2-40B4-BE49-F238E27FC236}">
              <a16:creationId xmlns:a16="http://schemas.microsoft.com/office/drawing/2014/main" id="{343B7ED1-0720-43A6-9072-E1F80D80F78D}"/>
            </a:ext>
          </a:extLst>
        </xdr:cNvPr>
        <xdr:cNvSpPr txBox="1"/>
      </xdr:nvSpPr>
      <xdr:spPr>
        <a:xfrm>
          <a:off x="9103745" y="6573262"/>
          <a:ext cx="812093" cy="445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7C9058-1122-4839-95A5-855D7C6D9BCE}" type="TxLink">
            <a:rPr lang="en-US" sz="2400" b="1" i="0" u="none" strike="noStrike">
              <a:solidFill>
                <a:schemeClr val="tx1">
                  <a:lumMod val="65000"/>
                  <a:lumOff val="35000"/>
                </a:schemeClr>
              </a:solidFill>
              <a:latin typeface="Aptos Narrow"/>
            </a:rPr>
            <a:pPr/>
            <a:t>167</a:t>
          </a:fld>
          <a:endParaRPr lang="en-NG" sz="4800" b="1">
            <a:solidFill>
              <a:schemeClr val="tx1">
                <a:lumMod val="65000"/>
                <a:lumOff val="35000"/>
              </a:schemeClr>
            </a:solidFill>
          </a:endParaRPr>
        </a:p>
      </xdr:txBody>
    </xdr:sp>
    <xdr:clientData/>
  </xdr:twoCellAnchor>
  <xdr:twoCellAnchor>
    <xdr:from>
      <xdr:col>14</xdr:col>
      <xdr:colOff>603835</xdr:colOff>
      <xdr:row>35</xdr:row>
      <xdr:rowOff>104810</xdr:rowOff>
    </xdr:from>
    <xdr:to>
      <xdr:col>16</xdr:col>
      <xdr:colOff>181857</xdr:colOff>
      <xdr:row>37</xdr:row>
      <xdr:rowOff>169068</xdr:rowOff>
    </xdr:to>
    <xdr:sp macro="" textlink="loyal">
      <xdr:nvSpPr>
        <xdr:cNvPr id="26" name="TextBox 25">
          <a:extLst>
            <a:ext uri="{FF2B5EF4-FFF2-40B4-BE49-F238E27FC236}">
              <a16:creationId xmlns:a16="http://schemas.microsoft.com/office/drawing/2014/main" id="{48334B53-4641-435A-B2D9-C1227F69B53C}"/>
            </a:ext>
          </a:extLst>
        </xdr:cNvPr>
        <xdr:cNvSpPr txBox="1"/>
      </xdr:nvSpPr>
      <xdr:spPr>
        <a:xfrm>
          <a:off x="9146569" y="6876490"/>
          <a:ext cx="798413" cy="451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lumMod val="65000"/>
                  <a:lumOff val="35000"/>
                </a:schemeClr>
              </a:solidFill>
              <a:latin typeface="Aptos Narrow"/>
            </a:rPr>
            <a:t>Loyal</a:t>
          </a:r>
          <a:endParaRPr lang="en-NG" sz="3600" b="1">
            <a:solidFill>
              <a:schemeClr val="tx1">
                <a:lumMod val="65000"/>
                <a:lumOff val="35000"/>
              </a:schemeClr>
            </a:solidFill>
          </a:endParaRPr>
        </a:p>
      </xdr:txBody>
    </xdr:sp>
    <xdr:clientData/>
  </xdr:twoCellAnchor>
  <xdr:twoCellAnchor>
    <xdr:from>
      <xdr:col>19</xdr:col>
      <xdr:colOff>408654</xdr:colOff>
      <xdr:row>31</xdr:row>
      <xdr:rowOff>24813</xdr:rowOff>
    </xdr:from>
    <xdr:to>
      <xdr:col>25</xdr:col>
      <xdr:colOff>19795</xdr:colOff>
      <xdr:row>41</xdr:row>
      <xdr:rowOff>26898</xdr:rowOff>
    </xdr:to>
    <xdr:graphicFrame macro="">
      <xdr:nvGraphicFramePr>
        <xdr:cNvPr id="27" name="Chart 26">
          <a:extLst>
            <a:ext uri="{FF2B5EF4-FFF2-40B4-BE49-F238E27FC236}">
              <a16:creationId xmlns:a16="http://schemas.microsoft.com/office/drawing/2014/main" id="{C6EE7C4F-6903-460E-89E9-343412536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142475</xdr:colOff>
      <xdr:row>11</xdr:row>
      <xdr:rowOff>160534</xdr:rowOff>
    </xdr:from>
    <xdr:to>
      <xdr:col>10</xdr:col>
      <xdr:colOff>568969</xdr:colOff>
      <xdr:row>17</xdr:row>
      <xdr:rowOff>4151</xdr:rowOff>
    </xdr:to>
    <xdr:graphicFrame macro="">
      <xdr:nvGraphicFramePr>
        <xdr:cNvPr id="29" name="Chart 28">
          <a:extLst>
            <a:ext uri="{FF2B5EF4-FFF2-40B4-BE49-F238E27FC236}">
              <a16:creationId xmlns:a16="http://schemas.microsoft.com/office/drawing/2014/main" id="{7ECE0974-559C-440B-9E3C-489A359E3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497888</xdr:colOff>
      <xdr:row>12</xdr:row>
      <xdr:rowOff>174746</xdr:rowOff>
    </xdr:from>
    <xdr:to>
      <xdr:col>25</xdr:col>
      <xdr:colOff>369940</xdr:colOff>
      <xdr:row>17</xdr:row>
      <xdr:rowOff>12535</xdr:rowOff>
    </xdr:to>
    <xdr:graphicFrame macro="">
      <xdr:nvGraphicFramePr>
        <xdr:cNvPr id="30" name="Chart 29">
          <a:extLst>
            <a:ext uri="{FF2B5EF4-FFF2-40B4-BE49-F238E27FC236}">
              <a16:creationId xmlns:a16="http://schemas.microsoft.com/office/drawing/2014/main" id="{596E1DC4-26F1-4612-AB3E-329E47CF3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48228</xdr:colOff>
      <xdr:row>12</xdr:row>
      <xdr:rowOff>83764</xdr:rowOff>
    </xdr:from>
    <xdr:to>
      <xdr:col>15</xdr:col>
      <xdr:colOff>497886</xdr:colOff>
      <xdr:row>17</xdr:row>
      <xdr:rowOff>26896</xdr:rowOff>
    </xdr:to>
    <xdr:graphicFrame macro="">
      <xdr:nvGraphicFramePr>
        <xdr:cNvPr id="28" name="Chart 27">
          <a:extLst>
            <a:ext uri="{FF2B5EF4-FFF2-40B4-BE49-F238E27FC236}">
              <a16:creationId xmlns:a16="http://schemas.microsoft.com/office/drawing/2014/main" id="{C758B1ED-C8D6-474F-B9ED-BB07E652B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431495</xdr:colOff>
      <xdr:row>11</xdr:row>
      <xdr:rowOff>191948</xdr:rowOff>
    </xdr:from>
    <xdr:to>
      <xdr:col>20</xdr:col>
      <xdr:colOff>284641</xdr:colOff>
      <xdr:row>17</xdr:row>
      <xdr:rowOff>19225</xdr:rowOff>
    </xdr:to>
    <xdr:graphicFrame macro="">
      <xdr:nvGraphicFramePr>
        <xdr:cNvPr id="31" name="Chart 30">
          <a:extLst>
            <a:ext uri="{FF2B5EF4-FFF2-40B4-BE49-F238E27FC236}">
              <a16:creationId xmlns:a16="http://schemas.microsoft.com/office/drawing/2014/main" id="{05A1FC15-FFA5-44B4-9D36-1BBE3B36A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256875</xdr:colOff>
      <xdr:row>10</xdr:row>
      <xdr:rowOff>14881</xdr:rowOff>
    </xdr:from>
    <xdr:to>
      <xdr:col>6</xdr:col>
      <xdr:colOff>531678</xdr:colOff>
      <xdr:row>11</xdr:row>
      <xdr:rowOff>106174</xdr:rowOff>
    </xdr:to>
    <xdr:pic>
      <xdr:nvPicPr>
        <xdr:cNvPr id="33" name="Picture 32">
          <a:hlinkClick xmlns:r="http://schemas.openxmlformats.org/officeDocument/2006/relationships" r:id="rId10"/>
          <a:extLst>
            <a:ext uri="{FF2B5EF4-FFF2-40B4-BE49-F238E27FC236}">
              <a16:creationId xmlns:a16="http://schemas.microsoft.com/office/drawing/2014/main" id="{8B6B6FF6-D7FE-F2C2-FF78-F5FD01FE97C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918047" y="1949647"/>
          <a:ext cx="274803" cy="284769"/>
        </a:xfrm>
        <a:prstGeom prst="rect">
          <a:avLst/>
        </a:prstGeom>
      </xdr:spPr>
    </xdr:pic>
    <xdr:clientData/>
  </xdr:twoCellAnchor>
  <xdr:twoCellAnchor editAs="oneCell">
    <xdr:from>
      <xdr:col>10</xdr:col>
      <xdr:colOff>70279</xdr:colOff>
      <xdr:row>10</xdr:row>
      <xdr:rowOff>59901</xdr:rowOff>
    </xdr:from>
    <xdr:to>
      <xdr:col>10</xdr:col>
      <xdr:colOff>385968</xdr:colOff>
      <xdr:row>12</xdr:row>
      <xdr:rowOff>11229</xdr:rowOff>
    </xdr:to>
    <xdr:pic>
      <xdr:nvPicPr>
        <xdr:cNvPr id="35" name="Picture 34">
          <a:extLst>
            <a:ext uri="{FF2B5EF4-FFF2-40B4-BE49-F238E27FC236}">
              <a16:creationId xmlns:a16="http://schemas.microsoft.com/office/drawing/2014/main" id="{54D6AFBB-7C99-14E8-775A-FA41D747452E}"/>
            </a:ext>
          </a:extLst>
        </xdr:cNvPr>
        <xdr:cNvPicPr>
          <a:picLocks noChangeAspect="1"/>
        </xdr:cNvPicPr>
      </xdr:nvPicPr>
      <xdr:blipFill>
        <a:blip xmlns:r="http://schemas.openxmlformats.org/officeDocument/2006/relationships" r:embed="rId12">
          <a:duotone>
            <a:prstClr val="black"/>
            <a:schemeClr val="accent2">
              <a:tint val="45000"/>
              <a:satMod val="400000"/>
            </a:schemeClr>
          </a:duotone>
          <a:extLst>
            <a:ext uri="{BEBA8EAE-BF5A-486C-A8C5-ECC9F3942E4B}">
              <a14:imgProps xmlns:a14="http://schemas.microsoft.com/office/drawing/2010/main">
                <a14:imgLayer r:embed="rId13">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6172232" y="1994667"/>
          <a:ext cx="315689" cy="338281"/>
        </a:xfrm>
        <a:prstGeom prst="rect">
          <a:avLst/>
        </a:prstGeom>
      </xdr:spPr>
    </xdr:pic>
    <xdr:clientData/>
  </xdr:twoCellAnchor>
  <xdr:twoCellAnchor editAs="oneCell">
    <xdr:from>
      <xdr:col>19</xdr:col>
      <xdr:colOff>355720</xdr:colOff>
      <xdr:row>10</xdr:row>
      <xdr:rowOff>41114</xdr:rowOff>
    </xdr:from>
    <xdr:to>
      <xdr:col>20</xdr:col>
      <xdr:colOff>142476</xdr:colOff>
      <xdr:row>12</xdr:row>
      <xdr:rowOff>69549</xdr:rowOff>
    </xdr:to>
    <xdr:pic>
      <xdr:nvPicPr>
        <xdr:cNvPr id="37" name="Picture 36">
          <a:extLst>
            <a:ext uri="{FF2B5EF4-FFF2-40B4-BE49-F238E27FC236}">
              <a16:creationId xmlns:a16="http://schemas.microsoft.com/office/drawing/2014/main" id="{2DC99C36-F6C9-71DD-B4BA-4D9039C689B6}"/>
            </a:ext>
          </a:extLst>
        </xdr:cNvPr>
        <xdr:cNvPicPr>
          <a:picLocks noChangeAspect="1"/>
        </xdr:cNvPicPr>
      </xdr:nvPicPr>
      <xdr:blipFill>
        <a:blip xmlns:r="http://schemas.openxmlformats.org/officeDocument/2006/relationships" r:embed="rId14">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11949431" y="1975880"/>
          <a:ext cx="396951" cy="415388"/>
        </a:xfrm>
        <a:prstGeom prst="rect">
          <a:avLst/>
        </a:prstGeom>
      </xdr:spPr>
    </xdr:pic>
    <xdr:clientData/>
  </xdr:twoCellAnchor>
  <xdr:twoCellAnchor editAs="oneCell">
    <xdr:from>
      <xdr:col>15</xdr:col>
      <xdr:colOff>48227</xdr:colOff>
      <xdr:row>10</xdr:row>
      <xdr:rowOff>16047</xdr:rowOff>
    </xdr:from>
    <xdr:to>
      <xdr:col>15</xdr:col>
      <xdr:colOff>350904</xdr:colOff>
      <xdr:row>11</xdr:row>
      <xdr:rowOff>139178</xdr:rowOff>
    </xdr:to>
    <xdr:pic>
      <xdr:nvPicPr>
        <xdr:cNvPr id="39" name="Picture 38">
          <a:extLst>
            <a:ext uri="{FF2B5EF4-FFF2-40B4-BE49-F238E27FC236}">
              <a16:creationId xmlns:a16="http://schemas.microsoft.com/office/drawing/2014/main" id="{9EB9BD05-2FE4-2E0D-F76E-68BE094E8C22}"/>
            </a:ext>
          </a:extLst>
        </xdr:cNvPr>
        <xdr:cNvPicPr>
          <a:picLocks noChangeAspect="1"/>
        </xdr:cNvPicPr>
      </xdr:nvPicPr>
      <xdr:blipFill>
        <a:blip xmlns:r="http://schemas.openxmlformats.org/officeDocument/2006/relationships" r:embed="rId15">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9201157" y="1950813"/>
          <a:ext cx="302677" cy="316607"/>
        </a:xfrm>
        <a:prstGeom prst="rect">
          <a:avLst/>
        </a:prstGeom>
      </xdr:spPr>
    </xdr:pic>
    <xdr:clientData/>
  </xdr:twoCellAnchor>
  <xdr:twoCellAnchor editAs="oneCell">
    <xdr:from>
      <xdr:col>24</xdr:col>
      <xdr:colOff>406208</xdr:colOff>
      <xdr:row>10</xdr:row>
      <xdr:rowOff>16045</xdr:rowOff>
    </xdr:from>
    <xdr:to>
      <xdr:col>25</xdr:col>
      <xdr:colOff>173928</xdr:colOff>
      <xdr:row>12</xdr:row>
      <xdr:rowOff>25444</xdr:rowOff>
    </xdr:to>
    <xdr:pic>
      <xdr:nvPicPr>
        <xdr:cNvPr id="41" name="Picture 40">
          <a:extLst>
            <a:ext uri="{FF2B5EF4-FFF2-40B4-BE49-F238E27FC236}">
              <a16:creationId xmlns:a16="http://schemas.microsoft.com/office/drawing/2014/main" id="{077DD0FF-98E3-4430-CEF8-CE6543976AE2}"/>
            </a:ext>
          </a:extLst>
        </xdr:cNvPr>
        <xdr:cNvPicPr>
          <a:picLocks noChangeAspect="1"/>
        </xdr:cNvPicPr>
      </xdr:nvPicPr>
      <xdr:blipFill>
        <a:blip xmlns:r="http://schemas.openxmlformats.org/officeDocument/2006/relationships" r:embed="rId16">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5050896" y="1950811"/>
          <a:ext cx="377915" cy="396352"/>
        </a:xfrm>
        <a:prstGeom prst="rect">
          <a:avLst/>
        </a:prstGeom>
      </xdr:spPr>
    </xdr:pic>
    <xdr:clientData/>
  </xdr:twoCellAnchor>
  <xdr:twoCellAnchor>
    <xdr:from>
      <xdr:col>7</xdr:col>
      <xdr:colOff>39001</xdr:colOff>
      <xdr:row>2</xdr:row>
      <xdr:rowOff>53627</xdr:rowOff>
    </xdr:from>
    <xdr:to>
      <xdr:col>21</xdr:col>
      <xdr:colOff>238142</xdr:colOff>
      <xdr:row>4</xdr:row>
      <xdr:rowOff>55331</xdr:rowOff>
    </xdr:to>
    <xdr:sp macro="" textlink="">
      <xdr:nvSpPr>
        <xdr:cNvPr id="42" name="TextBox 41">
          <a:extLst>
            <a:ext uri="{FF2B5EF4-FFF2-40B4-BE49-F238E27FC236}">
              <a16:creationId xmlns:a16="http://schemas.microsoft.com/office/drawing/2014/main" id="{221721CE-24A9-4EFA-A787-265FE20F69F1}"/>
            </a:ext>
          </a:extLst>
        </xdr:cNvPr>
        <xdr:cNvSpPr txBox="1"/>
      </xdr:nvSpPr>
      <xdr:spPr>
        <a:xfrm>
          <a:off x="4310368" y="440580"/>
          <a:ext cx="8741876" cy="38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bg2">
                  <a:lumMod val="75000"/>
                </a:schemeClr>
              </a:solidFill>
              <a:latin typeface="Aharoni" panose="02010803020104030203" pitchFamily="2" charset="-79"/>
              <a:cs typeface="Aharoni" panose="02010803020104030203" pitchFamily="2" charset="-79"/>
            </a:rPr>
            <a:t>INSIDE METROBANK: UNDERSTANDING OUR CUSTOMER BASE</a:t>
          </a:r>
          <a:endParaRPr lang="en-NG" sz="2000" b="1">
            <a:solidFill>
              <a:schemeClr val="bg2">
                <a:lumMod val="75000"/>
              </a:schemeClr>
            </a:solidFill>
            <a:latin typeface="Aharoni" panose="02010803020104030203" pitchFamily="2" charset="-79"/>
            <a:cs typeface="Aharoni" panose="02010803020104030203" pitchFamily="2" charset="-79"/>
          </a:endParaRPr>
        </a:p>
      </xdr:txBody>
    </xdr:sp>
    <xdr:clientData/>
  </xdr:twoCellAnchor>
  <xdr:twoCellAnchor>
    <xdr:from>
      <xdr:col>7</xdr:col>
      <xdr:colOff>63895</xdr:colOff>
      <xdr:row>3</xdr:row>
      <xdr:rowOff>135384</xdr:rowOff>
    </xdr:from>
    <xdr:to>
      <xdr:col>17</xdr:col>
      <xdr:colOff>416625</xdr:colOff>
      <xdr:row>5</xdr:row>
      <xdr:rowOff>137088</xdr:rowOff>
    </xdr:to>
    <xdr:sp macro="" textlink="">
      <xdr:nvSpPr>
        <xdr:cNvPr id="43" name="TextBox 42">
          <a:extLst>
            <a:ext uri="{FF2B5EF4-FFF2-40B4-BE49-F238E27FC236}">
              <a16:creationId xmlns:a16="http://schemas.microsoft.com/office/drawing/2014/main" id="{E3725BB4-06DA-4ECF-8665-1F1B77BB0206}"/>
            </a:ext>
          </a:extLst>
        </xdr:cNvPr>
        <xdr:cNvSpPr txBox="1"/>
      </xdr:nvSpPr>
      <xdr:spPr>
        <a:xfrm>
          <a:off x="4335262" y="715814"/>
          <a:ext cx="6454683" cy="38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solidFill>
                <a:schemeClr val="bg2">
                  <a:lumMod val="75000"/>
                </a:schemeClr>
              </a:solidFill>
              <a:latin typeface="Abadi" panose="020F0502020204030204" pitchFamily="34" charset="0"/>
              <a:cs typeface="Aharoni" panose="02010803020104030203" pitchFamily="2" charset="-79"/>
            </a:rPr>
            <a:t>Understanding Demographics,Income and Tenure to Personalize Engagement</a:t>
          </a:r>
          <a:endParaRPr lang="en-NG" sz="1400" b="0">
            <a:solidFill>
              <a:schemeClr val="bg2">
                <a:lumMod val="75000"/>
              </a:schemeClr>
            </a:solidFill>
            <a:latin typeface="Abadi" panose="020F0502020204030204" pitchFamily="34" charset="0"/>
            <a:cs typeface="Aharoni" panose="02010803020104030203" pitchFamily="2" charset="-79"/>
          </a:endParaRPr>
        </a:p>
      </xdr:txBody>
    </xdr:sp>
    <xdr:clientData/>
  </xdr:twoCellAnchor>
  <xdr:twoCellAnchor>
    <xdr:from>
      <xdr:col>7</xdr:col>
      <xdr:colOff>215840</xdr:colOff>
      <xdr:row>16</xdr:row>
      <xdr:rowOff>130968</xdr:rowOff>
    </xdr:from>
    <xdr:to>
      <xdr:col>11</xdr:col>
      <xdr:colOff>48228</xdr:colOff>
      <xdr:row>18</xdr:row>
      <xdr:rowOff>132672</xdr:rowOff>
    </xdr:to>
    <xdr:sp macro="" textlink="">
      <xdr:nvSpPr>
        <xdr:cNvPr id="45" name="TextBox 44">
          <a:extLst>
            <a:ext uri="{FF2B5EF4-FFF2-40B4-BE49-F238E27FC236}">
              <a16:creationId xmlns:a16="http://schemas.microsoft.com/office/drawing/2014/main" id="{1DA34590-6500-4042-8FD0-45647B091603}"/>
            </a:ext>
          </a:extLst>
        </xdr:cNvPr>
        <xdr:cNvSpPr txBox="1"/>
      </xdr:nvSpPr>
      <xdr:spPr>
        <a:xfrm>
          <a:off x="4487207" y="3226593"/>
          <a:ext cx="2273169" cy="38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solidFill>
                <a:schemeClr val="bg2">
                  <a:lumMod val="75000"/>
                </a:schemeClr>
              </a:solidFill>
              <a:latin typeface="Abadi" panose="020F0502020204030204" pitchFamily="34" charset="0"/>
              <a:cs typeface="Aharoni" panose="02010803020104030203" pitchFamily="2" charset="-79"/>
            </a:rPr>
            <a:t>Customer</a:t>
          </a:r>
          <a:r>
            <a:rPr lang="en-GB" sz="1400" b="0" baseline="0">
              <a:solidFill>
                <a:schemeClr val="bg2">
                  <a:lumMod val="75000"/>
                </a:schemeClr>
              </a:solidFill>
              <a:latin typeface="Abadi" panose="020F0502020204030204" pitchFamily="34" charset="0"/>
              <a:cs typeface="Aharoni" panose="02010803020104030203" pitchFamily="2" charset="-79"/>
            </a:rPr>
            <a:t> Growth Trend</a:t>
          </a:r>
          <a:endParaRPr lang="en-NG" sz="1400" b="0">
            <a:solidFill>
              <a:schemeClr val="bg2">
                <a:lumMod val="75000"/>
              </a:schemeClr>
            </a:solidFill>
            <a:latin typeface="Abadi" panose="020F0502020204030204" pitchFamily="34" charset="0"/>
            <a:cs typeface="Aharoni" panose="02010803020104030203" pitchFamily="2" charset="-79"/>
          </a:endParaRPr>
        </a:p>
      </xdr:txBody>
    </xdr:sp>
    <xdr:clientData/>
  </xdr:twoCellAnchor>
  <xdr:twoCellAnchor>
    <xdr:from>
      <xdr:col>17</xdr:col>
      <xdr:colOff>183427</xdr:colOff>
      <xdr:row>16</xdr:row>
      <xdr:rowOff>146890</xdr:rowOff>
    </xdr:from>
    <xdr:to>
      <xdr:col>21</xdr:col>
      <xdr:colOff>483671</xdr:colOff>
      <xdr:row>18</xdr:row>
      <xdr:rowOff>148595</xdr:rowOff>
    </xdr:to>
    <xdr:sp macro="" textlink="">
      <xdr:nvSpPr>
        <xdr:cNvPr id="46" name="TextBox 45">
          <a:extLst>
            <a:ext uri="{FF2B5EF4-FFF2-40B4-BE49-F238E27FC236}">
              <a16:creationId xmlns:a16="http://schemas.microsoft.com/office/drawing/2014/main" id="{7616C98A-1BDB-4166-8113-325DDECE7657}"/>
            </a:ext>
          </a:extLst>
        </xdr:cNvPr>
        <xdr:cNvSpPr txBox="1"/>
      </xdr:nvSpPr>
      <xdr:spPr>
        <a:xfrm>
          <a:off x="10556747" y="3242515"/>
          <a:ext cx="2741026" cy="388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solidFill>
                <a:schemeClr val="bg2">
                  <a:lumMod val="75000"/>
                </a:schemeClr>
              </a:solidFill>
              <a:latin typeface="Abadi" panose="020F0502020204030204" pitchFamily="34" charset="0"/>
              <a:cs typeface="Aharoni" panose="02010803020104030203" pitchFamily="2" charset="-79"/>
            </a:rPr>
            <a:t>Customer</a:t>
          </a:r>
          <a:r>
            <a:rPr lang="en-GB" sz="1400" b="0" baseline="0">
              <a:solidFill>
                <a:schemeClr val="bg2">
                  <a:lumMod val="75000"/>
                </a:schemeClr>
              </a:solidFill>
              <a:latin typeface="Abadi" panose="020F0502020204030204" pitchFamily="34" charset="0"/>
              <a:cs typeface="Aharoni" panose="02010803020104030203" pitchFamily="2" charset="-79"/>
            </a:rPr>
            <a:t>  wealth by Generation</a:t>
          </a:r>
          <a:endParaRPr lang="en-NG" sz="1400" b="0">
            <a:solidFill>
              <a:schemeClr val="bg2">
                <a:lumMod val="75000"/>
              </a:schemeClr>
            </a:solidFill>
            <a:latin typeface="Abadi" panose="020F0502020204030204" pitchFamily="34" charset="0"/>
            <a:cs typeface="Aharoni" panose="02010803020104030203" pitchFamily="2" charset="-79"/>
          </a:endParaRPr>
        </a:p>
      </xdr:txBody>
    </xdr:sp>
    <xdr:clientData/>
  </xdr:twoCellAnchor>
  <xdr:twoCellAnchor>
    <xdr:from>
      <xdr:col>13</xdr:col>
      <xdr:colOff>222094</xdr:colOff>
      <xdr:row>29</xdr:row>
      <xdr:rowOff>137223</xdr:rowOff>
    </xdr:from>
    <xdr:to>
      <xdr:col>17</xdr:col>
      <xdr:colOff>522340</xdr:colOff>
      <xdr:row>31</xdr:row>
      <xdr:rowOff>138927</xdr:rowOff>
    </xdr:to>
    <xdr:sp macro="" textlink="">
      <xdr:nvSpPr>
        <xdr:cNvPr id="47" name="TextBox 46">
          <a:extLst>
            <a:ext uri="{FF2B5EF4-FFF2-40B4-BE49-F238E27FC236}">
              <a16:creationId xmlns:a16="http://schemas.microsoft.com/office/drawing/2014/main" id="{53B8557F-0774-486C-8362-E6BF6FCF7152}"/>
            </a:ext>
          </a:extLst>
        </xdr:cNvPr>
        <xdr:cNvSpPr txBox="1"/>
      </xdr:nvSpPr>
      <xdr:spPr>
        <a:xfrm>
          <a:off x="8154633" y="5748043"/>
          <a:ext cx="2741027" cy="38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solidFill>
                <a:schemeClr val="bg2">
                  <a:lumMod val="75000"/>
                </a:schemeClr>
              </a:solidFill>
              <a:latin typeface="Abadi" panose="020F0502020204030204" pitchFamily="34" charset="0"/>
              <a:cs typeface="Aharoni" panose="02010803020104030203" pitchFamily="2" charset="-79"/>
            </a:rPr>
            <a:t>Customer loyalty segmentation</a:t>
          </a:r>
          <a:endParaRPr lang="en-NG" sz="1400" b="0">
            <a:solidFill>
              <a:schemeClr val="bg2">
                <a:lumMod val="75000"/>
              </a:schemeClr>
            </a:solidFill>
            <a:latin typeface="Abadi" panose="020F0502020204030204" pitchFamily="34" charset="0"/>
            <a:cs typeface="Aharoni" panose="02010803020104030203" pitchFamily="2" charset="-79"/>
          </a:endParaRPr>
        </a:p>
      </xdr:txBody>
    </xdr:sp>
    <xdr:clientData/>
  </xdr:twoCellAnchor>
  <xdr:twoCellAnchor>
    <xdr:from>
      <xdr:col>7</xdr:col>
      <xdr:colOff>213559</xdr:colOff>
      <xdr:row>29</xdr:row>
      <xdr:rowOff>112198</xdr:rowOff>
    </xdr:from>
    <xdr:to>
      <xdr:col>11</xdr:col>
      <xdr:colOff>504278</xdr:colOff>
      <xdr:row>31</xdr:row>
      <xdr:rowOff>113902</xdr:rowOff>
    </xdr:to>
    <xdr:sp macro="" textlink="">
      <xdr:nvSpPr>
        <xdr:cNvPr id="48" name="TextBox 47">
          <a:extLst>
            <a:ext uri="{FF2B5EF4-FFF2-40B4-BE49-F238E27FC236}">
              <a16:creationId xmlns:a16="http://schemas.microsoft.com/office/drawing/2014/main" id="{769238F4-849A-44AD-8BA2-6AAFCDE72292}"/>
            </a:ext>
          </a:extLst>
        </xdr:cNvPr>
        <xdr:cNvSpPr txBox="1"/>
      </xdr:nvSpPr>
      <xdr:spPr>
        <a:xfrm>
          <a:off x="4484926" y="5723018"/>
          <a:ext cx="2731500" cy="38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solidFill>
                <a:schemeClr val="bg2">
                  <a:lumMod val="75000"/>
                </a:schemeClr>
              </a:solidFill>
              <a:latin typeface="Abadi" panose="020F0502020204030204" pitchFamily="34" charset="0"/>
              <a:cs typeface="Aharoni" panose="02010803020104030203" pitchFamily="2" charset="-79"/>
            </a:rPr>
            <a:t>Customer</a:t>
          </a:r>
          <a:r>
            <a:rPr lang="en-GB" sz="1400" b="0" baseline="0">
              <a:solidFill>
                <a:schemeClr val="bg2">
                  <a:lumMod val="75000"/>
                </a:schemeClr>
              </a:solidFill>
              <a:latin typeface="Abadi" panose="020F0502020204030204" pitchFamily="34" charset="0"/>
              <a:cs typeface="Aharoni" panose="02010803020104030203" pitchFamily="2" charset="-79"/>
            </a:rPr>
            <a:t>  Region by Gender</a:t>
          </a:r>
          <a:endParaRPr lang="en-NG" sz="1400" b="0">
            <a:solidFill>
              <a:schemeClr val="bg2">
                <a:lumMod val="75000"/>
              </a:schemeClr>
            </a:solidFill>
            <a:latin typeface="Abadi" panose="020F0502020204030204" pitchFamily="34" charset="0"/>
            <a:cs typeface="Aharoni" panose="02010803020104030203" pitchFamily="2" charset="-79"/>
          </a:endParaRPr>
        </a:p>
      </xdr:txBody>
    </xdr:sp>
    <xdr:clientData/>
  </xdr:twoCellAnchor>
  <xdr:twoCellAnchor>
    <xdr:from>
      <xdr:col>19</xdr:col>
      <xdr:colOff>181191</xdr:colOff>
      <xdr:row>29</xdr:row>
      <xdr:rowOff>95898</xdr:rowOff>
    </xdr:from>
    <xdr:to>
      <xdr:col>24</xdr:col>
      <xdr:colOff>512102</xdr:colOff>
      <xdr:row>31</xdr:row>
      <xdr:rowOff>97602</xdr:rowOff>
    </xdr:to>
    <xdr:sp macro="" textlink="">
      <xdr:nvSpPr>
        <xdr:cNvPr id="49" name="TextBox 48">
          <a:extLst>
            <a:ext uri="{FF2B5EF4-FFF2-40B4-BE49-F238E27FC236}">
              <a16:creationId xmlns:a16="http://schemas.microsoft.com/office/drawing/2014/main" id="{913D946F-835A-44AE-832E-E5ECD1017B69}"/>
            </a:ext>
          </a:extLst>
        </xdr:cNvPr>
        <xdr:cNvSpPr txBox="1"/>
      </xdr:nvSpPr>
      <xdr:spPr>
        <a:xfrm>
          <a:off x="11774902" y="5706718"/>
          <a:ext cx="3381888" cy="38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solidFill>
                <a:schemeClr val="bg2">
                  <a:lumMod val="75000"/>
                </a:schemeClr>
              </a:solidFill>
              <a:latin typeface="Abadi" panose="020F0502020204030204" pitchFamily="34" charset="0"/>
              <a:cs typeface="Aharoni" panose="02010803020104030203" pitchFamily="2" charset="-79"/>
            </a:rPr>
            <a:t>Customer</a:t>
          </a:r>
          <a:r>
            <a:rPr lang="en-GB" sz="1400" b="0" baseline="0">
              <a:solidFill>
                <a:schemeClr val="bg2">
                  <a:lumMod val="75000"/>
                </a:schemeClr>
              </a:solidFill>
              <a:latin typeface="Abadi" panose="020F0502020204030204" pitchFamily="34" charset="0"/>
              <a:cs typeface="Aharoni" panose="02010803020104030203" pitchFamily="2" charset="-79"/>
            </a:rPr>
            <a:t>  wealth by Segmentation</a:t>
          </a:r>
          <a:endParaRPr lang="en-NG" sz="1400" b="0">
            <a:solidFill>
              <a:schemeClr val="bg2">
                <a:lumMod val="75000"/>
              </a:schemeClr>
            </a:solidFill>
            <a:latin typeface="Abadi" panose="020F0502020204030204" pitchFamily="34" charset="0"/>
            <a:cs typeface="Aharoni" panose="02010803020104030203" pitchFamily="2" charset="-79"/>
          </a:endParaRPr>
        </a:p>
      </xdr:txBody>
    </xdr:sp>
    <xdr:clientData/>
  </xdr:twoCellAnchor>
  <xdr:twoCellAnchor editAs="oneCell">
    <xdr:from>
      <xdr:col>20</xdr:col>
      <xdr:colOff>90439</xdr:colOff>
      <xdr:row>5</xdr:row>
      <xdr:rowOff>97544</xdr:rowOff>
    </xdr:from>
    <xdr:to>
      <xdr:col>25</xdr:col>
      <xdr:colOff>221434</xdr:colOff>
      <xdr:row>7</xdr:row>
      <xdr:rowOff>191505</xdr:rowOff>
    </xdr:to>
    <mc:AlternateContent xmlns:mc="http://schemas.openxmlformats.org/markup-compatibility/2006" xmlns:a14="http://schemas.microsoft.com/office/drawing/2010/main">
      <mc:Choice Requires="a14">
        <xdr:graphicFrame macro="">
          <xdr:nvGraphicFramePr>
            <xdr:cNvPr id="34" name="Customer_Segment">
              <a:extLst>
                <a:ext uri="{FF2B5EF4-FFF2-40B4-BE49-F238E27FC236}">
                  <a16:creationId xmlns:a16="http://schemas.microsoft.com/office/drawing/2014/main" id="{FB583DAD-7EB6-4DD8-8334-309CF225F2B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2416910" y="1078059"/>
              <a:ext cx="3212612" cy="4861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65507</xdr:colOff>
      <xdr:row>1</xdr:row>
      <xdr:rowOff>146309</xdr:rowOff>
    </xdr:from>
    <xdr:to>
      <xdr:col>25</xdr:col>
      <xdr:colOff>212684</xdr:colOff>
      <xdr:row>5</xdr:row>
      <xdr:rowOff>178593</xdr:rowOff>
    </xdr:to>
    <mc:AlternateContent xmlns:mc="http://schemas.openxmlformats.org/markup-compatibility/2006" xmlns:a14="http://schemas.microsoft.com/office/drawing/2010/main">
      <mc:Choice Requires="a14">
        <xdr:graphicFrame macro="">
          <xdr:nvGraphicFramePr>
            <xdr:cNvPr id="36" name="Age group">
              <a:extLst>
                <a:ext uri="{FF2B5EF4-FFF2-40B4-BE49-F238E27FC236}">
                  <a16:creationId xmlns:a16="http://schemas.microsoft.com/office/drawing/2014/main" id="{7D4D5727-9136-41B3-8553-51BAA21137A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391978" y="342412"/>
              <a:ext cx="3228794" cy="81669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282790</xdr:colOff>
      <xdr:row>38</xdr:row>
      <xdr:rowOff>113597</xdr:rowOff>
    </xdr:from>
    <xdr:to>
      <xdr:col>7</xdr:col>
      <xdr:colOff>5898</xdr:colOff>
      <xdr:row>40</xdr:row>
      <xdr:rowOff>63109</xdr:rowOff>
    </xdr:to>
    <xdr:pic>
      <xdr:nvPicPr>
        <xdr:cNvPr id="50" name="Picture 49">
          <a:extLst>
            <a:ext uri="{FF2B5EF4-FFF2-40B4-BE49-F238E27FC236}">
              <a16:creationId xmlns:a16="http://schemas.microsoft.com/office/drawing/2014/main" id="{C5E5AB11-02A5-486D-80CC-901D05FAAFD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943962" y="7465706"/>
          <a:ext cx="333303" cy="336466"/>
        </a:xfrm>
        <a:prstGeom prst="rect">
          <a:avLst/>
        </a:prstGeom>
      </xdr:spPr>
    </xdr:pic>
    <xdr:clientData/>
  </xdr:twoCellAnchor>
  <xdr:twoCellAnchor editAs="oneCell">
    <xdr:from>
      <xdr:col>6</xdr:col>
      <xdr:colOff>247951</xdr:colOff>
      <xdr:row>21</xdr:row>
      <xdr:rowOff>72801</xdr:rowOff>
    </xdr:from>
    <xdr:to>
      <xdr:col>6</xdr:col>
      <xdr:colOff>587463</xdr:colOff>
      <xdr:row>23</xdr:row>
      <xdr:rowOff>9486</xdr:rowOff>
    </xdr:to>
    <xdr:pic>
      <xdr:nvPicPr>
        <xdr:cNvPr id="51" name="Picture 50">
          <a:hlinkClick xmlns:r="http://schemas.openxmlformats.org/officeDocument/2006/relationships" r:id="rId18"/>
          <a:extLst>
            <a:ext uri="{FF2B5EF4-FFF2-40B4-BE49-F238E27FC236}">
              <a16:creationId xmlns:a16="http://schemas.microsoft.com/office/drawing/2014/main" id="{40CA565D-6493-49DB-A643-812D3EFE0A3D}"/>
            </a:ext>
          </a:extLst>
        </xdr:cNvPr>
        <xdr:cNvPicPr>
          <a:picLocks noChangeAspect="1"/>
        </xdr:cNvPicPr>
      </xdr:nvPicPr>
      <xdr:blipFill>
        <a:blip xmlns:r="http://schemas.openxmlformats.org/officeDocument/2006/relationships" r:embed="rId19">
          <a:duotone>
            <a:schemeClr val="bg2">
              <a:shade val="45000"/>
              <a:satMod val="135000"/>
            </a:schemeClr>
            <a:prstClr val="white"/>
          </a:duotone>
          <a:alphaModFix amt="20000"/>
          <a:extLst>
            <a:ext uri="{BEBA8EAE-BF5A-486C-A8C5-ECC9F3942E4B}">
              <a14:imgProps xmlns:a14="http://schemas.microsoft.com/office/drawing/2010/main">
                <a14:imgLayer r:embed="rId20">
                  <a14:imgEffect>
                    <a14:saturation sat="0"/>
                  </a14:imgEffect>
                </a14:imgLayer>
              </a14:imgProps>
            </a:ext>
            <a:ext uri="{28A0092B-C50C-407E-A947-70E740481C1C}">
              <a14:useLocalDpi xmlns:a14="http://schemas.microsoft.com/office/drawing/2010/main" val="0"/>
            </a:ext>
          </a:extLst>
        </a:blip>
        <a:stretch>
          <a:fillRect/>
        </a:stretch>
      </xdr:blipFill>
      <xdr:spPr>
        <a:xfrm>
          <a:off x="3909123" y="4135809"/>
          <a:ext cx="339512" cy="323638"/>
        </a:xfrm>
        <a:prstGeom prst="rect">
          <a:avLst/>
        </a:prstGeom>
      </xdr:spPr>
    </xdr:pic>
    <xdr:clientData/>
  </xdr:twoCellAnchor>
  <xdr:twoCellAnchor editAs="oneCell">
    <xdr:from>
      <xdr:col>6</xdr:col>
      <xdr:colOff>218185</xdr:colOff>
      <xdr:row>13</xdr:row>
      <xdr:rowOff>151364</xdr:rowOff>
    </xdr:from>
    <xdr:to>
      <xdr:col>6</xdr:col>
      <xdr:colOff>571444</xdr:colOff>
      <xdr:row>15</xdr:row>
      <xdr:rowOff>104360</xdr:rowOff>
    </xdr:to>
    <xdr:pic>
      <xdr:nvPicPr>
        <xdr:cNvPr id="52" name="Picture 51">
          <a:hlinkClick xmlns:r="http://schemas.openxmlformats.org/officeDocument/2006/relationships" r:id="rId21"/>
          <a:extLst>
            <a:ext uri="{FF2B5EF4-FFF2-40B4-BE49-F238E27FC236}">
              <a16:creationId xmlns:a16="http://schemas.microsoft.com/office/drawing/2014/main" id="{2BC67829-45D9-4B80-98BC-A80AFFEFDC60}"/>
            </a:ext>
          </a:extLst>
        </xdr:cNvPr>
        <xdr:cNvPicPr>
          <a:picLocks noChangeAspect="1"/>
        </xdr:cNvPicPr>
      </xdr:nvPicPr>
      <xdr:blipFill>
        <a:blip xmlns:r="http://schemas.openxmlformats.org/officeDocument/2006/relationships" r:embed="rId22">
          <a:duotone>
            <a:schemeClr val="bg2">
              <a:shade val="45000"/>
              <a:satMod val="135000"/>
            </a:schemeClr>
            <a:prstClr val="white"/>
          </a:duotone>
          <a:alphaModFix amt="35000"/>
          <a:extLst>
            <a:ext uri="{28A0092B-C50C-407E-A947-70E740481C1C}">
              <a14:useLocalDpi xmlns:a14="http://schemas.microsoft.com/office/drawing/2010/main" val="0"/>
            </a:ext>
          </a:extLst>
        </a:blip>
        <a:stretch>
          <a:fillRect/>
        </a:stretch>
      </xdr:blipFill>
      <xdr:spPr>
        <a:xfrm>
          <a:off x="3879357" y="2666559"/>
          <a:ext cx="353259" cy="339949"/>
        </a:xfrm>
        <a:prstGeom prst="rect">
          <a:avLst/>
        </a:prstGeom>
      </xdr:spPr>
    </xdr:pic>
    <xdr:clientData/>
  </xdr:twoCellAnchor>
  <xdr:twoCellAnchor editAs="oneCell">
    <xdr:from>
      <xdr:col>6</xdr:col>
      <xdr:colOff>247950</xdr:colOff>
      <xdr:row>17</xdr:row>
      <xdr:rowOff>136480</xdr:rowOff>
    </xdr:from>
    <xdr:to>
      <xdr:col>6</xdr:col>
      <xdr:colOff>601562</xdr:colOff>
      <xdr:row>19</xdr:row>
      <xdr:rowOff>98493</xdr:rowOff>
    </xdr:to>
    <xdr:pic>
      <xdr:nvPicPr>
        <xdr:cNvPr id="53" name="Picture 52">
          <a:hlinkClick xmlns:r="http://schemas.openxmlformats.org/officeDocument/2006/relationships" r:id="rId23"/>
          <a:extLst>
            <a:ext uri="{FF2B5EF4-FFF2-40B4-BE49-F238E27FC236}">
              <a16:creationId xmlns:a16="http://schemas.microsoft.com/office/drawing/2014/main" id="{0F54A9CF-24F8-4D68-880C-9C3781BC54EB}"/>
            </a:ext>
          </a:extLst>
        </xdr:cNvPr>
        <xdr:cNvPicPr>
          <a:picLocks noChangeAspect="1"/>
        </xdr:cNvPicPr>
      </xdr:nvPicPr>
      <xdr:blipFill>
        <a:blip xmlns:r="http://schemas.openxmlformats.org/officeDocument/2006/relationships" r:embed="rId24">
          <a:duotone>
            <a:schemeClr val="bg2">
              <a:shade val="45000"/>
              <a:satMod val="135000"/>
            </a:schemeClr>
            <a:prstClr val="white"/>
          </a:duotone>
          <a:alphaModFix amt="35000"/>
          <a:extLst>
            <a:ext uri="{28A0092B-C50C-407E-A947-70E740481C1C}">
              <a14:useLocalDpi xmlns:a14="http://schemas.microsoft.com/office/drawing/2010/main" val="0"/>
            </a:ext>
          </a:extLst>
        </a:blip>
        <a:stretch>
          <a:fillRect/>
        </a:stretch>
      </xdr:blipFill>
      <xdr:spPr>
        <a:xfrm>
          <a:off x="3909122" y="3425582"/>
          <a:ext cx="353612" cy="348966"/>
        </a:xfrm>
        <a:prstGeom prst="rect">
          <a:avLst/>
        </a:prstGeom>
      </xdr:spPr>
    </xdr:pic>
    <xdr:clientData/>
  </xdr:twoCellAnchor>
  <xdr:twoCellAnchor editAs="oneCell">
    <xdr:from>
      <xdr:col>6</xdr:col>
      <xdr:colOff>223259</xdr:colOff>
      <xdr:row>25</xdr:row>
      <xdr:rowOff>89296</xdr:rowOff>
    </xdr:from>
    <xdr:to>
      <xdr:col>6</xdr:col>
      <xdr:colOff>593387</xdr:colOff>
      <xdr:row>27</xdr:row>
      <xdr:rowOff>75611</xdr:rowOff>
    </xdr:to>
    <xdr:pic>
      <xdr:nvPicPr>
        <xdr:cNvPr id="54" name="Picture 53">
          <a:hlinkClick xmlns:r="http://schemas.openxmlformats.org/officeDocument/2006/relationships" r:id="rId25"/>
          <a:extLst>
            <a:ext uri="{FF2B5EF4-FFF2-40B4-BE49-F238E27FC236}">
              <a16:creationId xmlns:a16="http://schemas.microsoft.com/office/drawing/2014/main" id="{C6BFD160-9FE3-4F5D-A2BF-9B47545A6555}"/>
            </a:ext>
          </a:extLst>
        </xdr:cNvPr>
        <xdr:cNvPicPr>
          <a:picLocks noChangeAspect="1"/>
        </xdr:cNvPicPr>
      </xdr:nvPicPr>
      <xdr:blipFill>
        <a:blip xmlns:r="http://schemas.openxmlformats.org/officeDocument/2006/relationships" r:embed="rId26">
          <a:duotone>
            <a:schemeClr val="bg2">
              <a:shade val="45000"/>
              <a:satMod val="135000"/>
            </a:schemeClr>
            <a:prstClr val="white"/>
          </a:duotone>
          <a:alphaModFix amt="18000"/>
          <a:extLst>
            <a:ext uri="{BEBA8EAE-BF5A-486C-A8C5-ECC9F3942E4B}">
              <a14:imgProps xmlns:a14="http://schemas.microsoft.com/office/drawing/2010/main">
                <a14:imgLayer r:embed="rId27">
                  <a14:imgEffect>
                    <a14:saturation sat="0"/>
                  </a14:imgEffect>
                  <a14:imgEffect>
                    <a14:brightnessContrast bright="-100000" contrast="-40000"/>
                  </a14:imgEffect>
                </a14:imgLayer>
              </a14:imgProps>
            </a:ext>
            <a:ext uri="{28A0092B-C50C-407E-A947-70E740481C1C}">
              <a14:useLocalDpi xmlns:a14="http://schemas.microsoft.com/office/drawing/2010/main" val="0"/>
            </a:ext>
          </a:extLst>
        </a:blip>
        <a:stretch>
          <a:fillRect/>
        </a:stretch>
      </xdr:blipFill>
      <xdr:spPr>
        <a:xfrm>
          <a:off x="3884431" y="4926210"/>
          <a:ext cx="370128" cy="373268"/>
        </a:xfrm>
        <a:prstGeom prst="rect">
          <a:avLst/>
        </a:prstGeom>
      </xdr:spPr>
    </xdr:pic>
    <xdr:clientData/>
  </xdr:twoCellAnchor>
  <xdr:twoCellAnchor editAs="oneCell">
    <xdr:from>
      <xdr:col>6</xdr:col>
      <xdr:colOff>119079</xdr:colOff>
      <xdr:row>1</xdr:row>
      <xdr:rowOff>131819</xdr:rowOff>
    </xdr:from>
    <xdr:to>
      <xdr:col>7</xdr:col>
      <xdr:colOff>57654</xdr:colOff>
      <xdr:row>5</xdr:row>
      <xdr:rowOff>37342</xdr:rowOff>
    </xdr:to>
    <xdr:pic>
      <xdr:nvPicPr>
        <xdr:cNvPr id="55" name="Picture 54">
          <a:extLst>
            <a:ext uri="{FF2B5EF4-FFF2-40B4-BE49-F238E27FC236}">
              <a16:creationId xmlns:a16="http://schemas.microsoft.com/office/drawing/2014/main" id="{48A6A282-D72E-4152-90C1-93A2CDDD5F1E}"/>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780251" y="325296"/>
          <a:ext cx="548770" cy="679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473715</xdr:colOff>
      <xdr:row>0</xdr:row>
      <xdr:rowOff>74377</xdr:rowOff>
    </xdr:from>
    <xdr:to>
      <xdr:col>25</xdr:col>
      <xdr:colOff>320781</xdr:colOff>
      <xdr:row>41</xdr:row>
      <xdr:rowOff>122788</xdr:rowOff>
    </xdr:to>
    <xdr:grpSp>
      <xdr:nvGrpSpPr>
        <xdr:cNvPr id="47" name="Group 46">
          <a:extLst>
            <a:ext uri="{FF2B5EF4-FFF2-40B4-BE49-F238E27FC236}">
              <a16:creationId xmlns:a16="http://schemas.microsoft.com/office/drawing/2014/main" id="{28B00329-AABA-4660-91A1-BEE97CEA380E}"/>
            </a:ext>
          </a:extLst>
        </xdr:cNvPr>
        <xdr:cNvGrpSpPr/>
      </xdr:nvGrpSpPr>
      <xdr:grpSpPr>
        <a:xfrm>
          <a:off x="3555333" y="74377"/>
          <a:ext cx="12173536" cy="8088632"/>
          <a:chOff x="2842617" y="119063"/>
          <a:chExt cx="11638359" cy="7267367"/>
        </a:xfrm>
      </xdr:grpSpPr>
      <xdr:sp macro="" textlink="">
        <xdr:nvSpPr>
          <xdr:cNvPr id="49" name="Rectangle: Rounded Corners 48">
            <a:extLst>
              <a:ext uri="{FF2B5EF4-FFF2-40B4-BE49-F238E27FC236}">
                <a16:creationId xmlns:a16="http://schemas.microsoft.com/office/drawing/2014/main" id="{1E45C2E9-A0D6-0539-BE38-76ABC8D3D15F}"/>
              </a:ext>
            </a:extLst>
          </xdr:cNvPr>
          <xdr:cNvSpPr/>
        </xdr:nvSpPr>
        <xdr:spPr>
          <a:xfrm>
            <a:off x="2842617" y="119063"/>
            <a:ext cx="11638359" cy="7267367"/>
          </a:xfrm>
          <a:prstGeom prst="roundRect">
            <a:avLst>
              <a:gd name="adj" fmla="val 1724"/>
            </a:avLst>
          </a:prstGeom>
          <a:solidFill>
            <a:srgbClr val="3232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0" name="Rectangle: Rounded Corners 49">
            <a:extLst>
              <a:ext uri="{FF2B5EF4-FFF2-40B4-BE49-F238E27FC236}">
                <a16:creationId xmlns:a16="http://schemas.microsoft.com/office/drawing/2014/main" id="{AABA6A55-AE10-7852-19E8-3F55A81CE033}"/>
              </a:ext>
            </a:extLst>
          </xdr:cNvPr>
          <xdr:cNvSpPr/>
        </xdr:nvSpPr>
        <xdr:spPr>
          <a:xfrm>
            <a:off x="2976562" y="282774"/>
            <a:ext cx="11333299" cy="6950274"/>
          </a:xfrm>
          <a:prstGeom prst="roundRect">
            <a:avLst>
              <a:gd name="adj" fmla="val 1724"/>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16</xdr:col>
      <xdr:colOff>424448</xdr:colOff>
      <xdr:row>6</xdr:row>
      <xdr:rowOff>85136</xdr:rowOff>
    </xdr:from>
    <xdr:to>
      <xdr:col>20</xdr:col>
      <xdr:colOff>494486</xdr:colOff>
      <xdr:row>13</xdr:row>
      <xdr:rowOff>74647</xdr:rowOff>
    </xdr:to>
    <xdr:sp macro="" textlink="">
      <xdr:nvSpPr>
        <xdr:cNvPr id="51" name="Rectangle: Rounded Corners 50">
          <a:extLst>
            <a:ext uri="{FF2B5EF4-FFF2-40B4-BE49-F238E27FC236}">
              <a16:creationId xmlns:a16="http://schemas.microsoft.com/office/drawing/2014/main" id="{623B30B7-7A3D-48CA-B792-F0A22070E941}"/>
            </a:ext>
          </a:extLst>
        </xdr:cNvPr>
        <xdr:cNvSpPr/>
      </xdr:nvSpPr>
      <xdr:spPr>
        <a:xfrm>
          <a:off x="10285624" y="1261754"/>
          <a:ext cx="2535333" cy="1362231"/>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12</xdr:col>
      <xdr:colOff>79825</xdr:colOff>
      <xdr:row>6</xdr:row>
      <xdr:rowOff>67379</xdr:rowOff>
    </xdr:from>
    <xdr:to>
      <xdr:col>16</xdr:col>
      <xdr:colOff>149863</xdr:colOff>
      <xdr:row>13</xdr:row>
      <xdr:rowOff>56890</xdr:rowOff>
    </xdr:to>
    <xdr:sp macro="" textlink="">
      <xdr:nvSpPr>
        <xdr:cNvPr id="44" name="Rectangle: Rounded Corners 43">
          <a:extLst>
            <a:ext uri="{FF2B5EF4-FFF2-40B4-BE49-F238E27FC236}">
              <a16:creationId xmlns:a16="http://schemas.microsoft.com/office/drawing/2014/main" id="{6319A697-B02D-4EEA-83F3-75D4FF29302B}"/>
            </a:ext>
          </a:extLst>
        </xdr:cNvPr>
        <xdr:cNvSpPr/>
      </xdr:nvSpPr>
      <xdr:spPr>
        <a:xfrm>
          <a:off x="7475707" y="1243997"/>
          <a:ext cx="2535332" cy="1362231"/>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7</xdr:col>
      <xdr:colOff>323983</xdr:colOff>
      <xdr:row>14</xdr:row>
      <xdr:rowOff>145782</xdr:rowOff>
    </xdr:from>
    <xdr:to>
      <xdr:col>15</xdr:col>
      <xdr:colOff>151411</xdr:colOff>
      <xdr:row>27</xdr:row>
      <xdr:rowOff>93471</xdr:rowOff>
    </xdr:to>
    <xdr:sp macro="" textlink="">
      <xdr:nvSpPr>
        <xdr:cNvPr id="2" name="Rectangle 1">
          <a:extLst>
            <a:ext uri="{FF2B5EF4-FFF2-40B4-BE49-F238E27FC236}">
              <a16:creationId xmlns:a16="http://schemas.microsoft.com/office/drawing/2014/main" id="{A664D27B-165F-48B7-9313-115BAEBC92F0}"/>
            </a:ext>
          </a:extLst>
        </xdr:cNvPr>
        <xdr:cNvSpPr/>
      </xdr:nvSpPr>
      <xdr:spPr>
        <a:xfrm>
          <a:off x="4638248" y="2891223"/>
          <a:ext cx="4758016" cy="2497027"/>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b="1"/>
        </a:p>
      </xdr:txBody>
    </xdr:sp>
    <xdr:clientData/>
  </xdr:twoCellAnchor>
  <xdr:twoCellAnchor>
    <xdr:from>
      <xdr:col>6</xdr:col>
      <xdr:colOff>159929</xdr:colOff>
      <xdr:row>5</xdr:row>
      <xdr:rowOff>193014</xdr:rowOff>
    </xdr:from>
    <xdr:to>
      <xdr:col>7</xdr:col>
      <xdr:colOff>75910</xdr:colOff>
      <xdr:row>38</xdr:row>
      <xdr:rowOff>157705</xdr:rowOff>
    </xdr:to>
    <xdr:sp macro="" textlink="">
      <xdr:nvSpPr>
        <xdr:cNvPr id="3" name="Rectangle: Rounded Corners 2">
          <a:extLst>
            <a:ext uri="{FF2B5EF4-FFF2-40B4-BE49-F238E27FC236}">
              <a16:creationId xmlns:a16="http://schemas.microsoft.com/office/drawing/2014/main" id="{B099211D-EC99-4C51-BAFA-667A1168A0FA}"/>
            </a:ext>
          </a:extLst>
        </xdr:cNvPr>
        <xdr:cNvSpPr/>
      </xdr:nvSpPr>
      <xdr:spPr>
        <a:xfrm>
          <a:off x="3857870" y="1173529"/>
          <a:ext cx="532305" cy="6436088"/>
        </a:xfrm>
        <a:prstGeom prst="roundRect">
          <a:avLst>
            <a:gd name="adj" fmla="val 12101"/>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15</xdr:col>
      <xdr:colOff>239383</xdr:colOff>
      <xdr:row>14</xdr:row>
      <xdr:rowOff>131775</xdr:rowOff>
    </xdr:from>
    <xdr:to>
      <xdr:col>24</xdr:col>
      <xdr:colOff>450050</xdr:colOff>
      <xdr:row>27</xdr:row>
      <xdr:rowOff>102780</xdr:rowOff>
    </xdr:to>
    <xdr:sp macro="" textlink="">
      <xdr:nvSpPr>
        <xdr:cNvPr id="4" name="Rectangle 3">
          <a:extLst>
            <a:ext uri="{FF2B5EF4-FFF2-40B4-BE49-F238E27FC236}">
              <a16:creationId xmlns:a16="http://schemas.microsoft.com/office/drawing/2014/main" id="{EACECA36-C38B-4AAA-B5C9-0B7DF86DF204}"/>
            </a:ext>
          </a:extLst>
        </xdr:cNvPr>
        <xdr:cNvSpPr/>
      </xdr:nvSpPr>
      <xdr:spPr>
        <a:xfrm>
          <a:off x="9484236" y="2877216"/>
          <a:ext cx="5757579" cy="2520343"/>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7</xdr:col>
      <xdr:colOff>323984</xdr:colOff>
      <xdr:row>27</xdr:row>
      <xdr:rowOff>179354</xdr:rowOff>
    </xdr:from>
    <xdr:to>
      <xdr:col>13</xdr:col>
      <xdr:colOff>253944</xdr:colOff>
      <xdr:row>39</xdr:row>
      <xdr:rowOff>163665</xdr:rowOff>
    </xdr:to>
    <xdr:sp macro="" textlink="">
      <xdr:nvSpPr>
        <xdr:cNvPr id="5" name="Rectangle 4">
          <a:extLst>
            <a:ext uri="{FF2B5EF4-FFF2-40B4-BE49-F238E27FC236}">
              <a16:creationId xmlns:a16="http://schemas.microsoft.com/office/drawing/2014/main" id="{EA0C14A1-C67C-416B-96BF-438C50415E81}"/>
            </a:ext>
          </a:extLst>
        </xdr:cNvPr>
        <xdr:cNvSpPr/>
      </xdr:nvSpPr>
      <xdr:spPr>
        <a:xfrm>
          <a:off x="4638249" y="5474133"/>
          <a:ext cx="3627901" cy="2337547"/>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b="1"/>
        </a:p>
      </xdr:txBody>
    </xdr:sp>
    <xdr:clientData/>
  </xdr:twoCellAnchor>
  <xdr:twoCellAnchor>
    <xdr:from>
      <xdr:col>13</xdr:col>
      <xdr:colOff>308301</xdr:colOff>
      <xdr:row>27</xdr:row>
      <xdr:rowOff>179354</xdr:rowOff>
    </xdr:from>
    <xdr:to>
      <xdr:col>19</xdr:col>
      <xdr:colOff>71855</xdr:colOff>
      <xdr:row>39</xdr:row>
      <xdr:rowOff>163665</xdr:rowOff>
    </xdr:to>
    <xdr:sp macro="" textlink="">
      <xdr:nvSpPr>
        <xdr:cNvPr id="8" name="Rectangle 7">
          <a:extLst>
            <a:ext uri="{FF2B5EF4-FFF2-40B4-BE49-F238E27FC236}">
              <a16:creationId xmlns:a16="http://schemas.microsoft.com/office/drawing/2014/main" id="{5B3EDDBD-4525-4507-948A-B5F449C282AC}"/>
            </a:ext>
          </a:extLst>
        </xdr:cNvPr>
        <xdr:cNvSpPr/>
      </xdr:nvSpPr>
      <xdr:spPr>
        <a:xfrm>
          <a:off x="8320507" y="5474133"/>
          <a:ext cx="3461495" cy="2337547"/>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b="1"/>
        </a:p>
      </xdr:txBody>
    </xdr:sp>
    <xdr:clientData/>
  </xdr:twoCellAnchor>
  <xdr:twoCellAnchor>
    <xdr:from>
      <xdr:col>19</xdr:col>
      <xdr:colOff>127887</xdr:colOff>
      <xdr:row>27</xdr:row>
      <xdr:rowOff>165347</xdr:rowOff>
    </xdr:from>
    <xdr:to>
      <xdr:col>24</xdr:col>
      <xdr:colOff>506077</xdr:colOff>
      <xdr:row>39</xdr:row>
      <xdr:rowOff>158106</xdr:rowOff>
    </xdr:to>
    <xdr:sp macro="" textlink="">
      <xdr:nvSpPr>
        <xdr:cNvPr id="9" name="Rectangle 8">
          <a:extLst>
            <a:ext uri="{FF2B5EF4-FFF2-40B4-BE49-F238E27FC236}">
              <a16:creationId xmlns:a16="http://schemas.microsoft.com/office/drawing/2014/main" id="{95823C26-20DE-43CE-87AA-9A43B1A32DF4}"/>
            </a:ext>
          </a:extLst>
        </xdr:cNvPr>
        <xdr:cNvSpPr/>
      </xdr:nvSpPr>
      <xdr:spPr>
        <a:xfrm>
          <a:off x="11838034" y="5460126"/>
          <a:ext cx="3459808" cy="2345995"/>
        </a:xfrm>
        <a:prstGeom prst="rect">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b="1"/>
        </a:p>
      </xdr:txBody>
    </xdr:sp>
    <xdr:clientData/>
  </xdr:twoCellAnchor>
  <xdr:twoCellAnchor>
    <xdr:from>
      <xdr:col>7</xdr:col>
      <xdr:colOff>305142</xdr:colOff>
      <xdr:row>6</xdr:row>
      <xdr:rowOff>62780</xdr:rowOff>
    </xdr:from>
    <xdr:to>
      <xdr:col>11</xdr:col>
      <xdr:colOff>375180</xdr:colOff>
      <xdr:row>13</xdr:row>
      <xdr:rowOff>52291</xdr:rowOff>
    </xdr:to>
    <xdr:sp macro="" textlink="">
      <xdr:nvSpPr>
        <xdr:cNvPr id="10" name="Rectangle: Rounded Corners 9">
          <a:extLst>
            <a:ext uri="{FF2B5EF4-FFF2-40B4-BE49-F238E27FC236}">
              <a16:creationId xmlns:a16="http://schemas.microsoft.com/office/drawing/2014/main" id="{0E1EF822-7E86-43AD-8CE5-35D2EFACFF61}"/>
            </a:ext>
          </a:extLst>
        </xdr:cNvPr>
        <xdr:cNvSpPr/>
      </xdr:nvSpPr>
      <xdr:spPr>
        <a:xfrm>
          <a:off x="4619407" y="1239398"/>
          <a:ext cx="2535332" cy="1362231"/>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7</xdr:col>
      <xdr:colOff>337989</xdr:colOff>
      <xdr:row>6</xdr:row>
      <xdr:rowOff>54095</xdr:rowOff>
    </xdr:from>
    <xdr:to>
      <xdr:col>10</xdr:col>
      <xdr:colOff>421112</xdr:colOff>
      <xdr:row>7</xdr:row>
      <xdr:rowOff>117771</xdr:rowOff>
    </xdr:to>
    <xdr:sp macro="" textlink="">
      <xdr:nvSpPr>
        <xdr:cNvPr id="13" name="TextBox 12">
          <a:extLst>
            <a:ext uri="{FF2B5EF4-FFF2-40B4-BE49-F238E27FC236}">
              <a16:creationId xmlns:a16="http://schemas.microsoft.com/office/drawing/2014/main" id="{E3F1F79A-8CED-4DAD-8F95-A1ABA61C1B6B}"/>
            </a:ext>
          </a:extLst>
        </xdr:cNvPr>
        <xdr:cNvSpPr txBox="1"/>
      </xdr:nvSpPr>
      <xdr:spPr>
        <a:xfrm>
          <a:off x="4652254" y="1230713"/>
          <a:ext cx="1932093" cy="259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TOTAL DEPOSIT</a:t>
          </a:r>
          <a:endParaRPr lang="en-NG" sz="1100" b="1">
            <a:solidFill>
              <a:schemeClr val="bg2">
                <a:lumMod val="75000"/>
              </a:schemeClr>
            </a:solidFill>
          </a:endParaRPr>
        </a:p>
      </xdr:txBody>
    </xdr:sp>
    <xdr:clientData/>
  </xdr:twoCellAnchor>
  <xdr:twoCellAnchor>
    <xdr:from>
      <xdr:col>7</xdr:col>
      <xdr:colOff>375188</xdr:colOff>
      <xdr:row>7</xdr:row>
      <xdr:rowOff>61172</xdr:rowOff>
    </xdr:from>
    <xdr:to>
      <xdr:col>10</xdr:col>
      <xdr:colOff>578357</xdr:colOff>
      <xdr:row>9</xdr:row>
      <xdr:rowOff>145308</xdr:rowOff>
    </xdr:to>
    <xdr:sp macro="" textlink="realdeposit">
      <xdr:nvSpPr>
        <xdr:cNvPr id="14" name="TextBox 13">
          <a:extLst>
            <a:ext uri="{FF2B5EF4-FFF2-40B4-BE49-F238E27FC236}">
              <a16:creationId xmlns:a16="http://schemas.microsoft.com/office/drawing/2014/main" id="{41B08395-08A3-4A7E-9293-6787186A519B}"/>
            </a:ext>
          </a:extLst>
        </xdr:cNvPr>
        <xdr:cNvSpPr txBox="1"/>
      </xdr:nvSpPr>
      <xdr:spPr>
        <a:xfrm>
          <a:off x="4689453" y="1433893"/>
          <a:ext cx="2052139" cy="476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379291-CBA6-4AB3-B5D6-4CEDBF195622}" type="TxLink">
            <a:rPr lang="en-US" sz="2400" b="1" i="0" u="none" strike="noStrike">
              <a:solidFill>
                <a:srgbClr val="FF0000"/>
              </a:solidFill>
              <a:latin typeface="Aptos Narrow"/>
            </a:rPr>
            <a:pPr/>
            <a:t>$145,013,181</a:t>
          </a:fld>
          <a:endParaRPr lang="en-NG" sz="71400" b="1">
            <a:solidFill>
              <a:srgbClr val="FF0000"/>
            </a:solidFill>
          </a:endParaRPr>
        </a:p>
      </xdr:txBody>
    </xdr:sp>
    <xdr:clientData/>
  </xdr:twoCellAnchor>
  <xdr:twoCellAnchor>
    <xdr:from>
      <xdr:col>12</xdr:col>
      <xdr:colOff>44819</xdr:colOff>
      <xdr:row>6</xdr:row>
      <xdr:rowOff>26054</xdr:rowOff>
    </xdr:from>
    <xdr:to>
      <xdr:col>15</xdr:col>
      <xdr:colOff>230276</xdr:colOff>
      <xdr:row>7</xdr:row>
      <xdr:rowOff>68721</xdr:rowOff>
    </xdr:to>
    <xdr:sp macro="" textlink="">
      <xdr:nvSpPr>
        <xdr:cNvPr id="15" name="TextBox 14">
          <a:extLst>
            <a:ext uri="{FF2B5EF4-FFF2-40B4-BE49-F238E27FC236}">
              <a16:creationId xmlns:a16="http://schemas.microsoft.com/office/drawing/2014/main" id="{844EC571-9556-4C80-ADCB-53F689281FD2}"/>
            </a:ext>
          </a:extLst>
        </xdr:cNvPr>
        <xdr:cNvSpPr txBox="1"/>
      </xdr:nvSpPr>
      <xdr:spPr>
        <a:xfrm>
          <a:off x="7440701" y="1202672"/>
          <a:ext cx="2034428" cy="238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APPROVED LOAN AMOUNT</a:t>
          </a:r>
          <a:endParaRPr lang="en-NG" sz="1100" b="1">
            <a:solidFill>
              <a:schemeClr val="bg2">
                <a:lumMod val="75000"/>
              </a:schemeClr>
            </a:solidFill>
          </a:endParaRPr>
        </a:p>
      </xdr:txBody>
    </xdr:sp>
    <xdr:clientData/>
  </xdr:twoCellAnchor>
  <xdr:twoCellAnchor>
    <xdr:from>
      <xdr:col>12</xdr:col>
      <xdr:colOff>147706</xdr:colOff>
      <xdr:row>7</xdr:row>
      <xdr:rowOff>71817</xdr:rowOff>
    </xdr:from>
    <xdr:to>
      <xdr:col>15</xdr:col>
      <xdr:colOff>71847</xdr:colOff>
      <xdr:row>9</xdr:row>
      <xdr:rowOff>96304</xdr:rowOff>
    </xdr:to>
    <xdr:sp macro="" textlink="realloan">
      <xdr:nvSpPr>
        <xdr:cNvPr id="16" name="TextBox 15">
          <a:extLst>
            <a:ext uri="{FF2B5EF4-FFF2-40B4-BE49-F238E27FC236}">
              <a16:creationId xmlns:a16="http://schemas.microsoft.com/office/drawing/2014/main" id="{6590B30E-F805-451E-AC6B-D6CF67DFE066}"/>
            </a:ext>
          </a:extLst>
        </xdr:cNvPr>
        <xdr:cNvSpPr txBox="1"/>
      </xdr:nvSpPr>
      <xdr:spPr>
        <a:xfrm>
          <a:off x="7543588" y="1444538"/>
          <a:ext cx="1773112" cy="416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887DDA-786F-496E-9A57-D8E3C61B4E33}" type="TxLink">
            <a:rPr lang="en-US" sz="2400" b="1" i="0" u="none" strike="noStrike">
              <a:solidFill>
                <a:srgbClr val="FF0000"/>
              </a:solidFill>
              <a:latin typeface="Aptos Narrow"/>
            </a:rPr>
            <a:pPr/>
            <a:t>$43,730,664</a:t>
          </a:fld>
          <a:endParaRPr lang="en-NG" sz="16600" b="1">
            <a:solidFill>
              <a:srgbClr val="FF0000"/>
            </a:solidFill>
          </a:endParaRPr>
        </a:p>
      </xdr:txBody>
    </xdr:sp>
    <xdr:clientData/>
  </xdr:twoCellAnchor>
  <xdr:twoCellAnchor>
    <xdr:from>
      <xdr:col>16</xdr:col>
      <xdr:colOff>383157</xdr:colOff>
      <xdr:row>6</xdr:row>
      <xdr:rowOff>47092</xdr:rowOff>
    </xdr:from>
    <xdr:to>
      <xdr:col>19</xdr:col>
      <xdr:colOff>258774</xdr:colOff>
      <xdr:row>7</xdr:row>
      <xdr:rowOff>134193</xdr:rowOff>
    </xdr:to>
    <xdr:sp macro="" textlink="">
      <xdr:nvSpPr>
        <xdr:cNvPr id="17" name="TextBox 16">
          <a:extLst>
            <a:ext uri="{FF2B5EF4-FFF2-40B4-BE49-F238E27FC236}">
              <a16:creationId xmlns:a16="http://schemas.microsoft.com/office/drawing/2014/main" id="{73D0A21F-F2F2-4417-844A-67AD4969C893}"/>
            </a:ext>
          </a:extLst>
        </xdr:cNvPr>
        <xdr:cNvSpPr txBox="1"/>
      </xdr:nvSpPr>
      <xdr:spPr>
        <a:xfrm>
          <a:off x="10244333" y="1223710"/>
          <a:ext cx="1724588" cy="283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AVERAGE CREDIT SCORE</a:t>
          </a:r>
          <a:endParaRPr lang="en-NG" sz="1100" b="1">
            <a:solidFill>
              <a:schemeClr val="bg2">
                <a:lumMod val="75000"/>
              </a:schemeClr>
            </a:solidFill>
          </a:endParaRPr>
        </a:p>
      </xdr:txBody>
    </xdr:sp>
    <xdr:clientData/>
  </xdr:twoCellAnchor>
  <xdr:twoCellAnchor>
    <xdr:from>
      <xdr:col>16</xdr:col>
      <xdr:colOff>387512</xdr:colOff>
      <xdr:row>7</xdr:row>
      <xdr:rowOff>73499</xdr:rowOff>
    </xdr:from>
    <xdr:to>
      <xdr:col>17</xdr:col>
      <xdr:colOff>580488</xdr:colOff>
      <xdr:row>9</xdr:row>
      <xdr:rowOff>88461</xdr:rowOff>
    </xdr:to>
    <xdr:sp macro="" textlink="realcredit">
      <xdr:nvSpPr>
        <xdr:cNvPr id="18" name="TextBox 17">
          <a:extLst>
            <a:ext uri="{FF2B5EF4-FFF2-40B4-BE49-F238E27FC236}">
              <a16:creationId xmlns:a16="http://schemas.microsoft.com/office/drawing/2014/main" id="{C81B135C-43B7-4F5D-A91E-43132D9DF669}"/>
            </a:ext>
          </a:extLst>
        </xdr:cNvPr>
        <xdr:cNvSpPr txBox="1"/>
      </xdr:nvSpPr>
      <xdr:spPr>
        <a:xfrm>
          <a:off x="10248688" y="1446220"/>
          <a:ext cx="809300" cy="40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A335DF-A19B-49E9-ACD0-08A449746A91}" type="TxLink">
            <a:rPr lang="en-US" sz="2400" b="1" i="0" u="none" strike="noStrike">
              <a:solidFill>
                <a:srgbClr val="FF0000"/>
              </a:solidFill>
              <a:latin typeface="Aptos Narrow"/>
            </a:rPr>
            <a:pPr/>
            <a:t>580</a:t>
          </a:fld>
          <a:endParaRPr lang="en-NG" sz="16600" b="1">
            <a:solidFill>
              <a:srgbClr val="FF0000"/>
            </a:solidFill>
          </a:endParaRPr>
        </a:p>
      </xdr:txBody>
    </xdr:sp>
    <xdr:clientData/>
  </xdr:twoCellAnchor>
  <xdr:twoCellAnchor>
    <xdr:from>
      <xdr:col>7</xdr:col>
      <xdr:colOff>350316</xdr:colOff>
      <xdr:row>25</xdr:row>
      <xdr:rowOff>192485</xdr:rowOff>
    </xdr:from>
    <xdr:to>
      <xdr:col>10</xdr:col>
      <xdr:colOff>65150</xdr:colOff>
      <xdr:row>27</xdr:row>
      <xdr:rowOff>26882</xdr:rowOff>
    </xdr:to>
    <xdr:sp macro="" textlink="">
      <xdr:nvSpPr>
        <xdr:cNvPr id="21" name="TextBox 20">
          <a:extLst>
            <a:ext uri="{FF2B5EF4-FFF2-40B4-BE49-F238E27FC236}">
              <a16:creationId xmlns:a16="http://schemas.microsoft.com/office/drawing/2014/main" id="{94243FE2-F444-4FB3-B7BE-EE42F9390BE6}"/>
            </a:ext>
          </a:extLst>
        </xdr:cNvPr>
        <xdr:cNvSpPr txBox="1"/>
      </xdr:nvSpPr>
      <xdr:spPr>
        <a:xfrm>
          <a:off x="4664581" y="5095059"/>
          <a:ext cx="1563804" cy="226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TOTAL </a:t>
          </a:r>
          <a:r>
            <a:rPr lang="en-GB" sz="1100" b="1" baseline="0">
              <a:solidFill>
                <a:schemeClr val="bg2">
                  <a:lumMod val="75000"/>
                </a:schemeClr>
              </a:solidFill>
            </a:rPr>
            <a:t> BALANCE</a:t>
          </a:r>
          <a:endParaRPr lang="en-NG" sz="1100" b="1">
            <a:solidFill>
              <a:schemeClr val="bg2">
                <a:lumMod val="75000"/>
              </a:schemeClr>
            </a:solidFill>
          </a:endParaRPr>
        </a:p>
      </xdr:txBody>
    </xdr:sp>
    <xdr:clientData/>
  </xdr:twoCellAnchor>
  <xdr:twoCellAnchor>
    <xdr:from>
      <xdr:col>12</xdr:col>
      <xdr:colOff>65344</xdr:colOff>
      <xdr:row>25</xdr:row>
      <xdr:rowOff>130898</xdr:rowOff>
    </xdr:from>
    <xdr:to>
      <xdr:col>14</xdr:col>
      <xdr:colOff>490388</xdr:colOff>
      <xdr:row>27</xdr:row>
      <xdr:rowOff>158444</xdr:rowOff>
    </xdr:to>
    <xdr:sp macro="" textlink="totalbalances">
      <xdr:nvSpPr>
        <xdr:cNvPr id="22" name="TextBox 21">
          <a:extLst>
            <a:ext uri="{FF2B5EF4-FFF2-40B4-BE49-F238E27FC236}">
              <a16:creationId xmlns:a16="http://schemas.microsoft.com/office/drawing/2014/main" id="{C1FE33AD-19A1-4CBA-BA46-6344A57B6E80}"/>
            </a:ext>
          </a:extLst>
        </xdr:cNvPr>
        <xdr:cNvSpPr txBox="1"/>
      </xdr:nvSpPr>
      <xdr:spPr>
        <a:xfrm>
          <a:off x="7461226" y="5033472"/>
          <a:ext cx="1657691" cy="419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DE95AF-8FE7-4D7E-9E70-7C3A0F83C462}" type="TxLink">
            <a:rPr lang="en-US" sz="1800" b="1" i="0" u="none" strike="noStrike">
              <a:solidFill>
                <a:srgbClr val="FF0000"/>
              </a:solidFill>
              <a:latin typeface="Aptos Narrow"/>
            </a:rPr>
            <a:pPr/>
            <a:t>$212,341,134</a:t>
          </a:fld>
          <a:endParaRPr lang="en-NG" sz="102800" b="1">
            <a:solidFill>
              <a:srgbClr val="FF0000"/>
            </a:solidFill>
          </a:endParaRPr>
        </a:p>
      </xdr:txBody>
    </xdr:sp>
    <xdr:clientData/>
  </xdr:twoCellAnchor>
  <xdr:twoCellAnchor>
    <xdr:from>
      <xdr:col>7</xdr:col>
      <xdr:colOff>366004</xdr:colOff>
      <xdr:row>15</xdr:row>
      <xdr:rowOff>179356</xdr:rowOff>
    </xdr:from>
    <xdr:to>
      <xdr:col>10</xdr:col>
      <xdr:colOff>174722</xdr:colOff>
      <xdr:row>18</xdr:row>
      <xdr:rowOff>27909</xdr:rowOff>
    </xdr:to>
    <xdr:sp macro="" textlink="totalaccounts">
      <xdr:nvSpPr>
        <xdr:cNvPr id="23" name="TextBox 22">
          <a:extLst>
            <a:ext uri="{FF2B5EF4-FFF2-40B4-BE49-F238E27FC236}">
              <a16:creationId xmlns:a16="http://schemas.microsoft.com/office/drawing/2014/main" id="{B2A767DF-ACB9-474D-B6BD-5E037CC970BE}"/>
            </a:ext>
          </a:extLst>
        </xdr:cNvPr>
        <xdr:cNvSpPr txBox="1"/>
      </xdr:nvSpPr>
      <xdr:spPr>
        <a:xfrm>
          <a:off x="4680269" y="3120900"/>
          <a:ext cx="1657688" cy="436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552FA5-BA9A-435A-830E-98779EB51EFF}" type="TxLink">
            <a:rPr lang="en-US" sz="1800" b="1" i="0" u="none" strike="noStrike">
              <a:solidFill>
                <a:srgbClr val="FF0000"/>
              </a:solidFill>
              <a:latin typeface="Aptos Narrow"/>
            </a:rPr>
            <a:pPr/>
            <a:t>800</a:t>
          </a:fld>
          <a:endParaRPr lang="en-NG" sz="102800" b="1">
            <a:solidFill>
              <a:srgbClr val="FF0000"/>
            </a:solidFill>
          </a:endParaRPr>
        </a:p>
      </xdr:txBody>
    </xdr:sp>
    <xdr:clientData/>
  </xdr:twoCellAnchor>
  <xdr:twoCellAnchor>
    <xdr:from>
      <xdr:col>7</xdr:col>
      <xdr:colOff>294286</xdr:colOff>
      <xdr:row>14</xdr:row>
      <xdr:rowOff>158108</xdr:rowOff>
    </xdr:from>
    <xdr:to>
      <xdr:col>10</xdr:col>
      <xdr:colOff>9120</xdr:colOff>
      <xdr:row>15</xdr:row>
      <xdr:rowOff>181020</xdr:rowOff>
    </xdr:to>
    <xdr:sp macro="" textlink="">
      <xdr:nvSpPr>
        <xdr:cNvPr id="24" name="TextBox 23">
          <a:extLst>
            <a:ext uri="{FF2B5EF4-FFF2-40B4-BE49-F238E27FC236}">
              <a16:creationId xmlns:a16="http://schemas.microsoft.com/office/drawing/2014/main" id="{F791FDDC-B7AF-4333-AD91-527F7600E49B}"/>
            </a:ext>
          </a:extLst>
        </xdr:cNvPr>
        <xdr:cNvSpPr txBox="1"/>
      </xdr:nvSpPr>
      <xdr:spPr>
        <a:xfrm>
          <a:off x="4608551" y="2903549"/>
          <a:ext cx="1563804" cy="21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TOTAL ACCOUNTS</a:t>
          </a:r>
          <a:endParaRPr lang="en-NG" sz="1100" b="1">
            <a:solidFill>
              <a:schemeClr val="bg2">
                <a:lumMod val="75000"/>
              </a:schemeClr>
            </a:solidFill>
          </a:endParaRPr>
        </a:p>
      </xdr:txBody>
    </xdr:sp>
    <xdr:clientData/>
  </xdr:twoCellAnchor>
  <xdr:twoCellAnchor>
    <xdr:from>
      <xdr:col>15</xdr:col>
      <xdr:colOff>113318</xdr:colOff>
      <xdr:row>19</xdr:row>
      <xdr:rowOff>45225</xdr:rowOff>
    </xdr:from>
    <xdr:to>
      <xdr:col>17</xdr:col>
      <xdr:colOff>492069</xdr:colOff>
      <xdr:row>26</xdr:row>
      <xdr:rowOff>60985</xdr:rowOff>
    </xdr:to>
    <xdr:graphicFrame macro="">
      <xdr:nvGraphicFramePr>
        <xdr:cNvPr id="28" name="Chart 27">
          <a:extLst>
            <a:ext uri="{FF2B5EF4-FFF2-40B4-BE49-F238E27FC236}">
              <a16:creationId xmlns:a16="http://schemas.microsoft.com/office/drawing/2014/main" id="{293BC22F-2143-49B6-A580-F716ADA01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4613</xdr:colOff>
      <xdr:row>22</xdr:row>
      <xdr:rowOff>28963</xdr:rowOff>
    </xdr:from>
    <xdr:to>
      <xdr:col>17</xdr:col>
      <xdr:colOff>197914</xdr:colOff>
      <xdr:row>24</xdr:row>
      <xdr:rowOff>76246</xdr:rowOff>
    </xdr:to>
    <xdr:sp macro="" textlink="CHECKING">
      <xdr:nvSpPr>
        <xdr:cNvPr id="29" name="TextBox 28">
          <a:extLst>
            <a:ext uri="{FF2B5EF4-FFF2-40B4-BE49-F238E27FC236}">
              <a16:creationId xmlns:a16="http://schemas.microsoft.com/office/drawing/2014/main" id="{49458691-8964-4E89-BE93-70739DBB1EAC}"/>
            </a:ext>
          </a:extLst>
        </xdr:cNvPr>
        <xdr:cNvSpPr txBox="1"/>
      </xdr:nvSpPr>
      <xdr:spPr>
        <a:xfrm>
          <a:off x="9865789" y="4343228"/>
          <a:ext cx="809625" cy="439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8C419B-32BF-40D3-B0B6-A7B237B30991}" type="TxLink">
            <a:rPr lang="en-US" sz="2000" b="1" i="0" u="none" strike="noStrike">
              <a:solidFill>
                <a:srgbClr val="FF0000"/>
              </a:solidFill>
              <a:latin typeface="Aptos Narrow"/>
            </a:rPr>
            <a:pPr/>
            <a:t>31%</a:t>
          </a:fld>
          <a:endParaRPr lang="en-NG" sz="123400" b="1">
            <a:solidFill>
              <a:srgbClr val="FF0000"/>
            </a:solidFill>
          </a:endParaRPr>
        </a:p>
      </xdr:txBody>
    </xdr:sp>
    <xdr:clientData/>
  </xdr:twoCellAnchor>
  <xdr:twoCellAnchor>
    <xdr:from>
      <xdr:col>15</xdr:col>
      <xdr:colOff>450047</xdr:colOff>
      <xdr:row>21</xdr:row>
      <xdr:rowOff>30645</xdr:rowOff>
    </xdr:from>
    <xdr:to>
      <xdr:col>17</xdr:col>
      <xdr:colOff>253945</xdr:colOff>
      <xdr:row>22</xdr:row>
      <xdr:rowOff>74431</xdr:rowOff>
    </xdr:to>
    <xdr:sp macro="" textlink="">
      <xdr:nvSpPr>
        <xdr:cNvPr id="30" name="TextBox 29">
          <a:extLst>
            <a:ext uri="{FF2B5EF4-FFF2-40B4-BE49-F238E27FC236}">
              <a16:creationId xmlns:a16="http://schemas.microsoft.com/office/drawing/2014/main" id="{70CFB876-AAE0-4CC6-8EE6-E86F9ACEBD57}"/>
            </a:ext>
          </a:extLst>
        </xdr:cNvPr>
        <xdr:cNvSpPr txBox="1"/>
      </xdr:nvSpPr>
      <xdr:spPr>
        <a:xfrm>
          <a:off x="9694900" y="4148807"/>
          <a:ext cx="1036545" cy="23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CHECKINGS</a:t>
          </a:r>
          <a:endParaRPr lang="en-NG" sz="1000" b="1">
            <a:solidFill>
              <a:schemeClr val="bg2">
                <a:lumMod val="75000"/>
              </a:schemeClr>
            </a:solidFill>
          </a:endParaRPr>
        </a:p>
      </xdr:txBody>
    </xdr:sp>
    <xdr:clientData/>
  </xdr:twoCellAnchor>
  <xdr:twoCellAnchor>
    <xdr:from>
      <xdr:col>17</xdr:col>
      <xdr:colOff>323978</xdr:colOff>
      <xdr:row>19</xdr:row>
      <xdr:rowOff>45393</xdr:rowOff>
    </xdr:from>
    <xdr:to>
      <xdr:col>20</xdr:col>
      <xdr:colOff>87806</xdr:colOff>
      <xdr:row>26</xdr:row>
      <xdr:rowOff>60817</xdr:rowOff>
    </xdr:to>
    <xdr:graphicFrame macro="">
      <xdr:nvGraphicFramePr>
        <xdr:cNvPr id="31" name="Chart 30">
          <a:extLst>
            <a:ext uri="{FF2B5EF4-FFF2-40B4-BE49-F238E27FC236}">
              <a16:creationId xmlns:a16="http://schemas.microsoft.com/office/drawing/2014/main" id="{47F4A88F-F06E-45B3-B1F4-F15E24F1F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43624</xdr:colOff>
      <xdr:row>19</xdr:row>
      <xdr:rowOff>45393</xdr:rowOff>
    </xdr:from>
    <xdr:to>
      <xdr:col>22</xdr:col>
      <xdr:colOff>423777</xdr:colOff>
      <xdr:row>26</xdr:row>
      <xdr:rowOff>126683</xdr:rowOff>
    </xdr:to>
    <xdr:graphicFrame macro="">
      <xdr:nvGraphicFramePr>
        <xdr:cNvPr id="33" name="Chart 32">
          <a:extLst>
            <a:ext uri="{FF2B5EF4-FFF2-40B4-BE49-F238E27FC236}">
              <a16:creationId xmlns:a16="http://schemas.microsoft.com/office/drawing/2014/main" id="{441E8AB4-7109-4B7A-B90F-7D15EF811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225927</xdr:colOff>
      <xdr:row>19</xdr:row>
      <xdr:rowOff>45505</xdr:rowOff>
    </xdr:from>
    <xdr:to>
      <xdr:col>24</xdr:col>
      <xdr:colOff>605316</xdr:colOff>
      <xdr:row>26</xdr:row>
      <xdr:rowOff>126795</xdr:rowOff>
    </xdr:to>
    <xdr:graphicFrame macro="">
      <xdr:nvGraphicFramePr>
        <xdr:cNvPr id="35" name="Chart 34">
          <a:extLst>
            <a:ext uri="{FF2B5EF4-FFF2-40B4-BE49-F238E27FC236}">
              <a16:creationId xmlns:a16="http://schemas.microsoft.com/office/drawing/2014/main" id="{198AA21C-2499-4547-9813-AEB29D0DF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227050</xdr:colOff>
      <xdr:row>22</xdr:row>
      <xdr:rowOff>28963</xdr:rowOff>
    </xdr:from>
    <xdr:to>
      <xdr:col>19</xdr:col>
      <xdr:colOff>420350</xdr:colOff>
      <xdr:row>24</xdr:row>
      <xdr:rowOff>76246</xdr:rowOff>
    </xdr:to>
    <xdr:sp macro="" textlink="creditcard">
      <xdr:nvSpPr>
        <xdr:cNvPr id="6" name="TextBox 5">
          <a:extLst>
            <a:ext uri="{FF2B5EF4-FFF2-40B4-BE49-F238E27FC236}">
              <a16:creationId xmlns:a16="http://schemas.microsoft.com/office/drawing/2014/main" id="{D439A81F-976E-4BD6-AFE7-CBF23C5D1EC7}"/>
            </a:ext>
          </a:extLst>
        </xdr:cNvPr>
        <xdr:cNvSpPr txBox="1"/>
      </xdr:nvSpPr>
      <xdr:spPr>
        <a:xfrm>
          <a:off x="11320874" y="4343228"/>
          <a:ext cx="809623" cy="439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2199CC-E0F8-474E-8A4E-1F74F9EC1791}" type="TxLink">
            <a:rPr lang="en-US" sz="2000" b="1" i="0" u="none" strike="noStrike">
              <a:solidFill>
                <a:srgbClr val="FF0000"/>
              </a:solidFill>
              <a:latin typeface="Aptos Narrow"/>
            </a:rPr>
            <a:pPr/>
            <a:t>21%</a:t>
          </a:fld>
          <a:endParaRPr lang="en-NG" sz="255800" b="1">
            <a:solidFill>
              <a:srgbClr val="FF0000"/>
            </a:solidFill>
          </a:endParaRPr>
        </a:p>
      </xdr:txBody>
    </xdr:sp>
    <xdr:clientData/>
  </xdr:twoCellAnchor>
  <xdr:twoCellAnchor>
    <xdr:from>
      <xdr:col>20</xdr:col>
      <xdr:colOff>569699</xdr:colOff>
      <xdr:row>22</xdr:row>
      <xdr:rowOff>28963</xdr:rowOff>
    </xdr:from>
    <xdr:to>
      <xdr:col>22</xdr:col>
      <xdr:colOff>151693</xdr:colOff>
      <xdr:row>24</xdr:row>
      <xdr:rowOff>76246</xdr:rowOff>
    </xdr:to>
    <xdr:sp macro="" textlink="loann">
      <xdr:nvSpPr>
        <xdr:cNvPr id="7" name="TextBox 6">
          <a:extLst>
            <a:ext uri="{FF2B5EF4-FFF2-40B4-BE49-F238E27FC236}">
              <a16:creationId xmlns:a16="http://schemas.microsoft.com/office/drawing/2014/main" id="{A0686D8D-B9AB-4290-AD12-BA0B8E511370}"/>
            </a:ext>
          </a:extLst>
        </xdr:cNvPr>
        <xdr:cNvSpPr txBox="1"/>
      </xdr:nvSpPr>
      <xdr:spPr>
        <a:xfrm>
          <a:off x="12896170" y="4343228"/>
          <a:ext cx="814641" cy="439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3792AF-5444-47F8-A2ED-70926940EE3D}" type="TxLink">
            <a:rPr lang="en-US" sz="2000" b="1" i="0" u="none" strike="noStrike">
              <a:solidFill>
                <a:srgbClr val="FF0000"/>
              </a:solidFill>
              <a:latin typeface="Aptos Narrow"/>
            </a:rPr>
            <a:pPr/>
            <a:t>10%</a:t>
          </a:fld>
          <a:endParaRPr lang="en-NG" sz="277800" b="1">
            <a:solidFill>
              <a:srgbClr val="FF0000"/>
            </a:solidFill>
          </a:endParaRPr>
        </a:p>
      </xdr:txBody>
    </xdr:sp>
    <xdr:clientData/>
  </xdr:twoCellAnchor>
  <xdr:twoCellAnchor>
    <xdr:from>
      <xdr:col>23</xdr:col>
      <xdr:colOff>139642</xdr:colOff>
      <xdr:row>22</xdr:row>
      <xdr:rowOff>28963</xdr:rowOff>
    </xdr:from>
    <xdr:to>
      <xdr:col>24</xdr:col>
      <xdr:colOff>332943</xdr:colOff>
      <xdr:row>24</xdr:row>
      <xdr:rowOff>76246</xdr:rowOff>
    </xdr:to>
    <xdr:sp macro="" textlink="savingsss">
      <xdr:nvSpPr>
        <xdr:cNvPr id="26" name="TextBox 25">
          <a:extLst>
            <a:ext uri="{FF2B5EF4-FFF2-40B4-BE49-F238E27FC236}">
              <a16:creationId xmlns:a16="http://schemas.microsoft.com/office/drawing/2014/main" id="{D1AA2111-F51E-412A-8C90-7A3AFC206EBF}"/>
            </a:ext>
          </a:extLst>
        </xdr:cNvPr>
        <xdr:cNvSpPr txBox="1"/>
      </xdr:nvSpPr>
      <xdr:spPr>
        <a:xfrm>
          <a:off x="14315083" y="4343228"/>
          <a:ext cx="809625" cy="439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2ABC89-B58A-4676-9CC3-C8BBFC4311E1}" type="TxLink">
            <a:rPr lang="en-US" sz="2000" b="1" i="0" u="none" strike="noStrike">
              <a:solidFill>
                <a:srgbClr val="FF0000"/>
              </a:solidFill>
              <a:latin typeface="Aptos Narrow"/>
            </a:rPr>
            <a:pPr/>
            <a:t>38%</a:t>
          </a:fld>
          <a:endParaRPr lang="en-NG" sz="333400" b="1">
            <a:solidFill>
              <a:srgbClr val="FF0000"/>
            </a:solidFill>
          </a:endParaRPr>
        </a:p>
      </xdr:txBody>
    </xdr:sp>
    <xdr:clientData/>
  </xdr:twoCellAnchor>
  <xdr:twoCellAnchor>
    <xdr:from>
      <xdr:col>23</xdr:col>
      <xdr:colOff>74645</xdr:colOff>
      <xdr:row>21</xdr:row>
      <xdr:rowOff>30645</xdr:rowOff>
    </xdr:from>
    <xdr:to>
      <xdr:col>24</xdr:col>
      <xdr:colOff>504392</xdr:colOff>
      <xdr:row>22</xdr:row>
      <xdr:rowOff>74431</xdr:rowOff>
    </xdr:to>
    <xdr:sp macro="" textlink="">
      <xdr:nvSpPr>
        <xdr:cNvPr id="32" name="TextBox 31">
          <a:extLst>
            <a:ext uri="{FF2B5EF4-FFF2-40B4-BE49-F238E27FC236}">
              <a16:creationId xmlns:a16="http://schemas.microsoft.com/office/drawing/2014/main" id="{2A6720F4-47FE-440D-A158-ECA287E58E49}"/>
            </a:ext>
          </a:extLst>
        </xdr:cNvPr>
        <xdr:cNvSpPr txBox="1"/>
      </xdr:nvSpPr>
      <xdr:spPr>
        <a:xfrm>
          <a:off x="14250086" y="4148807"/>
          <a:ext cx="1046071" cy="23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SAVINGS</a:t>
          </a:r>
          <a:endParaRPr lang="en-NG" sz="1000" b="1">
            <a:solidFill>
              <a:schemeClr val="bg2">
                <a:lumMod val="75000"/>
              </a:schemeClr>
            </a:solidFill>
          </a:endParaRPr>
        </a:p>
      </xdr:txBody>
    </xdr:sp>
    <xdr:clientData/>
  </xdr:twoCellAnchor>
  <xdr:twoCellAnchor>
    <xdr:from>
      <xdr:col>20</xdr:col>
      <xdr:colOff>609751</xdr:colOff>
      <xdr:row>21</xdr:row>
      <xdr:rowOff>30645</xdr:rowOff>
    </xdr:from>
    <xdr:to>
      <xdr:col>22</xdr:col>
      <xdr:colOff>418666</xdr:colOff>
      <xdr:row>22</xdr:row>
      <xdr:rowOff>74431</xdr:rowOff>
    </xdr:to>
    <xdr:sp macro="" textlink="">
      <xdr:nvSpPr>
        <xdr:cNvPr id="34" name="TextBox 33">
          <a:extLst>
            <a:ext uri="{FF2B5EF4-FFF2-40B4-BE49-F238E27FC236}">
              <a16:creationId xmlns:a16="http://schemas.microsoft.com/office/drawing/2014/main" id="{55485798-B350-45E9-9A54-F711C1627180}"/>
            </a:ext>
          </a:extLst>
        </xdr:cNvPr>
        <xdr:cNvSpPr txBox="1"/>
      </xdr:nvSpPr>
      <xdr:spPr>
        <a:xfrm>
          <a:off x="12936222" y="4148807"/>
          <a:ext cx="1041562" cy="23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LOAN</a:t>
          </a:r>
        </a:p>
      </xdr:txBody>
    </xdr:sp>
    <xdr:clientData/>
  </xdr:twoCellAnchor>
  <xdr:twoCellAnchor>
    <xdr:from>
      <xdr:col>18</xdr:col>
      <xdr:colOff>25898</xdr:colOff>
      <xdr:row>21</xdr:row>
      <xdr:rowOff>30645</xdr:rowOff>
    </xdr:from>
    <xdr:to>
      <xdr:col>19</xdr:col>
      <xdr:colOff>445008</xdr:colOff>
      <xdr:row>22</xdr:row>
      <xdr:rowOff>74431</xdr:rowOff>
    </xdr:to>
    <xdr:sp macro="" textlink="">
      <xdr:nvSpPr>
        <xdr:cNvPr id="36" name="TextBox 35">
          <a:extLst>
            <a:ext uri="{FF2B5EF4-FFF2-40B4-BE49-F238E27FC236}">
              <a16:creationId xmlns:a16="http://schemas.microsoft.com/office/drawing/2014/main" id="{DDA40517-A74B-4A28-A67C-43DC8FDF0A60}"/>
            </a:ext>
          </a:extLst>
        </xdr:cNvPr>
        <xdr:cNvSpPr txBox="1"/>
      </xdr:nvSpPr>
      <xdr:spPr>
        <a:xfrm>
          <a:off x="11119722" y="4148807"/>
          <a:ext cx="1035433" cy="23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CREDIT CARD</a:t>
          </a:r>
          <a:endParaRPr lang="en-NG" sz="1000" b="1">
            <a:solidFill>
              <a:schemeClr val="bg2">
                <a:lumMod val="75000"/>
              </a:schemeClr>
            </a:solidFill>
          </a:endParaRPr>
        </a:p>
      </xdr:txBody>
    </xdr:sp>
    <xdr:clientData/>
  </xdr:twoCellAnchor>
  <xdr:twoCellAnchor>
    <xdr:from>
      <xdr:col>7</xdr:col>
      <xdr:colOff>345667</xdr:colOff>
      <xdr:row>27</xdr:row>
      <xdr:rowOff>156798</xdr:rowOff>
    </xdr:from>
    <xdr:to>
      <xdr:col>12</xdr:col>
      <xdr:colOff>189282</xdr:colOff>
      <xdr:row>29</xdr:row>
      <xdr:rowOff>9151</xdr:rowOff>
    </xdr:to>
    <xdr:sp macro="" textlink="">
      <xdr:nvSpPr>
        <xdr:cNvPr id="37" name="TextBox 36">
          <a:extLst>
            <a:ext uri="{FF2B5EF4-FFF2-40B4-BE49-F238E27FC236}">
              <a16:creationId xmlns:a16="http://schemas.microsoft.com/office/drawing/2014/main" id="{B7B3FDB8-FC71-46AF-8838-47C9F9DC1727}"/>
            </a:ext>
          </a:extLst>
        </xdr:cNvPr>
        <xdr:cNvSpPr txBox="1"/>
      </xdr:nvSpPr>
      <xdr:spPr>
        <a:xfrm>
          <a:off x="4659932" y="5451577"/>
          <a:ext cx="2925232" cy="24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DOES CREDIT CARD DRIVE LOAN</a:t>
          </a:r>
          <a:r>
            <a:rPr lang="en-GB" sz="1100" b="1" baseline="0">
              <a:solidFill>
                <a:schemeClr val="bg2">
                  <a:lumMod val="75000"/>
                </a:schemeClr>
              </a:solidFill>
            </a:rPr>
            <a:t> DECISIONS </a:t>
          </a:r>
          <a:r>
            <a:rPr lang="en-GB" sz="1200" b="1" baseline="0">
              <a:solidFill>
                <a:schemeClr val="bg2">
                  <a:lumMod val="75000"/>
                </a:schemeClr>
              </a:solidFill>
            </a:rPr>
            <a:t>?</a:t>
          </a:r>
          <a:endParaRPr lang="en-NG" sz="1100" b="1">
            <a:solidFill>
              <a:schemeClr val="bg2">
                <a:lumMod val="75000"/>
              </a:schemeClr>
            </a:solidFill>
          </a:endParaRPr>
        </a:p>
      </xdr:txBody>
    </xdr:sp>
    <xdr:clientData/>
  </xdr:twoCellAnchor>
  <xdr:twoCellAnchor>
    <xdr:from>
      <xdr:col>19</xdr:col>
      <xdr:colOff>82419</xdr:colOff>
      <xdr:row>27</xdr:row>
      <xdr:rowOff>162532</xdr:rowOff>
    </xdr:from>
    <xdr:to>
      <xdr:col>24</xdr:col>
      <xdr:colOff>181725</xdr:colOff>
      <xdr:row>29</xdr:row>
      <xdr:rowOff>134307</xdr:rowOff>
    </xdr:to>
    <xdr:sp macro="" textlink="">
      <xdr:nvSpPr>
        <xdr:cNvPr id="38" name="TextBox 37">
          <a:extLst>
            <a:ext uri="{FF2B5EF4-FFF2-40B4-BE49-F238E27FC236}">
              <a16:creationId xmlns:a16="http://schemas.microsoft.com/office/drawing/2014/main" id="{2161102A-EF73-42A3-AC3F-EFE9913771C8}"/>
            </a:ext>
          </a:extLst>
        </xdr:cNvPr>
        <xdr:cNvSpPr txBox="1"/>
      </xdr:nvSpPr>
      <xdr:spPr>
        <a:xfrm>
          <a:off x="11792566" y="5457311"/>
          <a:ext cx="3180924" cy="36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DOES</a:t>
          </a:r>
          <a:r>
            <a:rPr lang="en-GB" sz="1100" b="1" baseline="0">
              <a:solidFill>
                <a:schemeClr val="bg2">
                  <a:lumMod val="75000"/>
                </a:schemeClr>
              </a:solidFill>
            </a:rPr>
            <a:t> AGE DRIVE WEALTH </a:t>
          </a:r>
          <a:r>
            <a:rPr lang="en-GB" sz="1200" b="1" baseline="0">
              <a:solidFill>
                <a:schemeClr val="bg2">
                  <a:lumMod val="75000"/>
                </a:schemeClr>
              </a:solidFill>
            </a:rPr>
            <a:t>?</a:t>
          </a:r>
          <a:endParaRPr lang="en-NG" sz="1100" b="1">
            <a:solidFill>
              <a:schemeClr val="bg2">
                <a:lumMod val="75000"/>
              </a:schemeClr>
            </a:solidFill>
          </a:endParaRPr>
        </a:p>
      </xdr:txBody>
    </xdr:sp>
    <xdr:clientData/>
  </xdr:twoCellAnchor>
  <xdr:twoCellAnchor>
    <xdr:from>
      <xdr:col>13</xdr:col>
      <xdr:colOff>277467</xdr:colOff>
      <xdr:row>27</xdr:row>
      <xdr:rowOff>144542</xdr:rowOff>
    </xdr:from>
    <xdr:to>
      <xdr:col>18</xdr:col>
      <xdr:colOff>517957</xdr:colOff>
      <xdr:row>29</xdr:row>
      <xdr:rowOff>26606</xdr:rowOff>
    </xdr:to>
    <xdr:sp macro="" textlink="">
      <xdr:nvSpPr>
        <xdr:cNvPr id="39" name="TextBox 38">
          <a:extLst>
            <a:ext uri="{FF2B5EF4-FFF2-40B4-BE49-F238E27FC236}">
              <a16:creationId xmlns:a16="http://schemas.microsoft.com/office/drawing/2014/main" id="{3C50AA38-24D9-4CAD-90FC-9FAD566D31E4}"/>
            </a:ext>
          </a:extLst>
        </xdr:cNvPr>
        <xdr:cNvSpPr txBox="1"/>
      </xdr:nvSpPr>
      <xdr:spPr>
        <a:xfrm>
          <a:off x="8289673" y="5439321"/>
          <a:ext cx="3322108" cy="274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AVERAGE BALANCE BY CUSTOMER SEGMENT</a:t>
          </a:r>
          <a:endParaRPr lang="en-NG" sz="1100" b="1">
            <a:solidFill>
              <a:schemeClr val="bg2">
                <a:lumMod val="75000"/>
              </a:schemeClr>
            </a:solidFill>
          </a:endParaRPr>
        </a:p>
      </xdr:txBody>
    </xdr:sp>
    <xdr:clientData/>
  </xdr:twoCellAnchor>
  <xdr:twoCellAnchor>
    <xdr:from>
      <xdr:col>15</xdr:col>
      <xdr:colOff>299593</xdr:colOff>
      <xdr:row>15</xdr:row>
      <xdr:rowOff>59105</xdr:rowOff>
    </xdr:from>
    <xdr:to>
      <xdr:col>20</xdr:col>
      <xdr:colOff>216103</xdr:colOff>
      <xdr:row>16</xdr:row>
      <xdr:rowOff>180400</xdr:rowOff>
    </xdr:to>
    <xdr:sp macro="" textlink="">
      <xdr:nvSpPr>
        <xdr:cNvPr id="40" name="TextBox 39">
          <a:extLst>
            <a:ext uri="{FF2B5EF4-FFF2-40B4-BE49-F238E27FC236}">
              <a16:creationId xmlns:a16="http://schemas.microsoft.com/office/drawing/2014/main" id="{D22ADCD5-A11C-4EC8-8E5E-6E6AD3195C0A}"/>
            </a:ext>
          </a:extLst>
        </xdr:cNvPr>
        <xdr:cNvSpPr txBox="1"/>
      </xdr:nvSpPr>
      <xdr:spPr>
        <a:xfrm>
          <a:off x="9544446" y="3000649"/>
          <a:ext cx="2998128" cy="317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DISTRIBUTION OF ACCOUNT TYPES</a:t>
          </a:r>
          <a:endParaRPr lang="en-NG" sz="1100" b="1">
            <a:solidFill>
              <a:schemeClr val="bg2">
                <a:lumMod val="75000"/>
              </a:schemeClr>
            </a:solidFill>
          </a:endParaRPr>
        </a:p>
      </xdr:txBody>
    </xdr:sp>
    <xdr:clientData/>
  </xdr:twoCellAnchor>
  <xdr:twoCellAnchor>
    <xdr:from>
      <xdr:col>15</xdr:col>
      <xdr:colOff>309829</xdr:colOff>
      <xdr:row>16</xdr:row>
      <xdr:rowOff>73986</xdr:rowOff>
    </xdr:from>
    <xdr:to>
      <xdr:col>24</xdr:col>
      <xdr:colOff>370897</xdr:colOff>
      <xdr:row>19</xdr:row>
      <xdr:rowOff>106735</xdr:rowOff>
    </xdr:to>
    <xdr:sp macro="" textlink="">
      <xdr:nvSpPr>
        <xdr:cNvPr id="45" name="TextBox 44">
          <a:extLst>
            <a:ext uri="{FF2B5EF4-FFF2-40B4-BE49-F238E27FC236}">
              <a16:creationId xmlns:a16="http://schemas.microsoft.com/office/drawing/2014/main" id="{2D8B1223-3250-4920-A744-92A843F2A01B}"/>
            </a:ext>
          </a:extLst>
        </xdr:cNvPr>
        <xdr:cNvSpPr txBox="1"/>
      </xdr:nvSpPr>
      <xdr:spPr>
        <a:xfrm>
          <a:off x="9554682" y="3211633"/>
          <a:ext cx="5607980" cy="621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50000"/>
                </a:schemeClr>
              </a:solidFill>
            </a:rPr>
            <a:t>237 Customers Have Multiple Accounts, savings account dominates</a:t>
          </a:r>
          <a:r>
            <a:rPr lang="en-GB" sz="1100" b="1" baseline="0">
              <a:solidFill>
                <a:schemeClr val="bg2">
                  <a:lumMod val="50000"/>
                </a:schemeClr>
              </a:solidFill>
            </a:rPr>
            <a:t> while loans are least common</a:t>
          </a:r>
          <a:endParaRPr lang="en-NG" sz="1100" b="1">
            <a:solidFill>
              <a:schemeClr val="bg2">
                <a:lumMod val="50000"/>
              </a:schemeClr>
            </a:solidFill>
          </a:endParaRPr>
        </a:p>
      </xdr:txBody>
    </xdr:sp>
    <xdr:clientData/>
  </xdr:twoCellAnchor>
  <xdr:twoCellAnchor>
    <xdr:from>
      <xdr:col>19</xdr:col>
      <xdr:colOff>86656</xdr:colOff>
      <xdr:row>28</xdr:row>
      <xdr:rowOff>158238</xdr:rowOff>
    </xdr:from>
    <xdr:to>
      <xdr:col>24</xdr:col>
      <xdr:colOff>479077</xdr:colOff>
      <xdr:row>32</xdr:row>
      <xdr:rowOff>73150</xdr:rowOff>
    </xdr:to>
    <xdr:sp macro="" textlink="">
      <xdr:nvSpPr>
        <xdr:cNvPr id="46" name="TextBox 45">
          <a:extLst>
            <a:ext uri="{FF2B5EF4-FFF2-40B4-BE49-F238E27FC236}">
              <a16:creationId xmlns:a16="http://schemas.microsoft.com/office/drawing/2014/main" id="{6BF66B81-A8AA-45DB-B1DC-D6683BCE34DC}"/>
            </a:ext>
          </a:extLst>
        </xdr:cNvPr>
        <xdr:cNvSpPr txBox="1"/>
      </xdr:nvSpPr>
      <xdr:spPr>
        <a:xfrm>
          <a:off x="11796803" y="5649120"/>
          <a:ext cx="3474039" cy="699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50000"/>
                </a:schemeClr>
              </a:solidFill>
            </a:rPr>
            <a:t>wealth is highest amongmillenials , not boomers, which is unusual comaperd to typical trends</a:t>
          </a:r>
          <a:endParaRPr lang="en-NG" sz="1100" b="1">
            <a:solidFill>
              <a:schemeClr val="bg2">
                <a:lumMod val="50000"/>
              </a:schemeClr>
            </a:solidFill>
          </a:endParaRPr>
        </a:p>
      </xdr:txBody>
    </xdr:sp>
    <xdr:clientData/>
  </xdr:twoCellAnchor>
  <xdr:twoCellAnchor>
    <xdr:from>
      <xdr:col>13</xdr:col>
      <xdr:colOff>294440</xdr:colOff>
      <xdr:row>28</xdr:row>
      <xdr:rowOff>129937</xdr:rowOff>
    </xdr:from>
    <xdr:to>
      <xdr:col>19</xdr:col>
      <xdr:colOff>81897</xdr:colOff>
      <xdr:row>32</xdr:row>
      <xdr:rowOff>46112</xdr:rowOff>
    </xdr:to>
    <xdr:sp macro="" textlink="">
      <xdr:nvSpPr>
        <xdr:cNvPr id="53" name="TextBox 52">
          <a:extLst>
            <a:ext uri="{FF2B5EF4-FFF2-40B4-BE49-F238E27FC236}">
              <a16:creationId xmlns:a16="http://schemas.microsoft.com/office/drawing/2014/main" id="{FDF16F7E-2485-4C7E-BF0F-41D5DDBF7C01}"/>
            </a:ext>
          </a:extLst>
        </xdr:cNvPr>
        <xdr:cNvSpPr txBox="1"/>
      </xdr:nvSpPr>
      <xdr:spPr>
        <a:xfrm>
          <a:off x="8306646" y="5620819"/>
          <a:ext cx="3485398" cy="700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50000"/>
                </a:schemeClr>
              </a:solidFill>
            </a:rPr>
            <a:t>Corporate customers hold by far the highest balances,while private and retail segment are much lower</a:t>
          </a:r>
          <a:endParaRPr lang="en-NG" sz="1100" b="1">
            <a:solidFill>
              <a:schemeClr val="bg2">
                <a:lumMod val="50000"/>
              </a:schemeClr>
            </a:solidFill>
          </a:endParaRPr>
        </a:p>
      </xdr:txBody>
    </xdr:sp>
    <xdr:clientData/>
  </xdr:twoCellAnchor>
  <xdr:twoCellAnchor>
    <xdr:from>
      <xdr:col>7</xdr:col>
      <xdr:colOff>325408</xdr:colOff>
      <xdr:row>28</xdr:row>
      <xdr:rowOff>180823</xdr:rowOff>
    </xdr:from>
    <xdr:to>
      <xdr:col>13</xdr:col>
      <xdr:colOff>112863</xdr:colOff>
      <xdr:row>32</xdr:row>
      <xdr:rowOff>95704</xdr:rowOff>
    </xdr:to>
    <xdr:sp macro="" textlink="">
      <xdr:nvSpPr>
        <xdr:cNvPr id="55" name="TextBox 54">
          <a:extLst>
            <a:ext uri="{FF2B5EF4-FFF2-40B4-BE49-F238E27FC236}">
              <a16:creationId xmlns:a16="http://schemas.microsoft.com/office/drawing/2014/main" id="{4AA70662-2FFB-4D1D-833C-7F018EA8BAFE}"/>
            </a:ext>
          </a:extLst>
        </xdr:cNvPr>
        <xdr:cNvSpPr txBox="1"/>
      </xdr:nvSpPr>
      <xdr:spPr>
        <a:xfrm>
          <a:off x="4639673" y="5671705"/>
          <a:ext cx="3485396" cy="69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50000"/>
                </a:schemeClr>
              </a:solidFill>
            </a:rPr>
            <a:t>Slightly more rejections than approvals,showing tighter loan criterias</a:t>
          </a:r>
          <a:endParaRPr lang="en-NG" sz="1100" b="1">
            <a:solidFill>
              <a:schemeClr val="bg2">
                <a:lumMod val="50000"/>
              </a:schemeClr>
            </a:solidFill>
          </a:endParaRPr>
        </a:p>
      </xdr:txBody>
    </xdr:sp>
    <xdr:clientData/>
  </xdr:twoCellAnchor>
  <xdr:twoCellAnchor>
    <xdr:from>
      <xdr:col>12</xdr:col>
      <xdr:colOff>71732</xdr:colOff>
      <xdr:row>10</xdr:row>
      <xdr:rowOff>24579</xdr:rowOff>
    </xdr:from>
    <xdr:to>
      <xdr:col>16</xdr:col>
      <xdr:colOff>290238</xdr:colOff>
      <xdr:row>13</xdr:row>
      <xdr:rowOff>153219</xdr:rowOff>
    </xdr:to>
    <xdr:graphicFrame macro="">
      <xdr:nvGraphicFramePr>
        <xdr:cNvPr id="11" name="Chart 10">
          <a:extLst>
            <a:ext uri="{FF2B5EF4-FFF2-40B4-BE49-F238E27FC236}">
              <a16:creationId xmlns:a16="http://schemas.microsoft.com/office/drawing/2014/main" id="{3054AAEB-E4B9-4D83-86BC-740F924A7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376651</xdr:colOff>
      <xdr:row>9</xdr:row>
      <xdr:rowOff>163601</xdr:rowOff>
    </xdr:from>
    <xdr:to>
      <xdr:col>20</xdr:col>
      <xdr:colOff>583524</xdr:colOff>
      <xdr:row>13</xdr:row>
      <xdr:rowOff>161469</xdr:rowOff>
    </xdr:to>
    <xdr:graphicFrame macro="">
      <xdr:nvGraphicFramePr>
        <xdr:cNvPr id="12" name="Chart 11">
          <a:extLst>
            <a:ext uri="{FF2B5EF4-FFF2-40B4-BE49-F238E27FC236}">
              <a16:creationId xmlns:a16="http://schemas.microsoft.com/office/drawing/2014/main" id="{772CB12D-5F2D-4D4E-BFBE-55FD024B3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384495</xdr:colOff>
      <xdr:row>14</xdr:row>
      <xdr:rowOff>135169</xdr:rowOff>
    </xdr:from>
    <xdr:to>
      <xdr:col>15</xdr:col>
      <xdr:colOff>185463</xdr:colOff>
      <xdr:row>27</xdr:row>
      <xdr:rowOff>64302</xdr:rowOff>
    </xdr:to>
    <xdr:graphicFrame macro="">
      <xdr:nvGraphicFramePr>
        <xdr:cNvPr id="54" name="Chart 53">
          <a:extLst>
            <a:ext uri="{FF2B5EF4-FFF2-40B4-BE49-F238E27FC236}">
              <a16:creationId xmlns:a16="http://schemas.microsoft.com/office/drawing/2014/main" id="{41BA03C1-EE9B-4936-9593-6C837F05B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71731</xdr:colOff>
      <xdr:row>19</xdr:row>
      <xdr:rowOff>24577</xdr:rowOff>
    </xdr:from>
    <xdr:to>
      <xdr:col>17</xdr:col>
      <xdr:colOff>540875</xdr:colOff>
      <xdr:row>26</xdr:row>
      <xdr:rowOff>117156</xdr:rowOff>
    </xdr:to>
    <xdr:graphicFrame macro="">
      <xdr:nvGraphicFramePr>
        <xdr:cNvPr id="56" name="Chart 55">
          <a:extLst>
            <a:ext uri="{FF2B5EF4-FFF2-40B4-BE49-F238E27FC236}">
              <a16:creationId xmlns:a16="http://schemas.microsoft.com/office/drawing/2014/main" id="{19C0B22D-0A97-436E-9C95-761E3E2DC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185465</xdr:colOff>
      <xdr:row>18</xdr:row>
      <xdr:rowOff>183586</xdr:rowOff>
    </xdr:from>
    <xdr:to>
      <xdr:col>20</xdr:col>
      <xdr:colOff>270777</xdr:colOff>
      <xdr:row>26</xdr:row>
      <xdr:rowOff>88830</xdr:rowOff>
    </xdr:to>
    <xdr:graphicFrame macro="">
      <xdr:nvGraphicFramePr>
        <xdr:cNvPr id="57" name="Chart 56">
          <a:extLst>
            <a:ext uri="{FF2B5EF4-FFF2-40B4-BE49-F238E27FC236}">
              <a16:creationId xmlns:a16="http://schemas.microsoft.com/office/drawing/2014/main" id="{966E59F1-E629-498C-AD4C-E6EB8E6E0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299195</xdr:colOff>
      <xdr:row>9</xdr:row>
      <xdr:rowOff>169367</xdr:rowOff>
    </xdr:from>
    <xdr:to>
      <xdr:col>11</xdr:col>
      <xdr:colOff>597741</xdr:colOff>
      <xdr:row>14</xdr:row>
      <xdr:rowOff>11506</xdr:rowOff>
    </xdr:to>
    <xdr:graphicFrame macro="">
      <xdr:nvGraphicFramePr>
        <xdr:cNvPr id="20" name="Chart 19">
          <a:extLst>
            <a:ext uri="{FF2B5EF4-FFF2-40B4-BE49-F238E27FC236}">
              <a16:creationId xmlns:a16="http://schemas.microsoft.com/office/drawing/2014/main" id="{CB5DDE16-6681-4C10-BAD1-4235E3058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171247</xdr:colOff>
      <xdr:row>31</xdr:row>
      <xdr:rowOff>169370</xdr:rowOff>
    </xdr:from>
    <xdr:to>
      <xdr:col>19</xdr:col>
      <xdr:colOff>185464</xdr:colOff>
      <xdr:row>39</xdr:row>
      <xdr:rowOff>186002</xdr:rowOff>
    </xdr:to>
    <xdr:graphicFrame macro="">
      <xdr:nvGraphicFramePr>
        <xdr:cNvPr id="43" name="Chart 42">
          <a:extLst>
            <a:ext uri="{FF2B5EF4-FFF2-40B4-BE49-F238E27FC236}">
              <a16:creationId xmlns:a16="http://schemas.microsoft.com/office/drawing/2014/main" id="{3C395821-7366-4FA5-89BD-B067FA9E3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114383</xdr:colOff>
      <xdr:row>31</xdr:row>
      <xdr:rowOff>78517</xdr:rowOff>
    </xdr:from>
    <xdr:to>
      <xdr:col>25</xdr:col>
      <xdr:colOff>157032</xdr:colOff>
      <xdr:row>40</xdr:row>
      <xdr:rowOff>24579</xdr:rowOff>
    </xdr:to>
    <xdr:graphicFrame macro="">
      <xdr:nvGraphicFramePr>
        <xdr:cNvPr id="48" name="Chart 47">
          <a:extLst>
            <a:ext uri="{FF2B5EF4-FFF2-40B4-BE49-F238E27FC236}">
              <a16:creationId xmlns:a16="http://schemas.microsoft.com/office/drawing/2014/main" id="{F202D405-A926-46AB-8158-A47165780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469792</xdr:colOff>
      <xdr:row>30</xdr:row>
      <xdr:rowOff>135170</xdr:rowOff>
    </xdr:from>
    <xdr:to>
      <xdr:col>13</xdr:col>
      <xdr:colOff>242328</xdr:colOff>
      <xdr:row>41</xdr:row>
      <xdr:rowOff>106735</xdr:rowOff>
    </xdr:to>
    <xdr:graphicFrame macro="">
      <xdr:nvGraphicFramePr>
        <xdr:cNvPr id="52" name="Chart 51">
          <a:extLst>
            <a:ext uri="{FF2B5EF4-FFF2-40B4-BE49-F238E27FC236}">
              <a16:creationId xmlns:a16="http://schemas.microsoft.com/office/drawing/2014/main" id="{2BD7BE94-3C89-43A4-9FC0-4B7C27DF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19</xdr:col>
      <xdr:colOff>371403</xdr:colOff>
      <xdr:row>3</xdr:row>
      <xdr:rowOff>117621</xdr:rowOff>
    </xdr:from>
    <xdr:to>
      <xdr:col>25</xdr:col>
      <xdr:colOff>44722</xdr:colOff>
      <xdr:row>6</xdr:row>
      <xdr:rowOff>9693</xdr:rowOff>
    </xdr:to>
    <mc:AlternateContent xmlns:mc="http://schemas.openxmlformats.org/markup-compatibility/2006" xmlns:a14="http://schemas.microsoft.com/office/drawing/2010/main">
      <mc:Choice Requires="a14">
        <xdr:graphicFrame macro="">
          <xdr:nvGraphicFramePr>
            <xdr:cNvPr id="59" name="Customer_Segment 1">
              <a:extLst>
                <a:ext uri="{FF2B5EF4-FFF2-40B4-BE49-F238E27FC236}">
                  <a16:creationId xmlns:a16="http://schemas.microsoft.com/office/drawing/2014/main" id="{931643B5-A755-4CF0-ACE3-F55BF377FD59}"/>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2081550" y="705930"/>
              <a:ext cx="3371260" cy="48038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189387</xdr:colOff>
      <xdr:row>1</xdr:row>
      <xdr:rowOff>86569</xdr:rowOff>
    </xdr:from>
    <xdr:to>
      <xdr:col>18</xdr:col>
      <xdr:colOff>42939</xdr:colOff>
      <xdr:row>3</xdr:row>
      <xdr:rowOff>196082</xdr:rowOff>
    </xdr:to>
    <xdr:sp macro="" textlink="transactions">
      <xdr:nvSpPr>
        <xdr:cNvPr id="19" name="TextBox 18">
          <a:extLst>
            <a:ext uri="{FF2B5EF4-FFF2-40B4-BE49-F238E27FC236}">
              <a16:creationId xmlns:a16="http://schemas.microsoft.com/office/drawing/2014/main" id="{7114763F-4FDE-420B-89EF-34D185F6EBBF}"/>
            </a:ext>
          </a:extLst>
        </xdr:cNvPr>
        <xdr:cNvSpPr txBox="1"/>
      </xdr:nvSpPr>
      <xdr:spPr>
        <a:xfrm>
          <a:off x="4503652" y="282672"/>
          <a:ext cx="6633111" cy="501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rgbClr val="AEAEAE"/>
              </a:solidFill>
              <a:latin typeface="Aharoni" panose="02010803020104030203" pitchFamily="2" charset="-79"/>
              <a:cs typeface="Aharoni" panose="02010803020104030203" pitchFamily="2" charset="-79"/>
            </a:rPr>
            <a:t>METRO BANK CUSTOMER &amp; PRODUCT INSIGHTS</a:t>
          </a:r>
        </a:p>
      </xdr:txBody>
    </xdr:sp>
    <xdr:clientData/>
  </xdr:twoCellAnchor>
  <xdr:twoCellAnchor>
    <xdr:from>
      <xdr:col>7</xdr:col>
      <xdr:colOff>210964</xdr:colOff>
      <xdr:row>2</xdr:row>
      <xdr:rowOff>135819</xdr:rowOff>
    </xdr:from>
    <xdr:to>
      <xdr:col>17</xdr:col>
      <xdr:colOff>533294</xdr:colOff>
      <xdr:row>5</xdr:row>
      <xdr:rowOff>43591</xdr:rowOff>
    </xdr:to>
    <xdr:sp macro="" textlink="">
      <xdr:nvSpPr>
        <xdr:cNvPr id="25" name="TextBox 24">
          <a:extLst>
            <a:ext uri="{FF2B5EF4-FFF2-40B4-BE49-F238E27FC236}">
              <a16:creationId xmlns:a16="http://schemas.microsoft.com/office/drawing/2014/main" id="{E41DE6DD-3A29-45CF-83CB-5E604BB235B4}"/>
            </a:ext>
          </a:extLst>
        </xdr:cNvPr>
        <xdr:cNvSpPr txBox="1"/>
      </xdr:nvSpPr>
      <xdr:spPr>
        <a:xfrm>
          <a:off x="4525229" y="528025"/>
          <a:ext cx="6485565" cy="496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2">
                  <a:lumMod val="50000"/>
                </a:schemeClr>
              </a:solidFill>
            </a:rPr>
            <a:t>Analyzing product ownershio,balances, and credit behaviours across customers segments</a:t>
          </a:r>
          <a:endParaRPr lang="en-NG" sz="1200" b="1">
            <a:solidFill>
              <a:schemeClr val="bg2">
                <a:lumMod val="50000"/>
              </a:schemeClr>
            </a:solidFill>
          </a:endParaRPr>
        </a:p>
      </xdr:txBody>
    </xdr:sp>
    <xdr:clientData/>
  </xdr:twoCellAnchor>
  <xdr:twoCellAnchor editAs="oneCell">
    <xdr:from>
      <xdr:col>6</xdr:col>
      <xdr:colOff>252342</xdr:colOff>
      <xdr:row>8</xdr:row>
      <xdr:rowOff>50747</xdr:rowOff>
    </xdr:from>
    <xdr:to>
      <xdr:col>6</xdr:col>
      <xdr:colOff>527145</xdr:colOff>
      <xdr:row>9</xdr:row>
      <xdr:rowOff>141826</xdr:rowOff>
    </xdr:to>
    <xdr:pic>
      <xdr:nvPicPr>
        <xdr:cNvPr id="42" name="Picture 41">
          <a:hlinkClick xmlns:r="http://schemas.openxmlformats.org/officeDocument/2006/relationships" r:id="rId14"/>
          <a:extLst>
            <a:ext uri="{FF2B5EF4-FFF2-40B4-BE49-F238E27FC236}">
              <a16:creationId xmlns:a16="http://schemas.microsoft.com/office/drawing/2014/main" id="{B0882902-52BD-4B68-AD88-CFD10E56AB50}"/>
            </a:ext>
          </a:extLst>
        </xdr:cNvPr>
        <xdr:cNvPicPr>
          <a:picLocks noChangeAspect="1"/>
        </xdr:cNvPicPr>
      </xdr:nvPicPr>
      <xdr:blipFill>
        <a:blip xmlns:r="http://schemas.openxmlformats.org/officeDocument/2006/relationships" r:embed="rId15">
          <a:alphaModFix amt="16000"/>
          <a:extLst>
            <a:ext uri="{28A0092B-C50C-407E-A947-70E740481C1C}">
              <a14:useLocalDpi xmlns:a14="http://schemas.microsoft.com/office/drawing/2010/main" val="0"/>
            </a:ext>
          </a:extLst>
        </a:blip>
        <a:stretch>
          <a:fillRect/>
        </a:stretch>
      </xdr:blipFill>
      <xdr:spPr>
        <a:xfrm>
          <a:off x="3950283" y="1619571"/>
          <a:ext cx="274803" cy="287181"/>
        </a:xfrm>
        <a:prstGeom prst="rect">
          <a:avLst/>
        </a:prstGeom>
      </xdr:spPr>
    </xdr:pic>
    <xdr:clientData/>
  </xdr:twoCellAnchor>
  <xdr:twoCellAnchor>
    <xdr:from>
      <xdr:col>6</xdr:col>
      <xdr:colOff>278257</xdr:colOff>
      <xdr:row>36</xdr:row>
      <xdr:rowOff>149249</xdr:rowOff>
    </xdr:from>
    <xdr:to>
      <xdr:col>7</xdr:col>
      <xdr:colOff>254</xdr:colOff>
      <xdr:row>38</xdr:row>
      <xdr:rowOff>98761</xdr:rowOff>
    </xdr:to>
    <xdr:pic>
      <xdr:nvPicPr>
        <xdr:cNvPr id="60" name="Picture 59">
          <a:extLst>
            <a:ext uri="{FF2B5EF4-FFF2-40B4-BE49-F238E27FC236}">
              <a16:creationId xmlns:a16="http://schemas.microsoft.com/office/drawing/2014/main" id="{142322AD-EA70-45C5-B53F-6015E7B26B7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976198" y="7208955"/>
          <a:ext cx="338321" cy="341718"/>
        </a:xfrm>
        <a:prstGeom prst="rect">
          <a:avLst/>
        </a:prstGeom>
      </xdr:spPr>
    </xdr:pic>
    <xdr:clientData/>
  </xdr:twoCellAnchor>
  <xdr:twoCellAnchor editAs="oneCell">
    <xdr:from>
      <xdr:col>6</xdr:col>
      <xdr:colOff>223904</xdr:colOff>
      <xdr:row>19</xdr:row>
      <xdr:rowOff>144471</xdr:rowOff>
    </xdr:from>
    <xdr:to>
      <xdr:col>6</xdr:col>
      <xdr:colOff>563416</xdr:colOff>
      <xdr:row>21</xdr:row>
      <xdr:rowOff>90897</xdr:rowOff>
    </xdr:to>
    <xdr:pic>
      <xdr:nvPicPr>
        <xdr:cNvPr id="27" name="Picture 26">
          <a:hlinkClick xmlns:r="http://schemas.openxmlformats.org/officeDocument/2006/relationships" r:id="rId17"/>
          <a:extLst>
            <a:ext uri="{FF2B5EF4-FFF2-40B4-BE49-F238E27FC236}">
              <a16:creationId xmlns:a16="http://schemas.microsoft.com/office/drawing/2014/main" id="{CB9CEBFE-FD5F-4382-895B-0E7780968B21}"/>
            </a:ext>
          </a:extLst>
        </xdr:cNvPr>
        <xdr:cNvPicPr>
          <a:picLocks noChangeAspect="1"/>
        </xdr:cNvPicPr>
      </xdr:nvPicPr>
      <xdr:blipFill>
        <a:blip xmlns:r="http://schemas.openxmlformats.org/officeDocument/2006/relationships" r:embed="rId18">
          <a:duotone>
            <a:schemeClr val="bg2">
              <a:shade val="45000"/>
              <a:satMod val="135000"/>
            </a:schemeClr>
            <a:prstClr val="white"/>
          </a:duotone>
          <a:alphaModFix amt="20000"/>
          <a:extLst>
            <a:ext uri="{BEBA8EAE-BF5A-486C-A8C5-ECC9F3942E4B}">
              <a14:imgProps xmlns:a14="http://schemas.microsoft.com/office/drawing/2010/main">
                <a14:imgLayer r:embed="rId19">
                  <a14:imgEffect>
                    <a14:saturation sat="0"/>
                  </a14:imgEffect>
                </a14:imgLayer>
              </a14:imgProps>
            </a:ext>
            <a:ext uri="{28A0092B-C50C-407E-A947-70E740481C1C}">
              <a14:useLocalDpi xmlns:a14="http://schemas.microsoft.com/office/drawing/2010/main" val="0"/>
            </a:ext>
          </a:extLst>
        </a:blip>
        <a:stretch>
          <a:fillRect/>
        </a:stretch>
      </xdr:blipFill>
      <xdr:spPr>
        <a:xfrm>
          <a:off x="3921845" y="3870427"/>
          <a:ext cx="339512" cy="338632"/>
        </a:xfrm>
        <a:prstGeom prst="rect">
          <a:avLst/>
        </a:prstGeom>
      </xdr:spPr>
    </xdr:pic>
    <xdr:clientData/>
  </xdr:twoCellAnchor>
  <xdr:twoCellAnchor editAs="oneCell">
    <xdr:from>
      <xdr:col>6</xdr:col>
      <xdr:colOff>209021</xdr:colOff>
      <xdr:row>12</xdr:row>
      <xdr:rowOff>28009</xdr:rowOff>
    </xdr:from>
    <xdr:to>
      <xdr:col>6</xdr:col>
      <xdr:colOff>562280</xdr:colOff>
      <xdr:row>13</xdr:row>
      <xdr:rowOff>177108</xdr:rowOff>
    </xdr:to>
    <xdr:pic>
      <xdr:nvPicPr>
        <xdr:cNvPr id="61" name="Picture 60">
          <a:hlinkClick xmlns:r="http://schemas.openxmlformats.org/officeDocument/2006/relationships" r:id="rId20"/>
          <a:extLst>
            <a:ext uri="{FF2B5EF4-FFF2-40B4-BE49-F238E27FC236}">
              <a16:creationId xmlns:a16="http://schemas.microsoft.com/office/drawing/2014/main" id="{105D516D-3D5C-4819-82C5-84862D663C2B}"/>
            </a:ext>
          </a:extLst>
        </xdr:cNvPr>
        <xdr:cNvPicPr>
          <a:picLocks noChangeAspect="1"/>
        </xdr:cNvPicPr>
      </xdr:nvPicPr>
      <xdr:blipFill>
        <a:blip xmlns:r="http://schemas.openxmlformats.org/officeDocument/2006/relationships" r:embed="rId21">
          <a:duotone>
            <a:schemeClr val="bg2">
              <a:shade val="45000"/>
              <a:satMod val="135000"/>
            </a:schemeClr>
            <a:prstClr val="white"/>
          </a:duotone>
          <a:alphaModFix/>
          <a:extLst>
            <a:ext uri="{BEBA8EAE-BF5A-486C-A8C5-ECC9F3942E4B}">
              <a14:imgProps xmlns:a14="http://schemas.microsoft.com/office/drawing/2010/main">
                <a14:imgLayer r:embed="rId22">
                  <a14:imgEffect>
                    <a14:saturation sat="0"/>
                  </a14:imgEffect>
                </a14:imgLayer>
              </a14:imgProps>
            </a:ext>
            <a:ext uri="{28A0092B-C50C-407E-A947-70E740481C1C}">
              <a14:useLocalDpi xmlns:a14="http://schemas.microsoft.com/office/drawing/2010/main" val="0"/>
            </a:ext>
          </a:extLst>
        </a:blip>
        <a:stretch>
          <a:fillRect/>
        </a:stretch>
      </xdr:blipFill>
      <xdr:spPr>
        <a:xfrm>
          <a:off x="3906962" y="2381244"/>
          <a:ext cx="353259" cy="345202"/>
        </a:xfrm>
        <a:prstGeom prst="rect">
          <a:avLst/>
        </a:prstGeom>
      </xdr:spPr>
    </xdr:pic>
    <xdr:clientData/>
  </xdr:twoCellAnchor>
  <xdr:twoCellAnchor editAs="oneCell">
    <xdr:from>
      <xdr:col>6</xdr:col>
      <xdr:colOff>238786</xdr:colOff>
      <xdr:row>16</xdr:row>
      <xdr:rowOff>13126</xdr:rowOff>
    </xdr:from>
    <xdr:to>
      <xdr:col>6</xdr:col>
      <xdr:colOff>592398</xdr:colOff>
      <xdr:row>17</xdr:row>
      <xdr:rowOff>171242</xdr:rowOff>
    </xdr:to>
    <xdr:pic>
      <xdr:nvPicPr>
        <xdr:cNvPr id="62" name="Picture 61">
          <a:hlinkClick xmlns:r="http://schemas.openxmlformats.org/officeDocument/2006/relationships" r:id="rId23"/>
          <a:extLst>
            <a:ext uri="{FF2B5EF4-FFF2-40B4-BE49-F238E27FC236}">
              <a16:creationId xmlns:a16="http://schemas.microsoft.com/office/drawing/2014/main" id="{7AAC6991-7F1B-486D-967D-EF50006F2359}"/>
            </a:ext>
          </a:extLst>
        </xdr:cNvPr>
        <xdr:cNvPicPr>
          <a:picLocks noChangeAspect="1"/>
        </xdr:cNvPicPr>
      </xdr:nvPicPr>
      <xdr:blipFill>
        <a:blip xmlns:r="http://schemas.openxmlformats.org/officeDocument/2006/relationships" r:embed="rId24">
          <a:duotone>
            <a:schemeClr val="bg2">
              <a:shade val="45000"/>
              <a:satMod val="135000"/>
            </a:schemeClr>
            <a:prstClr val="white"/>
          </a:duotone>
          <a:alphaModFix amt="16000"/>
          <a:extLst>
            <a:ext uri="{28A0092B-C50C-407E-A947-70E740481C1C}">
              <a14:useLocalDpi xmlns:a14="http://schemas.microsoft.com/office/drawing/2010/main" val="0"/>
            </a:ext>
          </a:extLst>
        </a:blip>
        <a:stretch>
          <a:fillRect/>
        </a:stretch>
      </xdr:blipFill>
      <xdr:spPr>
        <a:xfrm>
          <a:off x="3936727" y="3150773"/>
          <a:ext cx="353612" cy="354219"/>
        </a:xfrm>
        <a:prstGeom prst="rect">
          <a:avLst/>
        </a:prstGeom>
      </xdr:spPr>
    </xdr:pic>
    <xdr:clientData/>
  </xdr:twoCellAnchor>
  <xdr:twoCellAnchor editAs="oneCell">
    <xdr:from>
      <xdr:col>6</xdr:col>
      <xdr:colOff>177926</xdr:colOff>
      <xdr:row>23</xdr:row>
      <xdr:rowOff>190912</xdr:rowOff>
    </xdr:from>
    <xdr:to>
      <xdr:col>6</xdr:col>
      <xdr:colOff>548054</xdr:colOff>
      <xdr:row>25</xdr:row>
      <xdr:rowOff>177226</xdr:rowOff>
    </xdr:to>
    <xdr:pic>
      <xdr:nvPicPr>
        <xdr:cNvPr id="63" name="Picture 62">
          <a:hlinkClick xmlns:r="http://schemas.openxmlformats.org/officeDocument/2006/relationships" r:id="rId25"/>
          <a:extLst>
            <a:ext uri="{FF2B5EF4-FFF2-40B4-BE49-F238E27FC236}">
              <a16:creationId xmlns:a16="http://schemas.microsoft.com/office/drawing/2014/main" id="{89E3EE20-B25B-4328-A9FF-0546C7B41751}"/>
            </a:ext>
          </a:extLst>
        </xdr:cNvPr>
        <xdr:cNvPicPr>
          <a:picLocks noChangeAspect="1"/>
        </xdr:cNvPicPr>
      </xdr:nvPicPr>
      <xdr:blipFill>
        <a:blip xmlns:r="http://schemas.openxmlformats.org/officeDocument/2006/relationships" r:embed="rId26">
          <a:duotone>
            <a:schemeClr val="bg2">
              <a:shade val="45000"/>
              <a:satMod val="135000"/>
            </a:schemeClr>
            <a:prstClr val="white"/>
          </a:duotone>
          <a:alphaModFix amt="18000"/>
          <a:extLst>
            <a:ext uri="{BEBA8EAE-BF5A-486C-A8C5-ECC9F3942E4B}">
              <a14:imgProps xmlns:a14="http://schemas.microsoft.com/office/drawing/2010/main">
                <a14:imgLayer r:embed="rId27">
                  <a14:imgEffect>
                    <a14:saturation sat="0"/>
                  </a14:imgEffect>
                  <a14:imgEffect>
                    <a14:brightnessContrast bright="-100000" contrast="-40000"/>
                  </a14:imgEffect>
                </a14:imgLayer>
              </a14:imgProps>
            </a:ext>
            <a:ext uri="{28A0092B-C50C-407E-A947-70E740481C1C}">
              <a14:useLocalDpi xmlns:a14="http://schemas.microsoft.com/office/drawing/2010/main" val="0"/>
            </a:ext>
          </a:extLst>
        </a:blip>
        <a:stretch>
          <a:fillRect/>
        </a:stretch>
      </xdr:blipFill>
      <xdr:spPr>
        <a:xfrm>
          <a:off x="3875867" y="4701280"/>
          <a:ext cx="370128" cy="378520"/>
        </a:xfrm>
        <a:prstGeom prst="rect">
          <a:avLst/>
        </a:prstGeom>
      </xdr:spPr>
    </xdr:pic>
    <xdr:clientData/>
  </xdr:twoCellAnchor>
  <xdr:twoCellAnchor editAs="oneCell">
    <xdr:from>
      <xdr:col>19</xdr:col>
      <xdr:colOff>296989</xdr:colOff>
      <xdr:row>1</xdr:row>
      <xdr:rowOff>110063</xdr:rowOff>
    </xdr:from>
    <xdr:to>
      <xdr:col>25</xdr:col>
      <xdr:colOff>60994</xdr:colOff>
      <xdr:row>3</xdr:row>
      <xdr:rowOff>124945</xdr:rowOff>
    </xdr:to>
    <mc:AlternateContent xmlns:mc="http://schemas.openxmlformats.org/markup-compatibility/2006" xmlns:a14="http://schemas.microsoft.com/office/drawing/2010/main">
      <mc:Choice Requires="a14">
        <xdr:graphicFrame macro="">
          <xdr:nvGraphicFramePr>
            <xdr:cNvPr id="65" name="income bracket 1">
              <a:extLst>
                <a:ext uri="{FF2B5EF4-FFF2-40B4-BE49-F238E27FC236}">
                  <a16:creationId xmlns:a16="http://schemas.microsoft.com/office/drawing/2014/main" id="{32644B1F-128F-44BB-8AAD-B1C5B0614EC9}"/>
                </a:ext>
              </a:extLst>
            </xdr:cNvPr>
            <xdr:cNvGraphicFramePr/>
          </xdr:nvGraphicFramePr>
          <xdr:xfrm>
            <a:off x="0" y="0"/>
            <a:ext cx="0" cy="0"/>
          </xdr:xfrm>
          <a:graphic>
            <a:graphicData uri="http://schemas.microsoft.com/office/drawing/2010/slicer">
              <sle:slicer xmlns:sle="http://schemas.microsoft.com/office/drawing/2010/slicer" name="income bracket 1"/>
            </a:graphicData>
          </a:graphic>
        </xdr:graphicFrame>
      </mc:Choice>
      <mc:Fallback xmlns="">
        <xdr:sp macro="" textlink="">
          <xdr:nvSpPr>
            <xdr:cNvPr id="0" name=""/>
            <xdr:cNvSpPr>
              <a:spLocks noTextEdit="1"/>
            </xdr:cNvSpPr>
          </xdr:nvSpPr>
          <xdr:spPr>
            <a:xfrm>
              <a:off x="12007136" y="306166"/>
              <a:ext cx="3461946" cy="40708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108245</xdr:colOff>
      <xdr:row>1</xdr:row>
      <xdr:rowOff>1065</xdr:rowOff>
    </xdr:from>
    <xdr:to>
      <xdr:col>7</xdr:col>
      <xdr:colOff>199139</xdr:colOff>
      <xdr:row>5</xdr:row>
      <xdr:rowOff>103855</xdr:rowOff>
    </xdr:to>
    <xdr:pic>
      <xdr:nvPicPr>
        <xdr:cNvPr id="66" name="Picture 65">
          <a:extLst>
            <a:ext uri="{FF2B5EF4-FFF2-40B4-BE49-F238E27FC236}">
              <a16:creationId xmlns:a16="http://schemas.microsoft.com/office/drawing/2014/main" id="{D76605AB-97A2-4A6B-84FA-5E7C2925056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806186" y="197168"/>
          <a:ext cx="707218" cy="8872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461859</xdr:colOff>
      <xdr:row>0</xdr:row>
      <xdr:rowOff>165218</xdr:rowOff>
    </xdr:from>
    <xdr:to>
      <xdr:col>25</xdr:col>
      <xdr:colOff>585766</xdr:colOff>
      <xdr:row>40</xdr:row>
      <xdr:rowOff>106630</xdr:rowOff>
    </xdr:to>
    <xdr:grpSp>
      <xdr:nvGrpSpPr>
        <xdr:cNvPr id="5" name="Group 4">
          <a:extLst>
            <a:ext uri="{FF2B5EF4-FFF2-40B4-BE49-F238E27FC236}">
              <a16:creationId xmlns:a16="http://schemas.microsoft.com/office/drawing/2014/main" id="{733346C6-49EC-CD96-8951-4A4B89D56AD6}"/>
            </a:ext>
          </a:extLst>
        </xdr:cNvPr>
        <xdr:cNvGrpSpPr/>
      </xdr:nvGrpSpPr>
      <xdr:grpSpPr>
        <a:xfrm>
          <a:off x="3528126" y="165218"/>
          <a:ext cx="12388976" cy="7770179"/>
          <a:chOff x="2842617" y="119063"/>
          <a:chExt cx="11638359" cy="7267367"/>
        </a:xfrm>
      </xdr:grpSpPr>
      <xdr:sp macro="" textlink="">
        <xdr:nvSpPr>
          <xdr:cNvPr id="2" name="Rectangle: Rounded Corners 1">
            <a:extLst>
              <a:ext uri="{FF2B5EF4-FFF2-40B4-BE49-F238E27FC236}">
                <a16:creationId xmlns:a16="http://schemas.microsoft.com/office/drawing/2014/main" id="{18972481-67D2-6992-9CA1-F5F7ADCB3498}"/>
              </a:ext>
            </a:extLst>
          </xdr:cNvPr>
          <xdr:cNvSpPr/>
        </xdr:nvSpPr>
        <xdr:spPr>
          <a:xfrm>
            <a:off x="2842617" y="119063"/>
            <a:ext cx="11638359" cy="7267367"/>
          </a:xfrm>
          <a:prstGeom prst="roundRect">
            <a:avLst>
              <a:gd name="adj" fmla="val 1724"/>
            </a:avLst>
          </a:prstGeom>
          <a:solidFill>
            <a:srgbClr val="3232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Rectangle: Rounded Corners 3">
            <a:extLst>
              <a:ext uri="{FF2B5EF4-FFF2-40B4-BE49-F238E27FC236}">
                <a16:creationId xmlns:a16="http://schemas.microsoft.com/office/drawing/2014/main" id="{105632E8-2DFA-42D5-8DD1-8DE9C4A751A8}"/>
              </a:ext>
            </a:extLst>
          </xdr:cNvPr>
          <xdr:cNvSpPr/>
        </xdr:nvSpPr>
        <xdr:spPr>
          <a:xfrm>
            <a:off x="2976562" y="282774"/>
            <a:ext cx="11333299" cy="6950274"/>
          </a:xfrm>
          <a:prstGeom prst="roundRect">
            <a:avLst>
              <a:gd name="adj" fmla="val 1724"/>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17</xdr:col>
      <xdr:colOff>219369</xdr:colOff>
      <xdr:row>6</xdr:row>
      <xdr:rowOff>77321</xdr:rowOff>
    </xdr:from>
    <xdr:to>
      <xdr:col>21</xdr:col>
      <xdr:colOff>297655</xdr:colOff>
      <xdr:row>12</xdr:row>
      <xdr:rowOff>101339</xdr:rowOff>
    </xdr:to>
    <xdr:sp macro="" textlink="">
      <xdr:nvSpPr>
        <xdr:cNvPr id="31" name="Rectangle: Rounded Corners 30">
          <a:extLst>
            <a:ext uri="{FF2B5EF4-FFF2-40B4-BE49-F238E27FC236}">
              <a16:creationId xmlns:a16="http://schemas.microsoft.com/office/drawing/2014/main" id="{60A22A9A-1FB0-4EEC-A690-C407C29887A7}"/>
            </a:ext>
          </a:extLst>
        </xdr:cNvPr>
        <xdr:cNvSpPr/>
      </xdr:nvSpPr>
      <xdr:spPr>
        <a:xfrm>
          <a:off x="10564577" y="1188571"/>
          <a:ext cx="2512453" cy="1135268"/>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12</xdr:col>
      <xdr:colOff>90859</xdr:colOff>
      <xdr:row>6</xdr:row>
      <xdr:rowOff>57262</xdr:rowOff>
    </xdr:from>
    <xdr:to>
      <xdr:col>16</xdr:col>
      <xdr:colOff>454985</xdr:colOff>
      <xdr:row>12</xdr:row>
      <xdr:rowOff>83843</xdr:rowOff>
    </xdr:to>
    <xdr:sp macro="" textlink="">
      <xdr:nvSpPr>
        <xdr:cNvPr id="30" name="Rectangle: Rounded Corners 29">
          <a:extLst>
            <a:ext uri="{FF2B5EF4-FFF2-40B4-BE49-F238E27FC236}">
              <a16:creationId xmlns:a16="http://schemas.microsoft.com/office/drawing/2014/main" id="{2E3B7BB7-CA2A-4354-9848-44E1F7A3EBD2}"/>
            </a:ext>
          </a:extLst>
        </xdr:cNvPr>
        <xdr:cNvSpPr/>
      </xdr:nvSpPr>
      <xdr:spPr>
        <a:xfrm>
          <a:off x="7393359" y="1168512"/>
          <a:ext cx="2798293" cy="1137831"/>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7</xdr:col>
      <xdr:colOff>90861</xdr:colOff>
      <xdr:row>6</xdr:row>
      <xdr:rowOff>70310</xdr:rowOff>
    </xdr:from>
    <xdr:to>
      <xdr:col>11</xdr:col>
      <xdr:colOff>178675</xdr:colOff>
      <xdr:row>12</xdr:row>
      <xdr:rowOff>96891</xdr:rowOff>
    </xdr:to>
    <xdr:sp macro="" textlink="">
      <xdr:nvSpPr>
        <xdr:cNvPr id="29" name="Rectangle: Rounded Corners 28">
          <a:extLst>
            <a:ext uri="{FF2B5EF4-FFF2-40B4-BE49-F238E27FC236}">
              <a16:creationId xmlns:a16="http://schemas.microsoft.com/office/drawing/2014/main" id="{97E372A7-8A42-4CE8-BA64-E4A99B51FD7F}"/>
            </a:ext>
          </a:extLst>
        </xdr:cNvPr>
        <xdr:cNvSpPr/>
      </xdr:nvSpPr>
      <xdr:spPr>
        <a:xfrm>
          <a:off x="4350653" y="1181560"/>
          <a:ext cx="2521980" cy="1137831"/>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6</xdr:col>
      <xdr:colOff>120773</xdr:colOff>
      <xdr:row>5</xdr:row>
      <xdr:rowOff>119149</xdr:rowOff>
    </xdr:from>
    <xdr:to>
      <xdr:col>7</xdr:col>
      <xdr:colOff>34188</xdr:colOff>
      <xdr:row>38</xdr:row>
      <xdr:rowOff>182227</xdr:rowOff>
    </xdr:to>
    <xdr:sp macro="" textlink="">
      <xdr:nvSpPr>
        <xdr:cNvPr id="6" name="Rectangle: Rounded Corners 5">
          <a:extLst>
            <a:ext uri="{FF2B5EF4-FFF2-40B4-BE49-F238E27FC236}">
              <a16:creationId xmlns:a16="http://schemas.microsoft.com/office/drawing/2014/main" id="{1F164929-1738-4456-B1F8-5723D4892734}"/>
            </a:ext>
          </a:extLst>
        </xdr:cNvPr>
        <xdr:cNvSpPr/>
      </xdr:nvSpPr>
      <xdr:spPr>
        <a:xfrm>
          <a:off x="3772023" y="1045191"/>
          <a:ext cx="521957" cy="6174953"/>
        </a:xfrm>
        <a:prstGeom prst="roundRect">
          <a:avLst>
            <a:gd name="adj" fmla="val 12101"/>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79112</xdr:colOff>
      <xdr:row>12</xdr:row>
      <xdr:rowOff>168317</xdr:rowOff>
    </xdr:from>
    <xdr:to>
      <xdr:col>13</xdr:col>
      <xdr:colOff>34146</xdr:colOff>
      <xdr:row>25</xdr:row>
      <xdr:rowOff>132335</xdr:rowOff>
    </xdr:to>
    <xdr:sp macro="" textlink="">
      <xdr:nvSpPr>
        <xdr:cNvPr id="9" name="Rectangle: Rounded Corners 8">
          <a:extLst>
            <a:ext uri="{FF2B5EF4-FFF2-40B4-BE49-F238E27FC236}">
              <a16:creationId xmlns:a16="http://schemas.microsoft.com/office/drawing/2014/main" id="{716B0FCD-4811-4C42-BA60-481E9A89EE51}"/>
            </a:ext>
          </a:extLst>
        </xdr:cNvPr>
        <xdr:cNvSpPr/>
      </xdr:nvSpPr>
      <xdr:spPr>
        <a:xfrm>
          <a:off x="4338904" y="2390817"/>
          <a:ext cx="3606284" cy="2371726"/>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79112</xdr:colOff>
      <xdr:row>26</xdr:row>
      <xdr:rowOff>29471</xdr:rowOff>
    </xdr:from>
    <xdr:to>
      <xdr:col>13</xdr:col>
      <xdr:colOff>75050</xdr:colOff>
      <xdr:row>39</xdr:row>
      <xdr:rowOff>2101</xdr:rowOff>
    </xdr:to>
    <xdr:sp macro="" textlink="">
      <xdr:nvSpPr>
        <xdr:cNvPr id="10" name="Rectangle: Rounded Corners 9">
          <a:extLst>
            <a:ext uri="{FF2B5EF4-FFF2-40B4-BE49-F238E27FC236}">
              <a16:creationId xmlns:a16="http://schemas.microsoft.com/office/drawing/2014/main" id="{BD825902-1566-42A8-9A6F-57BDC921D078}"/>
            </a:ext>
          </a:extLst>
        </xdr:cNvPr>
        <xdr:cNvSpPr/>
      </xdr:nvSpPr>
      <xdr:spPr>
        <a:xfrm>
          <a:off x="4338904" y="4844888"/>
          <a:ext cx="3647188" cy="2380338"/>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13</xdr:col>
      <xdr:colOff>162492</xdr:colOff>
      <xdr:row>12</xdr:row>
      <xdr:rowOff>168317</xdr:rowOff>
    </xdr:from>
    <xdr:to>
      <xdr:col>19</xdr:col>
      <xdr:colOff>158430</xdr:colOff>
      <xdr:row>39</xdr:row>
      <xdr:rowOff>8194</xdr:rowOff>
    </xdr:to>
    <xdr:sp macro="" textlink="">
      <xdr:nvSpPr>
        <xdr:cNvPr id="13" name="Rectangle: Rounded Corners 12">
          <a:extLst>
            <a:ext uri="{FF2B5EF4-FFF2-40B4-BE49-F238E27FC236}">
              <a16:creationId xmlns:a16="http://schemas.microsoft.com/office/drawing/2014/main" id="{2A437BDC-2BDC-45D3-9AF5-80ACBADAA879}"/>
            </a:ext>
          </a:extLst>
        </xdr:cNvPr>
        <xdr:cNvSpPr/>
      </xdr:nvSpPr>
      <xdr:spPr>
        <a:xfrm>
          <a:off x="8073534" y="2390817"/>
          <a:ext cx="3647188" cy="4840502"/>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19</xdr:col>
      <xdr:colOff>256794</xdr:colOff>
      <xdr:row>12</xdr:row>
      <xdr:rowOff>168317</xdr:rowOff>
    </xdr:from>
    <xdr:to>
      <xdr:col>25</xdr:col>
      <xdr:colOff>252731</xdr:colOff>
      <xdr:row>25</xdr:row>
      <xdr:rowOff>135096</xdr:rowOff>
    </xdr:to>
    <xdr:sp macro="" textlink="">
      <xdr:nvSpPr>
        <xdr:cNvPr id="14" name="Rectangle: Rounded Corners 13">
          <a:extLst>
            <a:ext uri="{FF2B5EF4-FFF2-40B4-BE49-F238E27FC236}">
              <a16:creationId xmlns:a16="http://schemas.microsoft.com/office/drawing/2014/main" id="{15421234-AB63-4C51-B7A7-2C1BB1CFAF2F}"/>
            </a:ext>
          </a:extLst>
        </xdr:cNvPr>
        <xdr:cNvSpPr/>
      </xdr:nvSpPr>
      <xdr:spPr>
        <a:xfrm>
          <a:off x="11819086" y="2390817"/>
          <a:ext cx="3647187" cy="2374487"/>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19</xdr:col>
      <xdr:colOff>243541</xdr:colOff>
      <xdr:row>26</xdr:row>
      <xdr:rowOff>29471</xdr:rowOff>
    </xdr:from>
    <xdr:to>
      <xdr:col>25</xdr:col>
      <xdr:colOff>229953</xdr:colOff>
      <xdr:row>39</xdr:row>
      <xdr:rowOff>2101</xdr:rowOff>
    </xdr:to>
    <xdr:sp macro="" textlink="">
      <xdr:nvSpPr>
        <xdr:cNvPr id="15" name="Rectangle: Rounded Corners 14">
          <a:extLst>
            <a:ext uri="{FF2B5EF4-FFF2-40B4-BE49-F238E27FC236}">
              <a16:creationId xmlns:a16="http://schemas.microsoft.com/office/drawing/2014/main" id="{E20080E7-7C37-4C9E-B381-FA5479387E28}"/>
            </a:ext>
          </a:extLst>
        </xdr:cNvPr>
        <xdr:cNvSpPr/>
      </xdr:nvSpPr>
      <xdr:spPr>
        <a:xfrm>
          <a:off x="11805833" y="4844888"/>
          <a:ext cx="3637662" cy="2380338"/>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131343</xdr:colOff>
      <xdr:row>7</xdr:row>
      <xdr:rowOff>43464</xdr:rowOff>
    </xdr:from>
    <xdr:to>
      <xdr:col>10</xdr:col>
      <xdr:colOff>329217</xdr:colOff>
      <xdr:row>9</xdr:row>
      <xdr:rowOff>129709</xdr:rowOff>
    </xdr:to>
    <xdr:sp macro="" textlink="realtransss">
      <xdr:nvSpPr>
        <xdr:cNvPr id="20" name="TextBox 19">
          <a:extLst>
            <a:ext uri="{FF2B5EF4-FFF2-40B4-BE49-F238E27FC236}">
              <a16:creationId xmlns:a16="http://schemas.microsoft.com/office/drawing/2014/main" id="{207E9182-AC9C-48C9-BDE8-C5447066D908}"/>
            </a:ext>
          </a:extLst>
        </xdr:cNvPr>
        <xdr:cNvSpPr txBox="1"/>
      </xdr:nvSpPr>
      <xdr:spPr>
        <a:xfrm>
          <a:off x="4391135" y="1339922"/>
          <a:ext cx="2023499" cy="456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E2DEC4-6D97-4471-8B68-D752CB256116}" type="TxLink">
            <a:rPr lang="en-US" sz="2000" b="1" i="0" u="none" strike="noStrike">
              <a:solidFill>
                <a:srgbClr val="FF0000"/>
              </a:solidFill>
              <a:latin typeface="Aptos Narrow"/>
            </a:rPr>
            <a:pPr/>
            <a:t>5000</a:t>
          </a:fld>
          <a:endParaRPr lang="en-NG" sz="148100" b="1">
            <a:solidFill>
              <a:srgbClr val="FF0000"/>
            </a:solidFill>
          </a:endParaRPr>
        </a:p>
      </xdr:txBody>
    </xdr:sp>
    <xdr:clientData/>
  </xdr:twoCellAnchor>
  <xdr:twoCellAnchor>
    <xdr:from>
      <xdr:col>17</xdr:col>
      <xdr:colOff>180740</xdr:colOff>
      <xdr:row>7</xdr:row>
      <xdr:rowOff>50061</xdr:rowOff>
    </xdr:from>
    <xdr:to>
      <xdr:col>20</xdr:col>
      <xdr:colOff>370200</xdr:colOff>
      <xdr:row>9</xdr:row>
      <xdr:rowOff>144592</xdr:rowOff>
    </xdr:to>
    <xdr:sp macro="" textlink="avgamounts">
      <xdr:nvSpPr>
        <xdr:cNvPr id="21" name="TextBox 20">
          <a:extLst>
            <a:ext uri="{FF2B5EF4-FFF2-40B4-BE49-F238E27FC236}">
              <a16:creationId xmlns:a16="http://schemas.microsoft.com/office/drawing/2014/main" id="{8F247E24-8A4E-490B-BE00-4FF7986542B8}"/>
            </a:ext>
          </a:extLst>
        </xdr:cNvPr>
        <xdr:cNvSpPr txBox="1"/>
      </xdr:nvSpPr>
      <xdr:spPr>
        <a:xfrm>
          <a:off x="10525948" y="1346519"/>
          <a:ext cx="2015085" cy="4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468EB6-3C32-4176-A1A2-C1F872C0FA0F}" type="TxLink">
            <a:rPr lang="en-US" sz="2000" b="1" i="0" u="none" strike="noStrike">
              <a:solidFill>
                <a:srgbClr val="FF0000"/>
              </a:solidFill>
              <a:latin typeface="Aptos Narrow"/>
            </a:rPr>
            <a:pPr/>
            <a:t>$5,013</a:t>
          </a:fld>
          <a:endParaRPr lang="en-NG" sz="123400" b="1">
            <a:solidFill>
              <a:srgbClr val="FF0000"/>
            </a:solidFill>
          </a:endParaRPr>
        </a:p>
      </xdr:txBody>
    </xdr:sp>
    <xdr:clientData/>
  </xdr:twoCellAnchor>
  <xdr:twoCellAnchor>
    <xdr:from>
      <xdr:col>12</xdr:col>
      <xdr:colOff>103759</xdr:colOff>
      <xdr:row>7</xdr:row>
      <xdr:rowOff>50061</xdr:rowOff>
    </xdr:from>
    <xdr:to>
      <xdr:col>15</xdr:col>
      <xdr:colOff>301637</xdr:colOff>
      <xdr:row>9</xdr:row>
      <xdr:rowOff>144592</xdr:rowOff>
    </xdr:to>
    <xdr:sp macro="" textlink="amounts">
      <xdr:nvSpPr>
        <xdr:cNvPr id="22" name="TextBox 21">
          <a:extLst>
            <a:ext uri="{FF2B5EF4-FFF2-40B4-BE49-F238E27FC236}">
              <a16:creationId xmlns:a16="http://schemas.microsoft.com/office/drawing/2014/main" id="{8802782E-0240-4EF6-B673-52303991B487}"/>
            </a:ext>
          </a:extLst>
        </xdr:cNvPr>
        <xdr:cNvSpPr txBox="1"/>
      </xdr:nvSpPr>
      <xdr:spPr>
        <a:xfrm>
          <a:off x="7406259" y="1346519"/>
          <a:ext cx="2023503" cy="4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14D4C4-0399-41AE-925F-2BB8DC933761}" type="TxLink">
            <a:rPr lang="en-US" sz="2000" b="1" i="0" u="none" strike="noStrike">
              <a:solidFill>
                <a:srgbClr val="FF0000"/>
              </a:solidFill>
              <a:latin typeface="Aptos Narrow"/>
            </a:rPr>
            <a:pPr/>
            <a:t>$25,066,089</a:t>
          </a:fld>
          <a:endParaRPr lang="en-NG" sz="123400" b="1">
            <a:solidFill>
              <a:srgbClr val="FF0000"/>
            </a:solidFill>
          </a:endParaRPr>
        </a:p>
      </xdr:txBody>
    </xdr:sp>
    <xdr:clientData/>
  </xdr:twoCellAnchor>
  <xdr:twoCellAnchor>
    <xdr:from>
      <xdr:col>7</xdr:col>
      <xdr:colOff>118669</xdr:colOff>
      <xdr:row>6</xdr:row>
      <xdr:rowOff>40985</xdr:rowOff>
    </xdr:from>
    <xdr:to>
      <xdr:col>10</xdr:col>
      <xdr:colOff>316543</xdr:colOff>
      <xdr:row>7</xdr:row>
      <xdr:rowOff>159625</xdr:rowOff>
    </xdr:to>
    <xdr:sp macro="" textlink="transactions">
      <xdr:nvSpPr>
        <xdr:cNvPr id="25" name="TextBox 24">
          <a:extLst>
            <a:ext uri="{FF2B5EF4-FFF2-40B4-BE49-F238E27FC236}">
              <a16:creationId xmlns:a16="http://schemas.microsoft.com/office/drawing/2014/main" id="{C2C0EB28-1557-48E5-B24E-7CE0FF018E78}"/>
            </a:ext>
          </a:extLst>
        </xdr:cNvPr>
        <xdr:cNvSpPr txBox="1"/>
      </xdr:nvSpPr>
      <xdr:spPr>
        <a:xfrm>
          <a:off x="4378461" y="1152235"/>
          <a:ext cx="2023499" cy="303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TRANSACTIONS</a:t>
          </a:r>
          <a:endParaRPr lang="en-NG" sz="28700" b="1">
            <a:solidFill>
              <a:srgbClr val="AEAEAE"/>
            </a:solidFill>
          </a:endParaRPr>
        </a:p>
      </xdr:txBody>
    </xdr:sp>
    <xdr:clientData/>
  </xdr:twoCellAnchor>
  <xdr:twoCellAnchor>
    <xdr:from>
      <xdr:col>12</xdr:col>
      <xdr:colOff>144067</xdr:colOff>
      <xdr:row>6</xdr:row>
      <xdr:rowOff>66074</xdr:rowOff>
    </xdr:from>
    <xdr:to>
      <xdr:col>15</xdr:col>
      <xdr:colOff>344707</xdr:colOff>
      <xdr:row>7</xdr:row>
      <xdr:rowOff>111569</xdr:rowOff>
    </xdr:to>
    <xdr:sp macro="" textlink="transactions">
      <xdr:nvSpPr>
        <xdr:cNvPr id="26" name="TextBox 25">
          <a:extLst>
            <a:ext uri="{FF2B5EF4-FFF2-40B4-BE49-F238E27FC236}">
              <a16:creationId xmlns:a16="http://schemas.microsoft.com/office/drawing/2014/main" id="{234577D5-7D66-4ACB-9DEE-E89C05A0F6EA}"/>
            </a:ext>
          </a:extLst>
        </xdr:cNvPr>
        <xdr:cNvSpPr txBox="1"/>
      </xdr:nvSpPr>
      <xdr:spPr>
        <a:xfrm>
          <a:off x="7446567" y="1177324"/>
          <a:ext cx="2026265" cy="23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TOTAL AMOUNTS</a:t>
          </a:r>
          <a:endParaRPr lang="en-NG" sz="28700" b="1">
            <a:solidFill>
              <a:srgbClr val="AEAEAE"/>
            </a:solidFill>
          </a:endParaRPr>
        </a:p>
      </xdr:txBody>
    </xdr:sp>
    <xdr:clientData/>
  </xdr:twoCellAnchor>
  <xdr:twoCellAnchor>
    <xdr:from>
      <xdr:col>17</xdr:col>
      <xdr:colOff>175489</xdr:colOff>
      <xdr:row>6</xdr:row>
      <xdr:rowOff>52822</xdr:rowOff>
    </xdr:from>
    <xdr:to>
      <xdr:col>20</xdr:col>
      <xdr:colOff>383999</xdr:colOff>
      <xdr:row>7</xdr:row>
      <xdr:rowOff>109522</xdr:rowOff>
    </xdr:to>
    <xdr:sp macro="" textlink="transactions">
      <xdr:nvSpPr>
        <xdr:cNvPr id="27" name="TextBox 26">
          <a:extLst>
            <a:ext uri="{FF2B5EF4-FFF2-40B4-BE49-F238E27FC236}">
              <a16:creationId xmlns:a16="http://schemas.microsoft.com/office/drawing/2014/main" id="{769287F4-6A71-4DE9-BCC2-75AB48972409}"/>
            </a:ext>
          </a:extLst>
        </xdr:cNvPr>
        <xdr:cNvSpPr txBox="1"/>
      </xdr:nvSpPr>
      <xdr:spPr>
        <a:xfrm>
          <a:off x="10520697" y="1164072"/>
          <a:ext cx="2034135" cy="241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AVERAGE AMOUNTS</a:t>
          </a:r>
        </a:p>
      </xdr:txBody>
    </xdr:sp>
    <xdr:clientData/>
  </xdr:twoCellAnchor>
  <xdr:twoCellAnchor>
    <xdr:from>
      <xdr:col>11</xdr:col>
      <xdr:colOff>588033</xdr:colOff>
      <xdr:row>9</xdr:row>
      <xdr:rowOff>95514</xdr:rowOff>
    </xdr:from>
    <xdr:to>
      <xdr:col>16</xdr:col>
      <xdr:colOff>508258</xdr:colOff>
      <xdr:row>13</xdr:row>
      <xdr:rowOff>30393</xdr:rowOff>
    </xdr:to>
    <xdr:graphicFrame macro="">
      <xdr:nvGraphicFramePr>
        <xdr:cNvPr id="28" name="Chart 27">
          <a:extLst>
            <a:ext uri="{FF2B5EF4-FFF2-40B4-BE49-F238E27FC236}">
              <a16:creationId xmlns:a16="http://schemas.microsoft.com/office/drawing/2014/main" id="{DEF86163-7DA6-4BA0-9517-0AC5FAFB9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98888</xdr:colOff>
      <xdr:row>9</xdr:row>
      <xdr:rowOff>39995</xdr:rowOff>
    </xdr:from>
    <xdr:to>
      <xdr:col>11</xdr:col>
      <xdr:colOff>89258</xdr:colOff>
      <xdr:row>13</xdr:row>
      <xdr:rowOff>29211</xdr:rowOff>
    </xdr:to>
    <xdr:graphicFrame macro="">
      <xdr:nvGraphicFramePr>
        <xdr:cNvPr id="32" name="Chart 31">
          <a:extLst>
            <a:ext uri="{FF2B5EF4-FFF2-40B4-BE49-F238E27FC236}">
              <a16:creationId xmlns:a16="http://schemas.microsoft.com/office/drawing/2014/main" id="{7DF8A3D8-E4B3-4FA8-83E0-735D5D17F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89258</xdr:colOff>
      <xdr:row>9</xdr:row>
      <xdr:rowOff>36880</xdr:rowOff>
    </xdr:from>
    <xdr:to>
      <xdr:col>21</xdr:col>
      <xdr:colOff>382191</xdr:colOff>
      <xdr:row>13</xdr:row>
      <xdr:rowOff>23305</xdr:rowOff>
    </xdr:to>
    <xdr:graphicFrame macro="">
      <xdr:nvGraphicFramePr>
        <xdr:cNvPr id="33" name="Chart 32">
          <a:extLst>
            <a:ext uri="{FF2B5EF4-FFF2-40B4-BE49-F238E27FC236}">
              <a16:creationId xmlns:a16="http://schemas.microsoft.com/office/drawing/2014/main" id="{2943AC29-0283-4F39-BCD6-9F439BA40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101844</xdr:colOff>
      <xdr:row>8</xdr:row>
      <xdr:rowOff>153359</xdr:rowOff>
    </xdr:from>
    <xdr:to>
      <xdr:col>9</xdr:col>
      <xdr:colOff>135655</xdr:colOff>
      <xdr:row>10</xdr:row>
      <xdr:rowOff>64200</xdr:rowOff>
    </xdr:to>
    <xdr:sp macro="" textlink="lytrans">
      <xdr:nvSpPr>
        <xdr:cNvPr id="3" name="TextBox 2">
          <a:extLst>
            <a:ext uri="{FF2B5EF4-FFF2-40B4-BE49-F238E27FC236}">
              <a16:creationId xmlns:a16="http://schemas.microsoft.com/office/drawing/2014/main" id="{39659FC8-5376-4B45-BEA3-22D7D46C7681}"/>
            </a:ext>
          </a:extLst>
        </xdr:cNvPr>
        <xdr:cNvSpPr txBox="1"/>
      </xdr:nvSpPr>
      <xdr:spPr>
        <a:xfrm>
          <a:off x="4361636" y="1635026"/>
          <a:ext cx="1250894" cy="28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2C6CC1-B904-4168-8025-875BABDC0C1F}" type="TxLink">
            <a:rPr lang="en-US" sz="1200" b="0" i="0" u="none" strike="noStrike">
              <a:solidFill>
                <a:schemeClr val="accent6">
                  <a:lumMod val="60000"/>
                  <a:lumOff val="40000"/>
                </a:schemeClr>
              </a:solidFill>
              <a:latin typeface="Aptos Narrow"/>
            </a:rPr>
            <a:pPr/>
            <a:t>🔽47%VS LY</a:t>
          </a:fld>
          <a:endParaRPr lang="en-US" sz="1400" b="1" i="0" u="none" strike="noStrike">
            <a:solidFill>
              <a:schemeClr val="accent6">
                <a:lumMod val="60000"/>
                <a:lumOff val="40000"/>
              </a:schemeClr>
            </a:solidFill>
            <a:latin typeface="Aptos Narrow"/>
          </a:endParaRPr>
        </a:p>
      </xdr:txBody>
    </xdr:sp>
    <xdr:clientData/>
  </xdr:twoCellAnchor>
  <xdr:twoCellAnchor>
    <xdr:from>
      <xdr:col>17</xdr:col>
      <xdr:colOff>207266</xdr:colOff>
      <xdr:row>8</xdr:row>
      <xdr:rowOff>153359</xdr:rowOff>
    </xdr:from>
    <xdr:to>
      <xdr:col>19</xdr:col>
      <xdr:colOff>241076</xdr:colOff>
      <xdr:row>10</xdr:row>
      <xdr:rowOff>64200</xdr:rowOff>
    </xdr:to>
    <xdr:sp macro="" textlink="lyavgamont">
      <xdr:nvSpPr>
        <xdr:cNvPr id="7" name="TextBox 6">
          <a:extLst>
            <a:ext uri="{FF2B5EF4-FFF2-40B4-BE49-F238E27FC236}">
              <a16:creationId xmlns:a16="http://schemas.microsoft.com/office/drawing/2014/main" id="{837B3906-2CD3-43E1-B62E-BDD48705F3B4}"/>
            </a:ext>
          </a:extLst>
        </xdr:cNvPr>
        <xdr:cNvSpPr txBox="1"/>
      </xdr:nvSpPr>
      <xdr:spPr>
        <a:xfrm>
          <a:off x="10552474" y="1635026"/>
          <a:ext cx="1250894" cy="28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EC7B26-C14F-4400-8CFA-18E54FAC1716}" type="TxLink">
            <a:rPr lang="en-US" sz="1200" b="0" i="0" u="none" strike="noStrike">
              <a:solidFill>
                <a:schemeClr val="accent6">
                  <a:lumMod val="60000"/>
                  <a:lumOff val="40000"/>
                </a:schemeClr>
              </a:solidFill>
              <a:latin typeface="Aptos Narrow"/>
            </a:rPr>
            <a:pPr/>
            <a:t>🔼2%VS LY</a:t>
          </a:fld>
          <a:endParaRPr lang="en-US" sz="1600" b="1" i="0" u="none" strike="noStrike">
            <a:solidFill>
              <a:schemeClr val="accent6">
                <a:lumMod val="60000"/>
                <a:lumOff val="40000"/>
              </a:schemeClr>
            </a:solidFill>
            <a:latin typeface="Aptos Narrow"/>
          </a:endParaRPr>
        </a:p>
      </xdr:txBody>
    </xdr:sp>
    <xdr:clientData/>
  </xdr:twoCellAnchor>
  <xdr:twoCellAnchor>
    <xdr:from>
      <xdr:col>12</xdr:col>
      <xdr:colOff>79221</xdr:colOff>
      <xdr:row>8</xdr:row>
      <xdr:rowOff>153359</xdr:rowOff>
    </xdr:from>
    <xdr:to>
      <xdr:col>14</xdr:col>
      <xdr:colOff>103509</xdr:colOff>
      <xdr:row>10</xdr:row>
      <xdr:rowOff>64200</xdr:rowOff>
    </xdr:to>
    <xdr:sp macro="" textlink="lyamount">
      <xdr:nvSpPr>
        <xdr:cNvPr id="8" name="TextBox 7">
          <a:extLst>
            <a:ext uri="{FF2B5EF4-FFF2-40B4-BE49-F238E27FC236}">
              <a16:creationId xmlns:a16="http://schemas.microsoft.com/office/drawing/2014/main" id="{2C3051AE-7423-4114-86B9-7B3FAD221A32}"/>
            </a:ext>
          </a:extLst>
        </xdr:cNvPr>
        <xdr:cNvSpPr txBox="1"/>
      </xdr:nvSpPr>
      <xdr:spPr>
        <a:xfrm>
          <a:off x="7381721" y="1635026"/>
          <a:ext cx="1241371" cy="28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12F93C-039F-4A3A-8B26-8F1C337AB826}" type="TxLink">
            <a:rPr lang="en-US" sz="1200" b="0" i="0" u="none" strike="noStrike">
              <a:solidFill>
                <a:schemeClr val="accent6">
                  <a:lumMod val="60000"/>
                  <a:lumOff val="40000"/>
                </a:schemeClr>
              </a:solidFill>
              <a:latin typeface="Aptos Narrow"/>
            </a:rPr>
            <a:pPr/>
            <a:t>🔽46%VS LY</a:t>
          </a:fld>
          <a:endParaRPr lang="en-US" sz="1600" b="1" i="0" u="none" strike="noStrike">
            <a:solidFill>
              <a:schemeClr val="accent6">
                <a:lumMod val="60000"/>
                <a:lumOff val="40000"/>
              </a:schemeClr>
            </a:solidFill>
            <a:latin typeface="Aptos Narrow"/>
          </a:endParaRPr>
        </a:p>
      </xdr:txBody>
    </xdr:sp>
    <xdr:clientData/>
  </xdr:twoCellAnchor>
  <xdr:twoCellAnchor>
    <xdr:from>
      <xdr:col>20</xdr:col>
      <xdr:colOff>176281</xdr:colOff>
      <xdr:row>16</xdr:row>
      <xdr:rowOff>102303</xdr:rowOff>
    </xdr:from>
    <xdr:to>
      <xdr:col>25</xdr:col>
      <xdr:colOff>413025</xdr:colOff>
      <xdr:row>25</xdr:row>
      <xdr:rowOff>139248</xdr:rowOff>
    </xdr:to>
    <xdr:graphicFrame macro="">
      <xdr:nvGraphicFramePr>
        <xdr:cNvPr id="16" name="Chart 15">
          <a:extLst>
            <a:ext uri="{FF2B5EF4-FFF2-40B4-BE49-F238E27FC236}">
              <a16:creationId xmlns:a16="http://schemas.microsoft.com/office/drawing/2014/main" id="{0B79D222-2669-498E-8D8F-3FD16586C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227101</xdr:colOff>
      <xdr:row>20</xdr:row>
      <xdr:rowOff>130476</xdr:rowOff>
    </xdr:from>
    <xdr:to>
      <xdr:col>21</xdr:col>
      <xdr:colOff>79213</xdr:colOff>
      <xdr:row>23</xdr:row>
      <xdr:rowOff>51478</xdr:rowOff>
    </xdr:to>
    <xdr:sp macro="" textlink="transactions">
      <xdr:nvSpPr>
        <xdr:cNvPr id="17" name="TextBox 16">
          <a:extLst>
            <a:ext uri="{FF2B5EF4-FFF2-40B4-BE49-F238E27FC236}">
              <a16:creationId xmlns:a16="http://schemas.microsoft.com/office/drawing/2014/main" id="{0ED69441-2AE9-4D9B-8B84-BB3B7A9E052C}"/>
            </a:ext>
          </a:extLst>
        </xdr:cNvPr>
        <xdr:cNvSpPr txBox="1"/>
      </xdr:nvSpPr>
      <xdr:spPr>
        <a:xfrm>
          <a:off x="11789393" y="3834643"/>
          <a:ext cx="1069195" cy="476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lumMod val="75000"/>
                </a:schemeClr>
              </a:solidFill>
              <a:latin typeface="Aptos Narrow"/>
            </a:rPr>
            <a:t>Non-</a:t>
          </a:r>
        </a:p>
        <a:p>
          <a:r>
            <a:rPr lang="en-US" sz="1200" b="1" i="0" u="none" strike="noStrike" baseline="0">
              <a:solidFill>
                <a:schemeClr val="bg1">
                  <a:lumMod val="75000"/>
                </a:schemeClr>
              </a:solidFill>
              <a:latin typeface="Aptos Narrow"/>
            </a:rPr>
            <a:t> Users</a:t>
          </a:r>
          <a:endParaRPr lang="en-NG" sz="28700" b="1">
            <a:solidFill>
              <a:schemeClr val="bg1">
                <a:lumMod val="75000"/>
              </a:schemeClr>
            </a:solidFill>
          </a:endParaRPr>
        </a:p>
      </xdr:txBody>
    </xdr:sp>
    <xdr:clientData/>
  </xdr:twoCellAnchor>
  <xdr:twoCellAnchor>
    <xdr:from>
      <xdr:col>19</xdr:col>
      <xdr:colOff>229551</xdr:colOff>
      <xdr:row>17</xdr:row>
      <xdr:rowOff>145805</xdr:rowOff>
    </xdr:from>
    <xdr:to>
      <xdr:col>21</xdr:col>
      <xdr:colOff>82506</xdr:colOff>
      <xdr:row>20</xdr:row>
      <xdr:rowOff>69372</xdr:rowOff>
    </xdr:to>
    <xdr:sp macro="" textlink="transactions">
      <xdr:nvSpPr>
        <xdr:cNvPr id="18" name="TextBox 17">
          <a:extLst>
            <a:ext uri="{FF2B5EF4-FFF2-40B4-BE49-F238E27FC236}">
              <a16:creationId xmlns:a16="http://schemas.microsoft.com/office/drawing/2014/main" id="{EDED96EA-3107-4A46-AE15-DA52481F03AF}"/>
            </a:ext>
          </a:extLst>
        </xdr:cNvPr>
        <xdr:cNvSpPr txBox="1"/>
      </xdr:nvSpPr>
      <xdr:spPr>
        <a:xfrm>
          <a:off x="11791843" y="3294347"/>
          <a:ext cx="1070038" cy="479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chemeClr val="bg1">
                  <a:lumMod val="75000"/>
                </a:schemeClr>
              </a:solidFill>
              <a:latin typeface="Aptos Narrow"/>
            </a:rPr>
            <a:t>Users</a:t>
          </a:r>
          <a:endParaRPr lang="en-NG" sz="34400" b="1">
            <a:solidFill>
              <a:schemeClr val="bg1">
                <a:lumMod val="75000"/>
              </a:schemeClr>
            </a:solidFill>
          </a:endParaRPr>
        </a:p>
      </xdr:txBody>
    </xdr:sp>
    <xdr:clientData/>
  </xdr:twoCellAnchor>
  <xdr:twoCellAnchor>
    <xdr:from>
      <xdr:col>13</xdr:col>
      <xdr:colOff>108868</xdr:colOff>
      <xdr:row>28</xdr:row>
      <xdr:rowOff>143673</xdr:rowOff>
    </xdr:from>
    <xdr:to>
      <xdr:col>19</xdr:col>
      <xdr:colOff>140617</xdr:colOff>
      <xdr:row>39</xdr:row>
      <xdr:rowOff>175424</xdr:rowOff>
    </xdr:to>
    <xdr:graphicFrame macro="">
      <xdr:nvGraphicFramePr>
        <xdr:cNvPr id="24" name="Chart 23">
          <a:extLst>
            <a:ext uri="{FF2B5EF4-FFF2-40B4-BE49-F238E27FC236}">
              <a16:creationId xmlns:a16="http://schemas.microsoft.com/office/drawing/2014/main" id="{7C4B3003-C08D-49AE-A6FC-11366012F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437998</xdr:colOff>
      <xdr:row>29</xdr:row>
      <xdr:rowOff>22094</xdr:rowOff>
    </xdr:from>
    <xdr:to>
      <xdr:col>13</xdr:col>
      <xdr:colOff>392643</xdr:colOff>
      <xdr:row>39</xdr:row>
      <xdr:rowOff>129558</xdr:rowOff>
    </xdr:to>
    <xdr:graphicFrame macro="">
      <xdr:nvGraphicFramePr>
        <xdr:cNvPr id="34" name="Chart 33">
          <a:extLst>
            <a:ext uri="{FF2B5EF4-FFF2-40B4-BE49-F238E27FC236}">
              <a16:creationId xmlns:a16="http://schemas.microsoft.com/office/drawing/2014/main" id="{A963B117-0F76-486A-A14D-080A9CD81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94889</xdr:colOff>
      <xdr:row>12</xdr:row>
      <xdr:rowOff>122302</xdr:rowOff>
    </xdr:from>
    <xdr:to>
      <xdr:col>10</xdr:col>
      <xdr:colOff>286000</xdr:colOff>
      <xdr:row>13</xdr:row>
      <xdr:rowOff>174759</xdr:rowOff>
    </xdr:to>
    <xdr:sp macro="" textlink="transactions">
      <xdr:nvSpPr>
        <xdr:cNvPr id="35" name="TextBox 34">
          <a:extLst>
            <a:ext uri="{FF2B5EF4-FFF2-40B4-BE49-F238E27FC236}">
              <a16:creationId xmlns:a16="http://schemas.microsoft.com/office/drawing/2014/main" id="{FF0B82D6-271B-4773-8C6B-17DA32A5B4DE}"/>
            </a:ext>
          </a:extLst>
        </xdr:cNvPr>
        <xdr:cNvSpPr txBox="1"/>
      </xdr:nvSpPr>
      <xdr:spPr>
        <a:xfrm>
          <a:off x="4354681" y="2344802"/>
          <a:ext cx="2016736" cy="237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AEAEAE"/>
              </a:solidFill>
              <a:latin typeface="Aptos Narrow"/>
            </a:rPr>
            <a:t>How are we Banking?</a:t>
          </a:r>
          <a:endParaRPr lang="en-NG" sz="34400" b="1">
            <a:solidFill>
              <a:srgbClr val="AEAEAE"/>
            </a:solidFill>
          </a:endParaRPr>
        </a:p>
      </xdr:txBody>
    </xdr:sp>
    <xdr:clientData/>
  </xdr:twoCellAnchor>
  <xdr:twoCellAnchor>
    <xdr:from>
      <xdr:col>7</xdr:col>
      <xdr:colOff>110008</xdr:colOff>
      <xdr:row>13</xdr:row>
      <xdr:rowOff>167659</xdr:rowOff>
    </xdr:from>
    <xdr:to>
      <xdr:col>12</xdr:col>
      <xdr:colOff>513593</xdr:colOff>
      <xdr:row>16</xdr:row>
      <xdr:rowOff>43593</xdr:rowOff>
    </xdr:to>
    <xdr:sp macro="" textlink="">
      <xdr:nvSpPr>
        <xdr:cNvPr id="36" name="TextBox 35">
          <a:extLst>
            <a:ext uri="{FF2B5EF4-FFF2-40B4-BE49-F238E27FC236}">
              <a16:creationId xmlns:a16="http://schemas.microsoft.com/office/drawing/2014/main" id="{FDB77379-5C31-4A26-AFDF-EC83F8662D49}"/>
            </a:ext>
          </a:extLst>
        </xdr:cNvPr>
        <xdr:cNvSpPr txBox="1"/>
      </xdr:nvSpPr>
      <xdr:spPr>
        <a:xfrm>
          <a:off x="4369800" y="2575367"/>
          <a:ext cx="3446293" cy="43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2">
                  <a:lumMod val="50000"/>
                </a:schemeClr>
              </a:solidFill>
            </a:rPr>
            <a:t>Record shows Transactions by value,but</a:t>
          </a:r>
          <a:r>
            <a:rPr lang="en-GB" sz="1200" b="1" baseline="0">
              <a:solidFill>
                <a:schemeClr val="bg2">
                  <a:lumMod val="50000"/>
                </a:schemeClr>
              </a:solidFill>
            </a:rPr>
            <a:t> the highest volume comes from POS (1266 trnsc.)</a:t>
          </a:r>
          <a:endParaRPr lang="en-NG" sz="1200" b="1">
            <a:solidFill>
              <a:schemeClr val="bg2">
                <a:lumMod val="50000"/>
              </a:schemeClr>
            </a:solidFill>
          </a:endParaRPr>
        </a:p>
      </xdr:txBody>
    </xdr:sp>
    <xdr:clientData/>
  </xdr:twoCellAnchor>
  <xdr:twoCellAnchor>
    <xdr:from>
      <xdr:col>7</xdr:col>
      <xdr:colOff>91482</xdr:colOff>
      <xdr:row>26</xdr:row>
      <xdr:rowOff>24691</xdr:rowOff>
    </xdr:from>
    <xdr:to>
      <xdr:col>12</xdr:col>
      <xdr:colOff>483355</xdr:colOff>
      <xdr:row>27</xdr:row>
      <xdr:rowOff>91512</xdr:rowOff>
    </xdr:to>
    <xdr:sp macro="" textlink="transactions">
      <xdr:nvSpPr>
        <xdr:cNvPr id="37" name="TextBox 36">
          <a:extLst>
            <a:ext uri="{FF2B5EF4-FFF2-40B4-BE49-F238E27FC236}">
              <a16:creationId xmlns:a16="http://schemas.microsoft.com/office/drawing/2014/main" id="{BFC04E57-0E39-4356-8174-B7EEC14BC3C5}"/>
            </a:ext>
          </a:extLst>
        </xdr:cNvPr>
        <xdr:cNvSpPr txBox="1"/>
      </xdr:nvSpPr>
      <xdr:spPr>
        <a:xfrm>
          <a:off x="4351274" y="4840108"/>
          <a:ext cx="3434581" cy="252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AEAEAE"/>
              </a:solidFill>
              <a:latin typeface="Aptos Narrow"/>
            </a:rPr>
            <a:t>Who uses Digital Channels The Most ?</a:t>
          </a:r>
          <a:endParaRPr lang="en-NG" sz="34400" b="1">
            <a:solidFill>
              <a:srgbClr val="AEAEAE"/>
            </a:solidFill>
          </a:endParaRPr>
        </a:p>
      </xdr:txBody>
    </xdr:sp>
    <xdr:clientData/>
  </xdr:twoCellAnchor>
  <xdr:twoCellAnchor>
    <xdr:from>
      <xdr:col>7</xdr:col>
      <xdr:colOff>106601</xdr:colOff>
      <xdr:row>27</xdr:row>
      <xdr:rowOff>22566</xdr:rowOff>
    </xdr:from>
    <xdr:to>
      <xdr:col>12</xdr:col>
      <xdr:colOff>510186</xdr:colOff>
      <xdr:row>30</xdr:row>
      <xdr:rowOff>128286</xdr:rowOff>
    </xdr:to>
    <xdr:sp macro="" textlink="">
      <xdr:nvSpPr>
        <xdr:cNvPr id="38" name="TextBox 37">
          <a:extLst>
            <a:ext uri="{FF2B5EF4-FFF2-40B4-BE49-F238E27FC236}">
              <a16:creationId xmlns:a16="http://schemas.microsoft.com/office/drawing/2014/main" id="{EDA0FF9F-D2E2-4BF5-8330-E2A13BC4E6C2}"/>
            </a:ext>
          </a:extLst>
        </xdr:cNvPr>
        <xdr:cNvSpPr txBox="1"/>
      </xdr:nvSpPr>
      <xdr:spPr>
        <a:xfrm>
          <a:off x="4366393" y="5023191"/>
          <a:ext cx="3446293" cy="661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2">
                  <a:lumMod val="50000"/>
                </a:schemeClr>
              </a:solidFill>
            </a:rPr>
            <a:t>Wealthier</a:t>
          </a:r>
          <a:r>
            <a:rPr lang="en-GB" sz="1200" b="1" baseline="0">
              <a:solidFill>
                <a:schemeClr val="bg2">
                  <a:lumMod val="50000"/>
                </a:schemeClr>
              </a:solidFill>
            </a:rPr>
            <a:t> customers(premium &amp; High) prefer Digital Channels(Online/POS)  While less wealthy ones rely more on Branch &amp; ATM</a:t>
          </a:r>
          <a:endParaRPr lang="en-NG" sz="1200" b="1">
            <a:solidFill>
              <a:schemeClr val="bg2">
                <a:lumMod val="50000"/>
              </a:schemeClr>
            </a:solidFill>
          </a:endParaRPr>
        </a:p>
      </xdr:txBody>
    </xdr:sp>
    <xdr:clientData/>
  </xdr:twoCellAnchor>
  <xdr:twoCellAnchor>
    <xdr:from>
      <xdr:col>13</xdr:col>
      <xdr:colOff>210103</xdr:colOff>
      <xdr:row>13</xdr:row>
      <xdr:rowOff>157582</xdr:rowOff>
    </xdr:from>
    <xdr:to>
      <xdr:col>19</xdr:col>
      <xdr:colOff>529922</xdr:colOff>
      <xdr:row>16</xdr:row>
      <xdr:rowOff>44874</xdr:rowOff>
    </xdr:to>
    <xdr:sp macro="" textlink="">
      <xdr:nvSpPr>
        <xdr:cNvPr id="39" name="TextBox 38">
          <a:extLst>
            <a:ext uri="{FF2B5EF4-FFF2-40B4-BE49-F238E27FC236}">
              <a16:creationId xmlns:a16="http://schemas.microsoft.com/office/drawing/2014/main" id="{0B42D3D8-33D1-4EB1-BA7F-484E53AD364D}"/>
            </a:ext>
          </a:extLst>
        </xdr:cNvPr>
        <xdr:cNvSpPr txBox="1"/>
      </xdr:nvSpPr>
      <xdr:spPr>
        <a:xfrm>
          <a:off x="8121145" y="2565290"/>
          <a:ext cx="3971069" cy="442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2">
                  <a:lumMod val="50000"/>
                </a:schemeClr>
              </a:solidFill>
            </a:rPr>
            <a:t>Chart displays Top 5 merchants</a:t>
          </a:r>
          <a:r>
            <a:rPr lang="en-GB" sz="1200" b="1" baseline="0">
              <a:solidFill>
                <a:schemeClr val="bg2">
                  <a:lumMod val="50000"/>
                </a:schemeClr>
              </a:solidFill>
            </a:rPr>
            <a:t> by value,Airbnb Leads</a:t>
          </a:r>
          <a:endParaRPr lang="en-NG" sz="1200" b="1">
            <a:solidFill>
              <a:schemeClr val="bg2">
                <a:lumMod val="50000"/>
              </a:schemeClr>
            </a:solidFill>
          </a:endParaRPr>
        </a:p>
      </xdr:txBody>
    </xdr:sp>
    <xdr:clientData/>
  </xdr:twoCellAnchor>
  <xdr:twoCellAnchor>
    <xdr:from>
      <xdr:col>13</xdr:col>
      <xdr:colOff>168285</xdr:colOff>
      <xdr:row>27</xdr:row>
      <xdr:rowOff>19445</xdr:rowOff>
    </xdr:from>
    <xdr:to>
      <xdr:col>18</xdr:col>
      <xdr:colOff>559243</xdr:colOff>
      <xdr:row>29</xdr:row>
      <xdr:rowOff>77051</xdr:rowOff>
    </xdr:to>
    <xdr:sp macro="" textlink="">
      <xdr:nvSpPr>
        <xdr:cNvPr id="40" name="TextBox 39">
          <a:extLst>
            <a:ext uri="{FF2B5EF4-FFF2-40B4-BE49-F238E27FC236}">
              <a16:creationId xmlns:a16="http://schemas.microsoft.com/office/drawing/2014/main" id="{4896971D-D84E-4E4E-ADE6-EACFB12B812B}"/>
            </a:ext>
          </a:extLst>
        </xdr:cNvPr>
        <xdr:cNvSpPr txBox="1"/>
      </xdr:nvSpPr>
      <xdr:spPr>
        <a:xfrm>
          <a:off x="8079327" y="5020070"/>
          <a:ext cx="3433666" cy="428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2">
                  <a:lumMod val="50000"/>
                </a:schemeClr>
              </a:solidFill>
            </a:rPr>
            <a:t>Airbnb</a:t>
          </a:r>
          <a:r>
            <a:rPr lang="en-GB" sz="1200" b="1" baseline="0">
              <a:solidFill>
                <a:schemeClr val="bg2">
                  <a:lumMod val="50000"/>
                </a:schemeClr>
              </a:solidFill>
            </a:rPr>
            <a:t> sees the most transactions, with localstore and target following closly</a:t>
          </a:r>
          <a:endParaRPr lang="en-NG" sz="1200" b="1">
            <a:solidFill>
              <a:schemeClr val="bg2">
                <a:lumMod val="50000"/>
              </a:schemeClr>
            </a:solidFill>
          </a:endParaRPr>
        </a:p>
      </xdr:txBody>
    </xdr:sp>
    <xdr:clientData/>
  </xdr:twoCellAnchor>
  <xdr:twoCellAnchor>
    <xdr:from>
      <xdr:col>13</xdr:col>
      <xdr:colOff>167076</xdr:colOff>
      <xdr:row>25</xdr:row>
      <xdr:rowOff>136871</xdr:rowOff>
    </xdr:from>
    <xdr:to>
      <xdr:col>19</xdr:col>
      <xdr:colOff>106599</xdr:colOff>
      <xdr:row>25</xdr:row>
      <xdr:rowOff>151990</xdr:rowOff>
    </xdr:to>
    <xdr:cxnSp macro="">
      <xdr:nvCxnSpPr>
        <xdr:cNvPr id="42" name="Straight Connector 41">
          <a:extLst>
            <a:ext uri="{FF2B5EF4-FFF2-40B4-BE49-F238E27FC236}">
              <a16:creationId xmlns:a16="http://schemas.microsoft.com/office/drawing/2014/main" id="{530B21DA-4C17-AA84-7EF9-423CD2C1FA30}"/>
            </a:ext>
          </a:extLst>
        </xdr:cNvPr>
        <xdr:cNvCxnSpPr/>
      </xdr:nvCxnSpPr>
      <xdr:spPr>
        <a:xfrm>
          <a:off x="8078118" y="4767079"/>
          <a:ext cx="3590773" cy="15119"/>
        </a:xfrm>
        <a:prstGeom prst="line">
          <a:avLst/>
        </a:prstGeom>
        <a:ln>
          <a:solidFill>
            <a:schemeClr val="bg1">
              <a:lumMod val="85000"/>
              <a:alpha val="3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167077</xdr:colOff>
      <xdr:row>12</xdr:row>
      <xdr:rowOff>106632</xdr:rowOff>
    </xdr:from>
    <xdr:to>
      <xdr:col>18</xdr:col>
      <xdr:colOff>546323</xdr:colOff>
      <xdr:row>13</xdr:row>
      <xdr:rowOff>182228</xdr:rowOff>
    </xdr:to>
    <xdr:sp macro="" textlink="transactions">
      <xdr:nvSpPr>
        <xdr:cNvPr id="44" name="TextBox 43">
          <a:extLst>
            <a:ext uri="{FF2B5EF4-FFF2-40B4-BE49-F238E27FC236}">
              <a16:creationId xmlns:a16="http://schemas.microsoft.com/office/drawing/2014/main" id="{ABE3E456-A5F5-417A-A553-AF283DE52529}"/>
            </a:ext>
          </a:extLst>
        </xdr:cNvPr>
        <xdr:cNvSpPr txBox="1"/>
      </xdr:nvSpPr>
      <xdr:spPr>
        <a:xfrm>
          <a:off x="8078119" y="2329132"/>
          <a:ext cx="3421954" cy="260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AEAEAE"/>
              </a:solidFill>
              <a:latin typeface="Aptos Narrow"/>
            </a:rPr>
            <a:t>Merchants driving</a:t>
          </a:r>
          <a:r>
            <a:rPr lang="en-US" sz="1400" b="1" i="0" u="none" strike="noStrike" baseline="0">
              <a:solidFill>
                <a:srgbClr val="AEAEAE"/>
              </a:solidFill>
              <a:latin typeface="Aptos Narrow"/>
            </a:rPr>
            <a:t> the biggest cash flow ?</a:t>
          </a:r>
          <a:endParaRPr lang="en-NG" sz="34400" b="1">
            <a:solidFill>
              <a:srgbClr val="AEAEAE"/>
            </a:solidFill>
          </a:endParaRPr>
        </a:p>
      </xdr:txBody>
    </xdr:sp>
    <xdr:clientData/>
  </xdr:twoCellAnchor>
  <xdr:twoCellAnchor>
    <xdr:from>
      <xdr:col>13</xdr:col>
      <xdr:colOff>106600</xdr:colOff>
      <xdr:row>25</xdr:row>
      <xdr:rowOff>121752</xdr:rowOff>
    </xdr:from>
    <xdr:to>
      <xdr:col>18</xdr:col>
      <xdr:colOff>498473</xdr:colOff>
      <xdr:row>27</xdr:row>
      <xdr:rowOff>12138</xdr:rowOff>
    </xdr:to>
    <xdr:sp macro="" textlink="transactions">
      <xdr:nvSpPr>
        <xdr:cNvPr id="45" name="TextBox 44">
          <a:extLst>
            <a:ext uri="{FF2B5EF4-FFF2-40B4-BE49-F238E27FC236}">
              <a16:creationId xmlns:a16="http://schemas.microsoft.com/office/drawing/2014/main" id="{DD6AA028-641B-435F-A6E6-041AB5041F92}"/>
            </a:ext>
          </a:extLst>
        </xdr:cNvPr>
        <xdr:cNvSpPr txBox="1"/>
      </xdr:nvSpPr>
      <xdr:spPr>
        <a:xfrm>
          <a:off x="8017642" y="4751960"/>
          <a:ext cx="3434581" cy="260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AEAEAE"/>
              </a:solidFill>
              <a:latin typeface="Aptos Narrow"/>
            </a:rPr>
            <a:t>Which merchants sees the most activity ?</a:t>
          </a:r>
          <a:endParaRPr lang="en-NG" sz="34400" b="1">
            <a:solidFill>
              <a:srgbClr val="AEAEAE"/>
            </a:solidFill>
          </a:endParaRPr>
        </a:p>
      </xdr:txBody>
    </xdr:sp>
    <xdr:clientData/>
  </xdr:twoCellAnchor>
  <xdr:twoCellAnchor>
    <xdr:from>
      <xdr:col>19</xdr:col>
      <xdr:colOff>215697</xdr:colOff>
      <xdr:row>14</xdr:row>
      <xdr:rowOff>76394</xdr:rowOff>
    </xdr:from>
    <xdr:to>
      <xdr:col>25</xdr:col>
      <xdr:colOff>14814</xdr:colOff>
      <xdr:row>16</xdr:row>
      <xdr:rowOff>160965</xdr:rowOff>
    </xdr:to>
    <xdr:sp macro="" textlink="">
      <xdr:nvSpPr>
        <xdr:cNvPr id="47" name="TextBox 46">
          <a:extLst>
            <a:ext uri="{FF2B5EF4-FFF2-40B4-BE49-F238E27FC236}">
              <a16:creationId xmlns:a16="http://schemas.microsoft.com/office/drawing/2014/main" id="{ECCCF193-44E2-456E-9B16-57AED78F109C}"/>
            </a:ext>
          </a:extLst>
        </xdr:cNvPr>
        <xdr:cNvSpPr txBox="1"/>
      </xdr:nvSpPr>
      <xdr:spPr>
        <a:xfrm>
          <a:off x="11777989" y="2669311"/>
          <a:ext cx="3450367" cy="454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2">
                  <a:lumMod val="50000"/>
                </a:schemeClr>
              </a:solidFill>
            </a:rPr>
            <a:t>Creditcard owners make 21% of their transaction as payment, compared to 79% for non- Users</a:t>
          </a:r>
          <a:endParaRPr lang="en-NG" sz="1200" b="1">
            <a:solidFill>
              <a:schemeClr val="bg2">
                <a:lumMod val="50000"/>
              </a:schemeClr>
            </a:solidFill>
          </a:endParaRPr>
        </a:p>
      </xdr:txBody>
    </xdr:sp>
    <xdr:clientData/>
  </xdr:twoCellAnchor>
  <xdr:twoCellAnchor>
    <xdr:from>
      <xdr:col>19</xdr:col>
      <xdr:colOff>214826</xdr:colOff>
      <xdr:row>12</xdr:row>
      <xdr:rowOff>181833</xdr:rowOff>
    </xdr:from>
    <xdr:to>
      <xdr:col>24</xdr:col>
      <xdr:colOff>601838</xdr:colOff>
      <xdr:row>14</xdr:row>
      <xdr:rowOff>61387</xdr:rowOff>
    </xdr:to>
    <xdr:sp macro="" textlink="transactions">
      <xdr:nvSpPr>
        <xdr:cNvPr id="48" name="TextBox 47">
          <a:extLst>
            <a:ext uri="{FF2B5EF4-FFF2-40B4-BE49-F238E27FC236}">
              <a16:creationId xmlns:a16="http://schemas.microsoft.com/office/drawing/2014/main" id="{9B8C78E8-07DE-446E-9591-15DC3D2AEAA6}"/>
            </a:ext>
          </a:extLst>
        </xdr:cNvPr>
        <xdr:cNvSpPr txBox="1"/>
      </xdr:nvSpPr>
      <xdr:spPr>
        <a:xfrm>
          <a:off x="11777118" y="2404333"/>
          <a:ext cx="3429720" cy="249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AEAEAE"/>
              </a:solidFill>
              <a:latin typeface="Aptos Narrow"/>
            </a:rPr>
            <a:t>Who pays more ? Card users or non-Users</a:t>
          </a:r>
          <a:endParaRPr lang="en-NG" sz="34400" b="1">
            <a:solidFill>
              <a:srgbClr val="AEAEAE"/>
            </a:solidFill>
          </a:endParaRPr>
        </a:p>
      </xdr:txBody>
    </xdr:sp>
    <xdr:clientData/>
  </xdr:twoCellAnchor>
  <xdr:twoCellAnchor>
    <xdr:from>
      <xdr:col>19</xdr:col>
      <xdr:colOff>255460</xdr:colOff>
      <xdr:row>27</xdr:row>
      <xdr:rowOff>24694</xdr:rowOff>
    </xdr:from>
    <xdr:to>
      <xdr:col>25</xdr:col>
      <xdr:colOff>52399</xdr:colOff>
      <xdr:row>30</xdr:row>
      <xdr:rowOff>58708</xdr:rowOff>
    </xdr:to>
    <xdr:sp macro="" textlink="">
      <xdr:nvSpPr>
        <xdr:cNvPr id="50" name="TextBox 49">
          <a:extLst>
            <a:ext uri="{FF2B5EF4-FFF2-40B4-BE49-F238E27FC236}">
              <a16:creationId xmlns:a16="http://schemas.microsoft.com/office/drawing/2014/main" id="{2C30DB97-B1A8-47BD-8F29-46691A3C3076}"/>
            </a:ext>
          </a:extLst>
        </xdr:cNvPr>
        <xdr:cNvSpPr txBox="1"/>
      </xdr:nvSpPr>
      <xdr:spPr>
        <a:xfrm>
          <a:off x="11817752" y="5025319"/>
          <a:ext cx="3448189" cy="58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2">
                  <a:lumMod val="50000"/>
                </a:schemeClr>
              </a:solidFill>
            </a:rPr>
            <a:t>Record shows Transactions by value,but</a:t>
          </a:r>
          <a:r>
            <a:rPr lang="en-GB" sz="1200" b="1" baseline="0">
              <a:solidFill>
                <a:schemeClr val="bg2">
                  <a:lumMod val="50000"/>
                </a:schemeClr>
              </a:solidFill>
            </a:rPr>
            <a:t> the highest volume comes from Withdrawal  (1266 trnsc.)</a:t>
          </a:r>
          <a:endParaRPr lang="en-NG" sz="1200" b="1">
            <a:solidFill>
              <a:schemeClr val="bg2">
                <a:lumMod val="50000"/>
              </a:schemeClr>
            </a:solidFill>
          </a:endParaRPr>
        </a:p>
      </xdr:txBody>
    </xdr:sp>
    <xdr:clientData/>
  </xdr:twoCellAnchor>
  <xdr:twoCellAnchor>
    <xdr:from>
      <xdr:col>19</xdr:col>
      <xdr:colOff>241549</xdr:colOff>
      <xdr:row>25</xdr:row>
      <xdr:rowOff>168317</xdr:rowOff>
    </xdr:from>
    <xdr:to>
      <xdr:col>25</xdr:col>
      <xdr:colOff>19429</xdr:colOff>
      <xdr:row>27</xdr:row>
      <xdr:rowOff>44801</xdr:rowOff>
    </xdr:to>
    <xdr:sp macro="" textlink="transactions">
      <xdr:nvSpPr>
        <xdr:cNvPr id="51" name="TextBox 50">
          <a:extLst>
            <a:ext uri="{FF2B5EF4-FFF2-40B4-BE49-F238E27FC236}">
              <a16:creationId xmlns:a16="http://schemas.microsoft.com/office/drawing/2014/main" id="{A7D9EB13-AC6D-4C52-B4F3-A5A5B4842834}"/>
            </a:ext>
          </a:extLst>
        </xdr:cNvPr>
        <xdr:cNvSpPr txBox="1"/>
      </xdr:nvSpPr>
      <xdr:spPr>
        <a:xfrm>
          <a:off x="11803841" y="4798525"/>
          <a:ext cx="3429130" cy="246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AEAEAE"/>
              </a:solidFill>
              <a:latin typeface="Aptos Narrow"/>
            </a:rPr>
            <a:t>Where is the money flowing ?</a:t>
          </a:r>
          <a:endParaRPr lang="en-NG" sz="34400" b="1">
            <a:solidFill>
              <a:srgbClr val="AEAEAE"/>
            </a:solidFill>
          </a:endParaRPr>
        </a:p>
      </xdr:txBody>
    </xdr:sp>
    <xdr:clientData/>
  </xdr:twoCellAnchor>
  <xdr:twoCellAnchor>
    <xdr:from>
      <xdr:col>7</xdr:col>
      <xdr:colOff>76681</xdr:colOff>
      <xdr:row>2</xdr:row>
      <xdr:rowOff>87042</xdr:rowOff>
    </xdr:from>
    <xdr:to>
      <xdr:col>24</xdr:col>
      <xdr:colOff>67780</xdr:colOff>
      <xdr:row>7</xdr:row>
      <xdr:rowOff>57641</xdr:rowOff>
    </xdr:to>
    <xdr:sp macro="" textlink="transactions">
      <xdr:nvSpPr>
        <xdr:cNvPr id="52" name="TextBox 51">
          <a:extLst>
            <a:ext uri="{FF2B5EF4-FFF2-40B4-BE49-F238E27FC236}">
              <a16:creationId xmlns:a16="http://schemas.microsoft.com/office/drawing/2014/main" id="{F0C246A6-BBE7-4149-B591-7F5B018C525A}"/>
            </a:ext>
          </a:extLst>
        </xdr:cNvPr>
        <xdr:cNvSpPr txBox="1"/>
      </xdr:nvSpPr>
      <xdr:spPr>
        <a:xfrm>
          <a:off x="4336473" y="457459"/>
          <a:ext cx="10336307" cy="896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rgbClr val="AEAEAE"/>
              </a:solidFill>
              <a:latin typeface="Aptos Narrow"/>
            </a:rPr>
            <a:t>METRO BANK CUSTOMER TRANSACTION BEHAVIOR</a:t>
          </a:r>
          <a:endParaRPr lang="en-NG" sz="85700" b="1">
            <a:solidFill>
              <a:srgbClr val="AEAEAE"/>
            </a:solidFill>
          </a:endParaRPr>
        </a:p>
      </xdr:txBody>
    </xdr:sp>
    <xdr:clientData/>
  </xdr:twoCellAnchor>
  <xdr:twoCellAnchor>
    <xdr:from>
      <xdr:col>7</xdr:col>
      <xdr:colOff>83375</xdr:colOff>
      <xdr:row>4</xdr:row>
      <xdr:rowOff>108393</xdr:rowOff>
    </xdr:from>
    <xdr:to>
      <xdr:col>17</xdr:col>
      <xdr:colOff>416813</xdr:colOff>
      <xdr:row>6</xdr:row>
      <xdr:rowOff>183437</xdr:rowOff>
    </xdr:to>
    <xdr:sp macro="" textlink="">
      <xdr:nvSpPr>
        <xdr:cNvPr id="54" name="TextBox 53">
          <a:extLst>
            <a:ext uri="{FF2B5EF4-FFF2-40B4-BE49-F238E27FC236}">
              <a16:creationId xmlns:a16="http://schemas.microsoft.com/office/drawing/2014/main" id="{C2A2D807-72CD-48F8-9576-CDD5C084A039}"/>
            </a:ext>
          </a:extLst>
        </xdr:cNvPr>
        <xdr:cNvSpPr txBox="1"/>
      </xdr:nvSpPr>
      <xdr:spPr>
        <a:xfrm>
          <a:off x="4343167" y="849226"/>
          <a:ext cx="6418854" cy="445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2">
                  <a:lumMod val="50000"/>
                </a:schemeClr>
              </a:solidFill>
            </a:rPr>
            <a:t>From Deposits to payment : Analyzing</a:t>
          </a:r>
          <a:r>
            <a:rPr lang="en-GB" sz="1200" b="1" baseline="0">
              <a:solidFill>
                <a:schemeClr val="bg2">
                  <a:lumMod val="50000"/>
                </a:schemeClr>
              </a:solidFill>
            </a:rPr>
            <a:t> values,volume and patterns across channels &amp; Merchants</a:t>
          </a:r>
          <a:endParaRPr lang="en-NG" sz="1200" b="1">
            <a:solidFill>
              <a:schemeClr val="bg2">
                <a:lumMod val="50000"/>
              </a:schemeClr>
            </a:solidFill>
          </a:endParaRPr>
        </a:p>
      </xdr:txBody>
    </xdr:sp>
    <xdr:clientData/>
  </xdr:twoCellAnchor>
  <xdr:twoCellAnchor>
    <xdr:from>
      <xdr:col>19</xdr:col>
      <xdr:colOff>236711</xdr:colOff>
      <xdr:row>29</xdr:row>
      <xdr:rowOff>96955</xdr:rowOff>
    </xdr:from>
    <xdr:to>
      <xdr:col>25</xdr:col>
      <xdr:colOff>143790</xdr:colOff>
      <xdr:row>39</xdr:row>
      <xdr:rowOff>109655</xdr:rowOff>
    </xdr:to>
    <xdr:graphicFrame macro="">
      <xdr:nvGraphicFramePr>
        <xdr:cNvPr id="46" name="Chart 45">
          <a:extLst>
            <a:ext uri="{FF2B5EF4-FFF2-40B4-BE49-F238E27FC236}">
              <a16:creationId xmlns:a16="http://schemas.microsoft.com/office/drawing/2014/main" id="{D90980BD-F1DC-420B-A0A5-FA52EB3AF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133010</xdr:colOff>
      <xdr:row>15</xdr:row>
      <xdr:rowOff>56291</xdr:rowOff>
    </xdr:from>
    <xdr:to>
      <xdr:col>19</xdr:col>
      <xdr:colOff>150142</xdr:colOff>
      <xdr:row>26</xdr:row>
      <xdr:rowOff>68990</xdr:rowOff>
    </xdr:to>
    <xdr:graphicFrame macro="">
      <xdr:nvGraphicFramePr>
        <xdr:cNvPr id="12" name="Chart 11">
          <a:extLst>
            <a:ext uri="{FF2B5EF4-FFF2-40B4-BE49-F238E27FC236}">
              <a16:creationId xmlns:a16="http://schemas.microsoft.com/office/drawing/2014/main" id="{394A2147-DE2A-40B4-89D3-4CC7D1519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73943</xdr:colOff>
      <xdr:row>16</xdr:row>
      <xdr:rowOff>19447</xdr:rowOff>
    </xdr:from>
    <xdr:to>
      <xdr:col>12</xdr:col>
      <xdr:colOff>596671</xdr:colOff>
      <xdr:row>25</xdr:row>
      <xdr:rowOff>173155</xdr:rowOff>
    </xdr:to>
    <xdr:graphicFrame macro="">
      <xdr:nvGraphicFramePr>
        <xdr:cNvPr id="41" name="Chart 40">
          <a:extLst>
            <a:ext uri="{FF2B5EF4-FFF2-40B4-BE49-F238E27FC236}">
              <a16:creationId xmlns:a16="http://schemas.microsoft.com/office/drawing/2014/main" id="{1DBE5AF5-D22F-4C79-B7C8-5854789D1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237585</xdr:colOff>
      <xdr:row>9</xdr:row>
      <xdr:rowOff>58476</xdr:rowOff>
    </xdr:from>
    <xdr:to>
      <xdr:col>6</xdr:col>
      <xdr:colOff>513499</xdr:colOff>
      <xdr:row>10</xdr:row>
      <xdr:rowOff>152329</xdr:rowOff>
    </xdr:to>
    <xdr:pic>
      <xdr:nvPicPr>
        <xdr:cNvPr id="23" name="Picture 22">
          <a:hlinkClick xmlns:r="http://schemas.openxmlformats.org/officeDocument/2006/relationships" r:id="rId10"/>
          <a:extLst>
            <a:ext uri="{FF2B5EF4-FFF2-40B4-BE49-F238E27FC236}">
              <a16:creationId xmlns:a16="http://schemas.microsoft.com/office/drawing/2014/main" id="{A4AEE384-F6F3-43D1-BBFB-CBD403BB6F45}"/>
            </a:ext>
          </a:extLst>
        </xdr:cNvPr>
        <xdr:cNvPicPr>
          <a:picLocks noChangeAspect="1"/>
        </xdr:cNvPicPr>
      </xdr:nvPicPr>
      <xdr:blipFill>
        <a:blip xmlns:r="http://schemas.openxmlformats.org/officeDocument/2006/relationships" r:embed="rId11">
          <a:duotone>
            <a:schemeClr val="accent6">
              <a:shade val="45000"/>
              <a:satMod val="135000"/>
            </a:schemeClr>
            <a:prstClr val="white"/>
          </a:duotone>
          <a:alphaModFix amt="16000"/>
          <a:extLst>
            <a:ext uri="{BEBA8EAE-BF5A-486C-A8C5-ECC9F3942E4B}">
              <a14:imgProps xmlns:a14="http://schemas.microsoft.com/office/drawing/2010/main">
                <a14:imgLayer r:embed="rId12">
                  <a14:imgEffect>
                    <a14:saturation sat="0"/>
                  </a14:imgEffect>
                </a14:imgLayer>
              </a14:imgProps>
            </a:ext>
            <a:ext uri="{28A0092B-C50C-407E-A947-70E740481C1C}">
              <a14:useLocalDpi xmlns:a14="http://schemas.microsoft.com/office/drawing/2010/main" val="0"/>
            </a:ext>
          </a:extLst>
        </a:blip>
        <a:stretch>
          <a:fillRect/>
        </a:stretch>
      </xdr:blipFill>
      <xdr:spPr>
        <a:xfrm>
          <a:off x="3888835" y="1725351"/>
          <a:ext cx="275914" cy="279061"/>
        </a:xfrm>
        <a:prstGeom prst="rect">
          <a:avLst/>
        </a:prstGeom>
      </xdr:spPr>
    </xdr:pic>
    <xdr:clientData/>
  </xdr:twoCellAnchor>
  <xdr:twoCellAnchor>
    <xdr:from>
      <xdr:col>6</xdr:col>
      <xdr:colOff>218777</xdr:colOff>
      <xdr:row>37</xdr:row>
      <xdr:rowOff>4312</xdr:rowOff>
    </xdr:from>
    <xdr:to>
      <xdr:col>6</xdr:col>
      <xdr:colOff>540565</xdr:colOff>
      <xdr:row>38</xdr:row>
      <xdr:rowOff>139033</xdr:rowOff>
    </xdr:to>
    <xdr:pic>
      <xdr:nvPicPr>
        <xdr:cNvPr id="43" name="Picture 42">
          <a:extLst>
            <a:ext uri="{FF2B5EF4-FFF2-40B4-BE49-F238E27FC236}">
              <a16:creationId xmlns:a16="http://schemas.microsoft.com/office/drawing/2014/main" id="{5F86CD81-629D-4EDE-A8D2-DAA10AD285E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70027" y="6857020"/>
          <a:ext cx="321788" cy="319930"/>
        </a:xfrm>
        <a:prstGeom prst="rect">
          <a:avLst/>
        </a:prstGeom>
      </xdr:spPr>
    </xdr:pic>
    <xdr:clientData/>
  </xdr:twoCellAnchor>
  <xdr:twoCellAnchor editAs="oneCell">
    <xdr:from>
      <xdr:col>20</xdr:col>
      <xdr:colOff>521396</xdr:colOff>
      <xdr:row>6</xdr:row>
      <xdr:rowOff>88049</xdr:rowOff>
    </xdr:from>
    <xdr:to>
      <xdr:col>21</xdr:col>
      <xdr:colOff>340145</xdr:colOff>
      <xdr:row>8</xdr:row>
      <xdr:rowOff>131149</xdr:rowOff>
    </xdr:to>
    <xdr:pic>
      <xdr:nvPicPr>
        <xdr:cNvPr id="55" name="Picture 54">
          <a:extLst>
            <a:ext uri="{FF2B5EF4-FFF2-40B4-BE49-F238E27FC236}">
              <a16:creationId xmlns:a16="http://schemas.microsoft.com/office/drawing/2014/main" id="{5AC6A59D-6B83-4337-49B3-C46703F29195}"/>
            </a:ext>
          </a:extLst>
        </xdr:cNvPr>
        <xdr:cNvPicPr>
          <a:picLocks noChangeAspect="1"/>
        </xdr:cNvPicPr>
      </xdr:nvPicPr>
      <xdr:blipFill>
        <a:blip xmlns:r="http://schemas.openxmlformats.org/officeDocument/2006/relationships" r:embed="rId14">
          <a:clrChange>
            <a:clrFrom>
              <a:srgbClr val="000000">
                <a:alpha val="0"/>
              </a:srgbClr>
            </a:clrFrom>
            <a:clrTo>
              <a:srgbClr val="000000">
                <a:alpha val="0"/>
              </a:srgbClr>
            </a:clrTo>
          </a:clrChange>
          <a:duotone>
            <a:schemeClr val="accent2">
              <a:shade val="45000"/>
              <a:satMod val="135000"/>
            </a:schemeClr>
            <a:prstClr val="white"/>
          </a:duotone>
          <a:alphaModFix/>
          <a:extLst>
            <a:ext uri="{28A0092B-C50C-407E-A947-70E740481C1C}">
              <a14:useLocalDpi xmlns:a14="http://schemas.microsoft.com/office/drawing/2010/main" val="0"/>
            </a:ext>
          </a:extLst>
        </a:blip>
        <a:stretch>
          <a:fillRect/>
        </a:stretch>
      </xdr:blipFill>
      <xdr:spPr>
        <a:xfrm>
          <a:off x="12692229" y="1199299"/>
          <a:ext cx="427291" cy="413517"/>
        </a:xfrm>
        <a:prstGeom prst="rect">
          <a:avLst/>
        </a:prstGeom>
      </xdr:spPr>
    </xdr:pic>
    <xdr:clientData/>
  </xdr:twoCellAnchor>
  <xdr:twoCellAnchor editAs="oneCell">
    <xdr:from>
      <xdr:col>6</xdr:col>
      <xdr:colOff>189211</xdr:colOff>
      <xdr:row>17</xdr:row>
      <xdr:rowOff>45934</xdr:rowOff>
    </xdr:from>
    <xdr:to>
      <xdr:col>6</xdr:col>
      <xdr:colOff>539722</xdr:colOff>
      <xdr:row>19</xdr:row>
      <xdr:rowOff>28415</xdr:rowOff>
    </xdr:to>
    <xdr:pic>
      <xdr:nvPicPr>
        <xdr:cNvPr id="59" name="Picture 58">
          <a:hlinkClick xmlns:r="http://schemas.openxmlformats.org/officeDocument/2006/relationships" r:id="rId15"/>
          <a:extLst>
            <a:ext uri="{FF2B5EF4-FFF2-40B4-BE49-F238E27FC236}">
              <a16:creationId xmlns:a16="http://schemas.microsoft.com/office/drawing/2014/main" id="{E40ED82B-4944-C337-30E8-6AFAF279AC8D}"/>
            </a:ext>
          </a:extLst>
        </xdr:cNvPr>
        <xdr:cNvPicPr>
          <a:picLocks noChangeAspect="1"/>
        </xdr:cNvPicPr>
      </xdr:nvPicPr>
      <xdr:blipFill>
        <a:blip xmlns:r="http://schemas.openxmlformats.org/officeDocument/2006/relationships" r:embed="rId16">
          <a:duotone>
            <a:schemeClr val="bg2">
              <a:shade val="45000"/>
              <a:satMod val="135000"/>
            </a:schemeClr>
            <a:prstClr val="white"/>
          </a:duotone>
          <a:alphaModFix/>
          <a:extLst>
            <a:ext uri="{28A0092B-C50C-407E-A947-70E740481C1C}">
              <a14:useLocalDpi xmlns:a14="http://schemas.microsoft.com/office/drawing/2010/main" val="0"/>
            </a:ext>
          </a:extLst>
        </a:blip>
        <a:stretch>
          <a:fillRect/>
        </a:stretch>
      </xdr:blipFill>
      <xdr:spPr>
        <a:xfrm>
          <a:off x="3840461" y="3194476"/>
          <a:ext cx="350511" cy="352897"/>
        </a:xfrm>
        <a:prstGeom prst="rect">
          <a:avLst/>
        </a:prstGeom>
      </xdr:spPr>
    </xdr:pic>
    <xdr:clientData/>
  </xdr:twoCellAnchor>
  <xdr:twoCellAnchor editAs="oneCell">
    <xdr:from>
      <xdr:col>16</xdr:col>
      <xdr:colOff>103146</xdr:colOff>
      <xdr:row>6</xdr:row>
      <xdr:rowOff>88049</xdr:rowOff>
    </xdr:from>
    <xdr:to>
      <xdr:col>16</xdr:col>
      <xdr:colOff>417218</xdr:colOff>
      <xdr:row>8</xdr:row>
      <xdr:rowOff>22091</xdr:rowOff>
    </xdr:to>
    <xdr:pic>
      <xdr:nvPicPr>
        <xdr:cNvPr id="63" name="Picture 62">
          <a:extLst>
            <a:ext uri="{FF2B5EF4-FFF2-40B4-BE49-F238E27FC236}">
              <a16:creationId xmlns:a16="http://schemas.microsoft.com/office/drawing/2014/main" id="{E35875BC-EAC3-765F-910E-B24DEFC1EA9D}"/>
            </a:ext>
          </a:extLst>
        </xdr:cNvPr>
        <xdr:cNvPicPr>
          <a:picLocks noChangeAspect="1"/>
        </xdr:cNvPicPr>
      </xdr:nvPicPr>
      <xdr:blipFill>
        <a:blip xmlns:r="http://schemas.openxmlformats.org/officeDocument/2006/relationships" r:embed="rId17">
          <a:clrChange>
            <a:clrFrom>
              <a:srgbClr val="000000">
                <a:alpha val="0"/>
              </a:srgbClr>
            </a:clrFrom>
            <a:clrTo>
              <a:srgbClr val="000000">
                <a:alpha val="0"/>
              </a:srgbClr>
            </a:clrTo>
          </a:clrChange>
          <a:duotone>
            <a:schemeClr val="accent2">
              <a:shade val="45000"/>
              <a:satMod val="135000"/>
            </a:schemeClr>
            <a:prstClr val="white"/>
          </a:duotone>
          <a:alphaModFix/>
          <a:extLst>
            <a:ext uri="{28A0092B-C50C-407E-A947-70E740481C1C}">
              <a14:useLocalDpi xmlns:a14="http://schemas.microsoft.com/office/drawing/2010/main" val="0"/>
            </a:ext>
          </a:extLst>
        </a:blip>
        <a:stretch>
          <a:fillRect/>
        </a:stretch>
      </xdr:blipFill>
      <xdr:spPr>
        <a:xfrm>
          <a:off x="9839813" y="1199299"/>
          <a:ext cx="314072" cy="304459"/>
        </a:xfrm>
        <a:prstGeom prst="rect">
          <a:avLst/>
        </a:prstGeom>
      </xdr:spPr>
    </xdr:pic>
    <xdr:clientData/>
  </xdr:twoCellAnchor>
  <xdr:twoCellAnchor editAs="oneCell">
    <xdr:from>
      <xdr:col>10</xdr:col>
      <xdr:colOff>341715</xdr:colOff>
      <xdr:row>6</xdr:row>
      <xdr:rowOff>88049</xdr:rowOff>
    </xdr:from>
    <xdr:to>
      <xdr:col>11</xdr:col>
      <xdr:colOff>89710</xdr:colOff>
      <xdr:row>8</xdr:row>
      <xdr:rowOff>63912</xdr:rowOff>
    </xdr:to>
    <xdr:pic>
      <xdr:nvPicPr>
        <xdr:cNvPr id="65" name="Picture 64">
          <a:extLst>
            <a:ext uri="{FF2B5EF4-FFF2-40B4-BE49-F238E27FC236}">
              <a16:creationId xmlns:a16="http://schemas.microsoft.com/office/drawing/2014/main" id="{8A7766E8-2160-CEF7-9F20-EB6299A51A67}"/>
            </a:ext>
          </a:extLst>
        </xdr:cNvPr>
        <xdr:cNvPicPr>
          <a:picLocks noChangeAspect="1"/>
        </xdr:cNvPicPr>
      </xdr:nvPicPr>
      <xdr:blipFill>
        <a:blip xmlns:r="http://schemas.openxmlformats.org/officeDocument/2006/relationships" r:embed="rId18">
          <a:clrChange>
            <a:clrFrom>
              <a:srgbClr val="000000">
                <a:alpha val="0"/>
              </a:srgbClr>
            </a:clrFrom>
            <a:clrTo>
              <a:srgbClr val="000000">
                <a:alpha val="0"/>
              </a:srgbClr>
            </a:clrTo>
          </a:clrChange>
          <a:duotone>
            <a:schemeClr val="accent2">
              <a:shade val="45000"/>
              <a:satMod val="135000"/>
            </a:schemeClr>
            <a:prstClr val="white"/>
          </a:duotone>
          <a:alphaModFix/>
          <a:extLst>
            <a:ext uri="{28A0092B-C50C-407E-A947-70E740481C1C}">
              <a14:useLocalDpi xmlns:a14="http://schemas.microsoft.com/office/drawing/2010/main" val="0"/>
            </a:ext>
          </a:extLst>
        </a:blip>
        <a:stretch>
          <a:fillRect/>
        </a:stretch>
      </xdr:blipFill>
      <xdr:spPr>
        <a:xfrm flipV="1">
          <a:off x="6427132" y="1199299"/>
          <a:ext cx="356536" cy="346280"/>
        </a:xfrm>
        <a:prstGeom prst="rect">
          <a:avLst/>
        </a:prstGeom>
      </xdr:spPr>
    </xdr:pic>
    <xdr:clientData/>
  </xdr:twoCellAnchor>
  <xdr:twoCellAnchor editAs="oneCell">
    <xdr:from>
      <xdr:col>6</xdr:col>
      <xdr:colOff>192863</xdr:colOff>
      <xdr:row>21</xdr:row>
      <xdr:rowOff>105685</xdr:rowOff>
    </xdr:from>
    <xdr:to>
      <xdr:col>6</xdr:col>
      <xdr:colOff>532375</xdr:colOff>
      <xdr:row>23</xdr:row>
      <xdr:rowOff>54570</xdr:rowOff>
    </xdr:to>
    <xdr:pic>
      <xdr:nvPicPr>
        <xdr:cNvPr id="66" name="Picture 65">
          <a:hlinkClick xmlns:r="http://schemas.openxmlformats.org/officeDocument/2006/relationships" r:id="rId19"/>
          <a:extLst>
            <a:ext uri="{FF2B5EF4-FFF2-40B4-BE49-F238E27FC236}">
              <a16:creationId xmlns:a16="http://schemas.microsoft.com/office/drawing/2014/main" id="{172413CB-7D20-4206-A75E-44DFB25EDA63}"/>
            </a:ext>
          </a:extLst>
        </xdr:cNvPr>
        <xdr:cNvPicPr>
          <a:picLocks noChangeAspect="1"/>
        </xdr:cNvPicPr>
      </xdr:nvPicPr>
      <xdr:blipFill>
        <a:blip xmlns:r="http://schemas.openxmlformats.org/officeDocument/2006/relationships" r:embed="rId20">
          <a:duotone>
            <a:schemeClr val="bg2">
              <a:shade val="45000"/>
              <a:satMod val="135000"/>
            </a:schemeClr>
            <a:prstClr val="white"/>
          </a:duotone>
          <a:alphaModFix amt="16000"/>
          <a:extLst>
            <a:ext uri="{BEBA8EAE-BF5A-486C-A8C5-ECC9F3942E4B}">
              <a14:imgProps xmlns:a14="http://schemas.microsoft.com/office/drawing/2010/main">
                <a14:imgLayer r:embed="rId21">
                  <a14:imgEffect>
                    <a14:saturation sat="0"/>
                  </a14:imgEffect>
                </a14:imgLayer>
              </a14:imgProps>
            </a:ext>
            <a:ext uri="{28A0092B-C50C-407E-A947-70E740481C1C}">
              <a14:useLocalDpi xmlns:a14="http://schemas.microsoft.com/office/drawing/2010/main" val="0"/>
            </a:ext>
          </a:extLst>
        </a:blip>
        <a:stretch>
          <a:fillRect/>
        </a:stretch>
      </xdr:blipFill>
      <xdr:spPr>
        <a:xfrm>
          <a:off x="3844113" y="3995060"/>
          <a:ext cx="339512" cy="319302"/>
        </a:xfrm>
        <a:prstGeom prst="rect">
          <a:avLst/>
        </a:prstGeom>
      </xdr:spPr>
    </xdr:pic>
    <xdr:clientData/>
  </xdr:twoCellAnchor>
  <xdr:twoCellAnchor editAs="oneCell">
    <xdr:from>
      <xdr:col>6</xdr:col>
      <xdr:colOff>207746</xdr:colOff>
      <xdr:row>13</xdr:row>
      <xdr:rowOff>135452</xdr:rowOff>
    </xdr:from>
    <xdr:to>
      <xdr:col>6</xdr:col>
      <xdr:colOff>548379</xdr:colOff>
      <xdr:row>15</xdr:row>
      <xdr:rowOff>100647</xdr:rowOff>
    </xdr:to>
    <xdr:pic>
      <xdr:nvPicPr>
        <xdr:cNvPr id="69" name="Picture 68">
          <a:hlinkClick xmlns:r="http://schemas.openxmlformats.org/officeDocument/2006/relationships" r:id="rId22"/>
          <a:extLst>
            <a:ext uri="{FF2B5EF4-FFF2-40B4-BE49-F238E27FC236}">
              <a16:creationId xmlns:a16="http://schemas.microsoft.com/office/drawing/2014/main" id="{EEDABAC8-37DF-07E5-424D-489EA5D33388}"/>
            </a:ext>
          </a:extLst>
        </xdr:cNvPr>
        <xdr:cNvPicPr>
          <a:picLocks noChangeAspect="1"/>
        </xdr:cNvPicPr>
      </xdr:nvPicPr>
      <xdr:blipFill>
        <a:blip xmlns:r="http://schemas.openxmlformats.org/officeDocument/2006/relationships" r:embed="rId23">
          <a:duotone>
            <a:schemeClr val="bg2">
              <a:shade val="45000"/>
              <a:satMod val="135000"/>
            </a:schemeClr>
            <a:prstClr val="white"/>
          </a:duotone>
          <a:alphaModFix amt="16000"/>
          <a:extLst>
            <a:ext uri="{28A0092B-C50C-407E-A947-70E740481C1C}">
              <a14:useLocalDpi xmlns:a14="http://schemas.microsoft.com/office/drawing/2010/main" val="0"/>
            </a:ext>
          </a:extLst>
        </a:blip>
        <a:stretch>
          <a:fillRect/>
        </a:stretch>
      </xdr:blipFill>
      <xdr:spPr>
        <a:xfrm>
          <a:off x="3858996" y="2543160"/>
          <a:ext cx="340633" cy="335612"/>
        </a:xfrm>
        <a:prstGeom prst="rect">
          <a:avLst/>
        </a:prstGeom>
      </xdr:spPr>
    </xdr:pic>
    <xdr:clientData/>
  </xdr:twoCellAnchor>
  <xdr:twoCellAnchor editAs="oneCell">
    <xdr:from>
      <xdr:col>6</xdr:col>
      <xdr:colOff>180304</xdr:colOff>
      <xdr:row>33</xdr:row>
      <xdr:rowOff>134032</xdr:rowOff>
    </xdr:from>
    <xdr:to>
      <xdr:col>6</xdr:col>
      <xdr:colOff>559009</xdr:colOff>
      <xdr:row>35</xdr:row>
      <xdr:rowOff>138410</xdr:rowOff>
    </xdr:to>
    <xdr:pic>
      <xdr:nvPicPr>
        <xdr:cNvPr id="11" name="Picture 10">
          <a:extLst>
            <a:ext uri="{FF2B5EF4-FFF2-40B4-BE49-F238E27FC236}">
              <a16:creationId xmlns:a16="http://schemas.microsoft.com/office/drawing/2014/main" id="{48EF7895-EDBA-4F36-88F7-B23E50A926C5}"/>
            </a:ext>
          </a:extLst>
        </xdr:cNvPr>
        <xdr:cNvPicPr>
          <a:picLocks noChangeAspect="1"/>
        </xdr:cNvPicPr>
      </xdr:nvPicPr>
      <xdr:blipFill>
        <a:blip xmlns:r="http://schemas.openxmlformats.org/officeDocument/2006/relationships" r:embed="rId24">
          <a:lum bright="70000" contrast="-70000"/>
          <a:alphaModFix amt="19000"/>
          <a:extLst>
            <a:ext uri="{28A0092B-C50C-407E-A947-70E740481C1C}">
              <a14:useLocalDpi xmlns:a14="http://schemas.microsoft.com/office/drawing/2010/main" val="0"/>
            </a:ext>
          </a:extLst>
        </a:blip>
        <a:stretch>
          <a:fillRect/>
        </a:stretch>
      </xdr:blipFill>
      <xdr:spPr>
        <a:xfrm>
          <a:off x="3831554" y="6245907"/>
          <a:ext cx="378705" cy="374795"/>
        </a:xfrm>
        <a:prstGeom prst="rect">
          <a:avLst/>
        </a:prstGeom>
      </xdr:spPr>
    </xdr:pic>
    <xdr:clientData/>
  </xdr:twoCellAnchor>
  <xdr:twoCellAnchor editAs="oneCell">
    <xdr:from>
      <xdr:col>6</xdr:col>
      <xdr:colOff>150001</xdr:colOff>
      <xdr:row>25</xdr:row>
      <xdr:rowOff>4183</xdr:rowOff>
    </xdr:from>
    <xdr:to>
      <xdr:col>6</xdr:col>
      <xdr:colOff>510604</xdr:colOff>
      <xdr:row>26</xdr:row>
      <xdr:rowOff>175706</xdr:rowOff>
    </xdr:to>
    <xdr:pic>
      <xdr:nvPicPr>
        <xdr:cNvPr id="56" name="Picture 55">
          <a:hlinkClick xmlns:r="http://schemas.openxmlformats.org/officeDocument/2006/relationships" r:id="rId25"/>
          <a:extLst>
            <a:ext uri="{FF2B5EF4-FFF2-40B4-BE49-F238E27FC236}">
              <a16:creationId xmlns:a16="http://schemas.microsoft.com/office/drawing/2014/main" id="{2D1EFB77-4212-4DAB-A55E-3EFE296143E1}"/>
            </a:ext>
          </a:extLst>
        </xdr:cNvPr>
        <xdr:cNvPicPr>
          <a:picLocks noChangeAspect="1"/>
        </xdr:cNvPicPr>
      </xdr:nvPicPr>
      <xdr:blipFill>
        <a:blip xmlns:r="http://schemas.openxmlformats.org/officeDocument/2006/relationships" r:embed="rId26">
          <a:duotone>
            <a:schemeClr val="bg2">
              <a:shade val="45000"/>
              <a:satMod val="135000"/>
            </a:schemeClr>
            <a:prstClr val="white"/>
          </a:duotone>
          <a:alphaModFix amt="18000"/>
          <a:extLst>
            <a:ext uri="{BEBA8EAE-BF5A-486C-A8C5-ECC9F3942E4B}">
              <a14:imgProps xmlns:a14="http://schemas.microsoft.com/office/drawing/2010/main">
                <a14:imgLayer r:embed="rId27">
                  <a14:imgEffect>
                    <a14:saturation sat="0"/>
                  </a14:imgEffect>
                  <a14:imgEffect>
                    <a14:brightnessContrast bright="-100000" contrast="-40000"/>
                  </a14:imgEffect>
                </a14:imgLayer>
              </a14:imgProps>
            </a:ext>
            <a:ext uri="{28A0092B-C50C-407E-A947-70E740481C1C}">
              <a14:useLocalDpi xmlns:a14="http://schemas.microsoft.com/office/drawing/2010/main" val="0"/>
            </a:ext>
          </a:extLst>
        </a:blip>
        <a:stretch>
          <a:fillRect/>
        </a:stretch>
      </xdr:blipFill>
      <xdr:spPr>
        <a:xfrm>
          <a:off x="3801251" y="4634391"/>
          <a:ext cx="360603" cy="356732"/>
        </a:xfrm>
        <a:prstGeom prst="rect">
          <a:avLst/>
        </a:prstGeom>
      </xdr:spPr>
    </xdr:pic>
    <xdr:clientData/>
  </xdr:twoCellAnchor>
  <xdr:twoCellAnchor editAs="oneCell">
    <xdr:from>
      <xdr:col>6</xdr:col>
      <xdr:colOff>135118</xdr:colOff>
      <xdr:row>1</xdr:row>
      <xdr:rowOff>124189</xdr:rowOff>
    </xdr:from>
    <xdr:to>
      <xdr:col>7</xdr:col>
      <xdr:colOff>88575</xdr:colOff>
      <xdr:row>5</xdr:row>
      <xdr:rowOff>48138</xdr:rowOff>
    </xdr:to>
    <xdr:pic>
      <xdr:nvPicPr>
        <xdr:cNvPr id="60" name="Picture 59">
          <a:extLst>
            <a:ext uri="{FF2B5EF4-FFF2-40B4-BE49-F238E27FC236}">
              <a16:creationId xmlns:a16="http://schemas.microsoft.com/office/drawing/2014/main" id="{FC7AE1F0-F0F9-43D3-A36F-AFC50ECA9838}"/>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786368" y="309397"/>
          <a:ext cx="561999" cy="664783"/>
        </a:xfrm>
        <a:prstGeom prst="rect">
          <a:avLst/>
        </a:prstGeom>
      </xdr:spPr>
    </xdr:pic>
    <xdr:clientData/>
  </xdr:twoCellAnchor>
  <xdr:twoCellAnchor editAs="oneCell">
    <xdr:from>
      <xdr:col>19</xdr:col>
      <xdr:colOff>539344</xdr:colOff>
      <xdr:row>3</xdr:row>
      <xdr:rowOff>195718</xdr:rowOff>
    </xdr:from>
    <xdr:to>
      <xdr:col>25</xdr:col>
      <xdr:colOff>300102</xdr:colOff>
      <xdr:row>6</xdr:row>
      <xdr:rowOff>72586</xdr:rowOff>
    </xdr:to>
    <mc:AlternateContent xmlns:mc="http://schemas.openxmlformats.org/markup-compatibility/2006" xmlns:a14="http://schemas.microsoft.com/office/drawing/2010/main">
      <mc:Choice Requires="a14">
        <xdr:graphicFrame macro="">
          <xdr:nvGraphicFramePr>
            <xdr:cNvPr id="19" name="income bracket">
              <a:extLst>
                <a:ext uri="{FF2B5EF4-FFF2-40B4-BE49-F238E27FC236}">
                  <a16:creationId xmlns:a16="http://schemas.microsoft.com/office/drawing/2014/main" id="{9759D90C-7441-4D0B-B84E-50068C5624C0}"/>
                </a:ext>
              </a:extLst>
            </xdr:cNvPr>
            <xdr:cNvGraphicFramePr/>
          </xdr:nvGraphicFramePr>
          <xdr:xfrm>
            <a:off x="0" y="0"/>
            <a:ext cx="0" cy="0"/>
          </xdr:xfrm>
          <a:graphic>
            <a:graphicData uri="http://schemas.microsoft.com/office/drawing/2010/slicer">
              <sle:slicer xmlns:sle="http://schemas.microsoft.com/office/drawing/2010/slicer" name="income bracket"/>
            </a:graphicData>
          </a:graphic>
        </xdr:graphicFrame>
      </mc:Choice>
      <mc:Fallback xmlns="">
        <xdr:sp macro="" textlink="">
          <xdr:nvSpPr>
            <xdr:cNvPr id="0" name=""/>
            <xdr:cNvSpPr>
              <a:spLocks noTextEdit="1"/>
            </xdr:cNvSpPr>
          </xdr:nvSpPr>
          <xdr:spPr>
            <a:xfrm>
              <a:off x="12191159" y="773351"/>
              <a:ext cx="3440279" cy="4735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561062</xdr:colOff>
      <xdr:row>1</xdr:row>
      <xdr:rowOff>175324</xdr:rowOff>
    </xdr:from>
    <xdr:to>
      <xdr:col>25</xdr:col>
      <xdr:colOff>300102</xdr:colOff>
      <xdr:row>4</xdr:row>
      <xdr:rowOff>52191</xdr:rowOff>
    </xdr:to>
    <mc:AlternateContent xmlns:mc="http://schemas.openxmlformats.org/markup-compatibility/2006" xmlns:a14="http://schemas.microsoft.com/office/drawing/2010/main">
      <mc:Choice Requires="a14">
        <xdr:graphicFrame macro="">
          <xdr:nvGraphicFramePr>
            <xdr:cNvPr id="57" name="Customer_Segment 2">
              <a:extLst>
                <a:ext uri="{FF2B5EF4-FFF2-40B4-BE49-F238E27FC236}">
                  <a16:creationId xmlns:a16="http://schemas.microsoft.com/office/drawing/2014/main" id="{64FFC84D-ACC7-4C30-8693-703DE6550CC6}"/>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mlns="">
        <xdr:sp macro="" textlink="">
          <xdr:nvSpPr>
            <xdr:cNvPr id="0" name=""/>
            <xdr:cNvSpPr>
              <a:spLocks noTextEdit="1"/>
            </xdr:cNvSpPr>
          </xdr:nvSpPr>
          <xdr:spPr>
            <a:xfrm>
              <a:off x="12826130" y="371043"/>
              <a:ext cx="2805308" cy="4640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447402</xdr:colOff>
      <xdr:row>0</xdr:row>
      <xdr:rowOff>58003</xdr:rowOff>
    </xdr:from>
    <xdr:to>
      <xdr:col>27</xdr:col>
      <xdr:colOff>79568</xdr:colOff>
      <xdr:row>42</xdr:row>
      <xdr:rowOff>46825</xdr:rowOff>
    </xdr:to>
    <xdr:grpSp>
      <xdr:nvGrpSpPr>
        <xdr:cNvPr id="2" name="Group 1">
          <a:extLst>
            <a:ext uri="{FF2B5EF4-FFF2-40B4-BE49-F238E27FC236}">
              <a16:creationId xmlns:a16="http://schemas.microsoft.com/office/drawing/2014/main" id="{5F3871B1-235B-45A2-A9B0-3819FAD79C5E}"/>
            </a:ext>
          </a:extLst>
        </xdr:cNvPr>
        <xdr:cNvGrpSpPr/>
      </xdr:nvGrpSpPr>
      <xdr:grpSpPr>
        <a:xfrm>
          <a:off x="3483496" y="58003"/>
          <a:ext cx="12990978" cy="7989822"/>
          <a:chOff x="2842617" y="119063"/>
          <a:chExt cx="11638359" cy="7267367"/>
        </a:xfrm>
      </xdr:grpSpPr>
      <xdr:sp macro="" textlink="">
        <xdr:nvSpPr>
          <xdr:cNvPr id="3" name="Rectangle: Rounded Corners 2">
            <a:extLst>
              <a:ext uri="{FF2B5EF4-FFF2-40B4-BE49-F238E27FC236}">
                <a16:creationId xmlns:a16="http://schemas.microsoft.com/office/drawing/2014/main" id="{1D03B260-AF00-9003-D115-5D79D577CA4E}"/>
              </a:ext>
            </a:extLst>
          </xdr:cNvPr>
          <xdr:cNvSpPr/>
        </xdr:nvSpPr>
        <xdr:spPr>
          <a:xfrm>
            <a:off x="2842617" y="119063"/>
            <a:ext cx="11638359" cy="7267367"/>
          </a:xfrm>
          <a:prstGeom prst="roundRect">
            <a:avLst>
              <a:gd name="adj" fmla="val 1724"/>
            </a:avLst>
          </a:prstGeom>
          <a:solidFill>
            <a:srgbClr val="3232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Rectangle: Rounded Corners 3">
            <a:extLst>
              <a:ext uri="{FF2B5EF4-FFF2-40B4-BE49-F238E27FC236}">
                <a16:creationId xmlns:a16="http://schemas.microsoft.com/office/drawing/2014/main" id="{EE116C62-D718-610F-4FD9-55D243F0F1FA}"/>
              </a:ext>
            </a:extLst>
          </xdr:cNvPr>
          <xdr:cNvSpPr/>
        </xdr:nvSpPr>
        <xdr:spPr>
          <a:xfrm>
            <a:off x="2976562" y="282774"/>
            <a:ext cx="11333299" cy="6950274"/>
          </a:xfrm>
          <a:prstGeom prst="roundRect">
            <a:avLst>
              <a:gd name="adj" fmla="val 1724"/>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23</xdr:col>
      <xdr:colOff>16725</xdr:colOff>
      <xdr:row>7</xdr:row>
      <xdr:rowOff>12082</xdr:rowOff>
    </xdr:from>
    <xdr:to>
      <xdr:col>26</xdr:col>
      <xdr:colOff>274230</xdr:colOff>
      <xdr:row>13</xdr:row>
      <xdr:rowOff>37245</xdr:rowOff>
    </xdr:to>
    <xdr:sp macro="" textlink="">
      <xdr:nvSpPr>
        <xdr:cNvPr id="9" name="Rectangle: Rounded Corners 8">
          <a:extLst>
            <a:ext uri="{FF2B5EF4-FFF2-40B4-BE49-F238E27FC236}">
              <a16:creationId xmlns:a16="http://schemas.microsoft.com/office/drawing/2014/main" id="{5CC0743F-3D7A-44F2-BF2A-8653072565C4}"/>
            </a:ext>
          </a:extLst>
        </xdr:cNvPr>
        <xdr:cNvSpPr/>
      </xdr:nvSpPr>
      <xdr:spPr>
        <a:xfrm>
          <a:off x="14192166" y="1384803"/>
          <a:ext cx="2106476" cy="1201780"/>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7</xdr:col>
      <xdr:colOff>270144</xdr:colOff>
      <xdr:row>7</xdr:row>
      <xdr:rowOff>12082</xdr:rowOff>
    </xdr:from>
    <xdr:to>
      <xdr:col>10</xdr:col>
      <xdr:colOff>527649</xdr:colOff>
      <xdr:row>13</xdr:row>
      <xdr:rowOff>37245</xdr:rowOff>
    </xdr:to>
    <xdr:sp macro="" textlink="">
      <xdr:nvSpPr>
        <xdr:cNvPr id="10" name="Rectangle: Rounded Corners 9">
          <a:extLst>
            <a:ext uri="{FF2B5EF4-FFF2-40B4-BE49-F238E27FC236}">
              <a16:creationId xmlns:a16="http://schemas.microsoft.com/office/drawing/2014/main" id="{87F300F7-45BE-46A5-8E3D-4B80B20C9DA9}"/>
            </a:ext>
          </a:extLst>
        </xdr:cNvPr>
        <xdr:cNvSpPr/>
      </xdr:nvSpPr>
      <xdr:spPr>
        <a:xfrm>
          <a:off x="4584409" y="1384803"/>
          <a:ext cx="2106475" cy="1201780"/>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11</xdr:col>
      <xdr:colOff>234932</xdr:colOff>
      <xdr:row>7</xdr:row>
      <xdr:rowOff>12082</xdr:rowOff>
    </xdr:from>
    <xdr:to>
      <xdr:col>14</xdr:col>
      <xdr:colOff>492437</xdr:colOff>
      <xdr:row>13</xdr:row>
      <xdr:rowOff>37245</xdr:rowOff>
    </xdr:to>
    <xdr:sp macro="" textlink="">
      <xdr:nvSpPr>
        <xdr:cNvPr id="11" name="Rectangle: Rounded Corners 10">
          <a:extLst>
            <a:ext uri="{FF2B5EF4-FFF2-40B4-BE49-F238E27FC236}">
              <a16:creationId xmlns:a16="http://schemas.microsoft.com/office/drawing/2014/main" id="{946D6C6F-E77D-40BF-B31E-BA25F9ABD7FD}"/>
            </a:ext>
          </a:extLst>
        </xdr:cNvPr>
        <xdr:cNvSpPr/>
      </xdr:nvSpPr>
      <xdr:spPr>
        <a:xfrm>
          <a:off x="7014491" y="1384803"/>
          <a:ext cx="2106475" cy="1201780"/>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15</xdr:col>
      <xdr:colOff>127559</xdr:colOff>
      <xdr:row>7</xdr:row>
      <xdr:rowOff>12082</xdr:rowOff>
    </xdr:from>
    <xdr:to>
      <xdr:col>18</xdr:col>
      <xdr:colOff>385064</xdr:colOff>
      <xdr:row>13</xdr:row>
      <xdr:rowOff>37245</xdr:rowOff>
    </xdr:to>
    <xdr:sp macro="" textlink="">
      <xdr:nvSpPr>
        <xdr:cNvPr id="12" name="Rectangle: Rounded Corners 11">
          <a:extLst>
            <a:ext uri="{FF2B5EF4-FFF2-40B4-BE49-F238E27FC236}">
              <a16:creationId xmlns:a16="http://schemas.microsoft.com/office/drawing/2014/main" id="{B5ABE305-2808-4A18-B165-06A7B0FFE62D}"/>
            </a:ext>
          </a:extLst>
        </xdr:cNvPr>
        <xdr:cNvSpPr/>
      </xdr:nvSpPr>
      <xdr:spPr>
        <a:xfrm>
          <a:off x="9372412" y="1384803"/>
          <a:ext cx="2106476" cy="1201780"/>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19</xdr:col>
      <xdr:colOff>77914</xdr:colOff>
      <xdr:row>7</xdr:row>
      <xdr:rowOff>12082</xdr:rowOff>
    </xdr:from>
    <xdr:to>
      <xdr:col>22</xdr:col>
      <xdr:colOff>335419</xdr:colOff>
      <xdr:row>13</xdr:row>
      <xdr:rowOff>37245</xdr:rowOff>
    </xdr:to>
    <xdr:sp macro="" textlink="">
      <xdr:nvSpPr>
        <xdr:cNvPr id="13" name="Rectangle: Rounded Corners 12">
          <a:extLst>
            <a:ext uri="{FF2B5EF4-FFF2-40B4-BE49-F238E27FC236}">
              <a16:creationId xmlns:a16="http://schemas.microsoft.com/office/drawing/2014/main" id="{3DFBC26C-C75F-4F69-85AE-895A980401E5}"/>
            </a:ext>
          </a:extLst>
        </xdr:cNvPr>
        <xdr:cNvSpPr/>
      </xdr:nvSpPr>
      <xdr:spPr>
        <a:xfrm>
          <a:off x="11788061" y="1384803"/>
          <a:ext cx="2106476" cy="1201780"/>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7</xdr:col>
      <xdr:colOff>157570</xdr:colOff>
      <xdr:row>2</xdr:row>
      <xdr:rowOff>74298</xdr:rowOff>
    </xdr:from>
    <xdr:to>
      <xdr:col>21</xdr:col>
      <xdr:colOff>245356</xdr:colOff>
      <xdr:row>4</xdr:row>
      <xdr:rowOff>174915</xdr:rowOff>
    </xdr:to>
    <xdr:sp macro="" textlink="transactions">
      <xdr:nvSpPr>
        <xdr:cNvPr id="14" name="TextBox 13">
          <a:extLst>
            <a:ext uri="{FF2B5EF4-FFF2-40B4-BE49-F238E27FC236}">
              <a16:creationId xmlns:a16="http://schemas.microsoft.com/office/drawing/2014/main" id="{90DEF612-F5A5-4F95-9D61-C2C5E25569A1}"/>
            </a:ext>
          </a:extLst>
        </xdr:cNvPr>
        <xdr:cNvSpPr txBox="1"/>
      </xdr:nvSpPr>
      <xdr:spPr>
        <a:xfrm>
          <a:off x="4471835" y="466504"/>
          <a:ext cx="8716315" cy="492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rgbClr val="AEAEAE"/>
              </a:solidFill>
              <a:latin typeface="Aptos Narrow"/>
            </a:rPr>
            <a:t>METRO BANK BRANCH</a:t>
          </a:r>
          <a:r>
            <a:rPr lang="en-US" sz="2800" b="1" i="0" u="none" strike="noStrike" baseline="0">
              <a:solidFill>
                <a:srgbClr val="AEAEAE"/>
              </a:solidFill>
              <a:latin typeface="Aptos Narrow"/>
            </a:rPr>
            <a:t> PERFORMANCE OVERVIEW</a:t>
          </a:r>
          <a:endParaRPr lang="en-NG" sz="85700" b="1">
            <a:solidFill>
              <a:srgbClr val="AEAEAE"/>
            </a:solidFill>
          </a:endParaRPr>
        </a:p>
      </xdr:txBody>
    </xdr:sp>
    <xdr:clientData/>
  </xdr:twoCellAnchor>
  <xdr:twoCellAnchor>
    <xdr:from>
      <xdr:col>6</xdr:col>
      <xdr:colOff>215297</xdr:colOff>
      <xdr:row>7</xdr:row>
      <xdr:rowOff>12081</xdr:rowOff>
    </xdr:from>
    <xdr:to>
      <xdr:col>7</xdr:col>
      <xdr:colOff>131550</xdr:colOff>
      <xdr:row>40</xdr:row>
      <xdr:rowOff>117400</xdr:rowOff>
    </xdr:to>
    <xdr:sp macro="" textlink="">
      <xdr:nvSpPr>
        <xdr:cNvPr id="15" name="Rectangle: Rounded Corners 14">
          <a:extLst>
            <a:ext uri="{FF2B5EF4-FFF2-40B4-BE49-F238E27FC236}">
              <a16:creationId xmlns:a16="http://schemas.microsoft.com/office/drawing/2014/main" id="{DF5FF2DF-636E-4E1F-8F76-320985ECDEEE}"/>
            </a:ext>
          </a:extLst>
        </xdr:cNvPr>
        <xdr:cNvSpPr/>
      </xdr:nvSpPr>
      <xdr:spPr>
        <a:xfrm>
          <a:off x="3913238" y="1384802"/>
          <a:ext cx="532577" cy="6576716"/>
        </a:xfrm>
        <a:prstGeom prst="roundRect">
          <a:avLst>
            <a:gd name="adj" fmla="val 12101"/>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317516</xdr:colOff>
      <xdr:row>7</xdr:row>
      <xdr:rowOff>43571</xdr:rowOff>
    </xdr:from>
    <xdr:to>
      <xdr:col>10</xdr:col>
      <xdr:colOff>523910</xdr:colOff>
      <xdr:row>9</xdr:row>
      <xdr:rowOff>143679</xdr:rowOff>
    </xdr:to>
    <xdr:sp macro="" textlink="transactions">
      <xdr:nvSpPr>
        <xdr:cNvPr id="16" name="TextBox 15">
          <a:extLst>
            <a:ext uri="{FF2B5EF4-FFF2-40B4-BE49-F238E27FC236}">
              <a16:creationId xmlns:a16="http://schemas.microsoft.com/office/drawing/2014/main" id="{188AB0A7-9C78-4609-B0B8-60A59A3AFFCD}"/>
            </a:ext>
          </a:extLst>
        </xdr:cNvPr>
        <xdr:cNvSpPr txBox="1"/>
      </xdr:nvSpPr>
      <xdr:spPr>
        <a:xfrm>
          <a:off x="4631781" y="1416292"/>
          <a:ext cx="2055364" cy="492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BRANCHES</a:t>
          </a:r>
          <a:endParaRPr lang="en-NG" sz="28700" b="1">
            <a:solidFill>
              <a:srgbClr val="AEAEAE"/>
            </a:solidFill>
          </a:endParaRPr>
        </a:p>
      </xdr:txBody>
    </xdr:sp>
    <xdr:clientData/>
  </xdr:twoCellAnchor>
  <xdr:twoCellAnchor>
    <xdr:from>
      <xdr:col>11</xdr:col>
      <xdr:colOff>267933</xdr:colOff>
      <xdr:row>7</xdr:row>
      <xdr:rowOff>9486</xdr:rowOff>
    </xdr:from>
    <xdr:to>
      <xdr:col>14</xdr:col>
      <xdr:colOff>475437</xdr:colOff>
      <xdr:row>8</xdr:row>
      <xdr:rowOff>68574</xdr:rowOff>
    </xdr:to>
    <xdr:sp macro="" textlink="transactions">
      <xdr:nvSpPr>
        <xdr:cNvPr id="17" name="TextBox 16">
          <a:extLst>
            <a:ext uri="{FF2B5EF4-FFF2-40B4-BE49-F238E27FC236}">
              <a16:creationId xmlns:a16="http://schemas.microsoft.com/office/drawing/2014/main" id="{2EB74CC1-80C2-4CF3-B628-A4BB0B8D37D5}"/>
            </a:ext>
          </a:extLst>
        </xdr:cNvPr>
        <xdr:cNvSpPr txBox="1"/>
      </xdr:nvSpPr>
      <xdr:spPr>
        <a:xfrm>
          <a:off x="7047492" y="1382207"/>
          <a:ext cx="2056474" cy="25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OPERATING COST</a:t>
          </a:r>
        </a:p>
      </xdr:txBody>
    </xdr:sp>
    <xdr:clientData/>
  </xdr:twoCellAnchor>
  <xdr:twoCellAnchor>
    <xdr:from>
      <xdr:col>19</xdr:col>
      <xdr:colOff>94688</xdr:colOff>
      <xdr:row>6</xdr:row>
      <xdr:rowOff>187403</xdr:rowOff>
    </xdr:from>
    <xdr:to>
      <xdr:col>22</xdr:col>
      <xdr:colOff>301082</xdr:colOff>
      <xdr:row>8</xdr:row>
      <xdr:rowOff>152314</xdr:rowOff>
    </xdr:to>
    <xdr:sp macro="" textlink="transactions">
      <xdr:nvSpPr>
        <xdr:cNvPr id="18" name="TextBox 17">
          <a:extLst>
            <a:ext uri="{FF2B5EF4-FFF2-40B4-BE49-F238E27FC236}">
              <a16:creationId xmlns:a16="http://schemas.microsoft.com/office/drawing/2014/main" id="{D2233029-8F9F-4492-9A77-9A580741DC98}"/>
            </a:ext>
          </a:extLst>
        </xdr:cNvPr>
        <xdr:cNvSpPr txBox="1"/>
      </xdr:nvSpPr>
      <xdr:spPr>
        <a:xfrm>
          <a:off x="11804835" y="1364021"/>
          <a:ext cx="2055365" cy="357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REVENUE</a:t>
          </a:r>
          <a:endParaRPr lang="en-NG" sz="28700" b="1">
            <a:solidFill>
              <a:srgbClr val="AEAEAE"/>
            </a:solidFill>
          </a:endParaRPr>
        </a:p>
      </xdr:txBody>
    </xdr:sp>
    <xdr:clientData/>
  </xdr:twoCellAnchor>
  <xdr:twoCellAnchor>
    <xdr:from>
      <xdr:col>15</xdr:col>
      <xdr:colOff>189360</xdr:colOff>
      <xdr:row>7</xdr:row>
      <xdr:rowOff>13814</xdr:rowOff>
    </xdr:from>
    <xdr:to>
      <xdr:col>18</xdr:col>
      <xdr:colOff>395754</xdr:colOff>
      <xdr:row>8</xdr:row>
      <xdr:rowOff>152314</xdr:rowOff>
    </xdr:to>
    <xdr:sp macro="" textlink="transactions">
      <xdr:nvSpPr>
        <xdr:cNvPr id="19" name="TextBox 18">
          <a:extLst>
            <a:ext uri="{FF2B5EF4-FFF2-40B4-BE49-F238E27FC236}">
              <a16:creationId xmlns:a16="http://schemas.microsoft.com/office/drawing/2014/main" id="{7FBF29AC-05B9-42A4-8365-2D5343E0DC97}"/>
            </a:ext>
          </a:extLst>
        </xdr:cNvPr>
        <xdr:cNvSpPr txBox="1"/>
      </xdr:nvSpPr>
      <xdr:spPr>
        <a:xfrm>
          <a:off x="9434213" y="1386535"/>
          <a:ext cx="2055365" cy="33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PROFIT</a:t>
          </a:r>
          <a:endParaRPr lang="en-NG" sz="28700" b="1">
            <a:solidFill>
              <a:srgbClr val="AEAEAE"/>
            </a:solidFill>
          </a:endParaRPr>
        </a:p>
      </xdr:txBody>
    </xdr:sp>
    <xdr:clientData/>
  </xdr:twoCellAnchor>
  <xdr:twoCellAnchor>
    <xdr:from>
      <xdr:col>23</xdr:col>
      <xdr:colOff>59475</xdr:colOff>
      <xdr:row>6</xdr:row>
      <xdr:rowOff>181053</xdr:rowOff>
    </xdr:from>
    <xdr:to>
      <xdr:col>26</xdr:col>
      <xdr:colOff>265869</xdr:colOff>
      <xdr:row>8</xdr:row>
      <xdr:rowOff>123450</xdr:rowOff>
    </xdr:to>
    <xdr:sp macro="" textlink="transactions">
      <xdr:nvSpPr>
        <xdr:cNvPr id="20" name="TextBox 19">
          <a:extLst>
            <a:ext uri="{FF2B5EF4-FFF2-40B4-BE49-F238E27FC236}">
              <a16:creationId xmlns:a16="http://schemas.microsoft.com/office/drawing/2014/main" id="{0A96365A-EF8D-4EE0-A244-F81DB07199FF}"/>
            </a:ext>
          </a:extLst>
        </xdr:cNvPr>
        <xdr:cNvSpPr txBox="1"/>
      </xdr:nvSpPr>
      <xdr:spPr>
        <a:xfrm>
          <a:off x="14234916" y="1357671"/>
          <a:ext cx="2055365" cy="33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PROFIT </a:t>
          </a:r>
          <a:r>
            <a:rPr lang="en-US" sz="1200" b="1" i="0" u="none" strike="noStrike" baseline="0">
              <a:solidFill>
                <a:srgbClr val="AEAEAE"/>
              </a:solidFill>
              <a:latin typeface="Aptos Narrow"/>
            </a:rPr>
            <a:t> MARGIN</a:t>
          </a:r>
          <a:endParaRPr lang="en-NG" sz="28700" b="1">
            <a:solidFill>
              <a:srgbClr val="AEAEAE"/>
            </a:solidFill>
          </a:endParaRPr>
        </a:p>
      </xdr:txBody>
    </xdr:sp>
    <xdr:clientData/>
  </xdr:twoCellAnchor>
  <xdr:twoCellAnchor>
    <xdr:from>
      <xdr:col>7</xdr:col>
      <xdr:colOff>368894</xdr:colOff>
      <xdr:row>8</xdr:row>
      <xdr:rowOff>147364</xdr:rowOff>
    </xdr:from>
    <xdr:to>
      <xdr:col>9</xdr:col>
      <xdr:colOff>158766</xdr:colOff>
      <xdr:row>11</xdr:row>
      <xdr:rowOff>38989</xdr:rowOff>
    </xdr:to>
    <xdr:sp macro="" textlink="BRANCH">
      <xdr:nvSpPr>
        <xdr:cNvPr id="21" name="TextBox 20">
          <a:extLst>
            <a:ext uri="{FF2B5EF4-FFF2-40B4-BE49-F238E27FC236}">
              <a16:creationId xmlns:a16="http://schemas.microsoft.com/office/drawing/2014/main" id="{D0DAD84F-84CC-4A30-AEC7-4D9F0D1B13DB}"/>
            </a:ext>
          </a:extLst>
        </xdr:cNvPr>
        <xdr:cNvSpPr txBox="1"/>
      </xdr:nvSpPr>
      <xdr:spPr>
        <a:xfrm>
          <a:off x="4683159" y="1716188"/>
          <a:ext cx="1022519" cy="479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ADDA7A-F97F-46EE-8ACA-E0C0DC75EC3C}" type="TxLink">
            <a:rPr lang="en-US" sz="2800" b="1" i="0" u="none" strike="noStrike">
              <a:solidFill>
                <a:srgbClr val="FF0000"/>
              </a:solidFill>
              <a:latin typeface="Aptos Narrow"/>
            </a:rPr>
            <a:pPr/>
            <a:t>20</a:t>
          </a:fld>
          <a:endParaRPr lang="en-NG" sz="102800" b="1">
            <a:solidFill>
              <a:srgbClr val="FF0000"/>
            </a:solidFill>
          </a:endParaRPr>
        </a:p>
      </xdr:txBody>
    </xdr:sp>
    <xdr:clientData/>
  </xdr:twoCellAnchor>
  <xdr:twoCellAnchor>
    <xdr:from>
      <xdr:col>23</xdr:col>
      <xdr:colOff>88339</xdr:colOff>
      <xdr:row>8</xdr:row>
      <xdr:rowOff>147364</xdr:rowOff>
    </xdr:from>
    <xdr:to>
      <xdr:col>24</xdr:col>
      <xdr:colOff>484348</xdr:colOff>
      <xdr:row>11</xdr:row>
      <xdr:rowOff>38989</xdr:rowOff>
    </xdr:to>
    <xdr:sp macro="" textlink="MARGIN">
      <xdr:nvSpPr>
        <xdr:cNvPr id="22" name="TextBox 21">
          <a:extLst>
            <a:ext uri="{FF2B5EF4-FFF2-40B4-BE49-F238E27FC236}">
              <a16:creationId xmlns:a16="http://schemas.microsoft.com/office/drawing/2014/main" id="{61A9BBDB-2735-4810-A734-80C275CA9FFB}"/>
            </a:ext>
          </a:extLst>
        </xdr:cNvPr>
        <xdr:cNvSpPr txBox="1"/>
      </xdr:nvSpPr>
      <xdr:spPr>
        <a:xfrm>
          <a:off x="14263780" y="1716188"/>
          <a:ext cx="1012333" cy="479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66B734-4E27-4AC7-AF24-9D942AEFEB10}" type="TxLink">
            <a:rPr lang="en-US" sz="2400" b="1" i="0" u="none" strike="noStrike">
              <a:solidFill>
                <a:srgbClr val="FF0000"/>
              </a:solidFill>
              <a:latin typeface="Aptos Narrow"/>
            </a:rPr>
            <a:pPr/>
            <a:t>64%</a:t>
          </a:fld>
          <a:endParaRPr lang="en-NG" sz="255800" b="1">
            <a:solidFill>
              <a:srgbClr val="FF0000"/>
            </a:solidFill>
          </a:endParaRPr>
        </a:p>
      </xdr:txBody>
    </xdr:sp>
    <xdr:clientData/>
  </xdr:twoCellAnchor>
  <xdr:twoCellAnchor>
    <xdr:from>
      <xdr:col>19</xdr:col>
      <xdr:colOff>125284</xdr:colOff>
      <xdr:row>8</xdr:row>
      <xdr:rowOff>147364</xdr:rowOff>
    </xdr:from>
    <xdr:to>
      <xdr:col>22</xdr:col>
      <xdr:colOff>158764</xdr:colOff>
      <xdr:row>11</xdr:row>
      <xdr:rowOff>38989</xdr:rowOff>
    </xdr:to>
    <xdr:sp macro="" textlink="REVENUEE">
      <xdr:nvSpPr>
        <xdr:cNvPr id="23" name="TextBox 22">
          <a:extLst>
            <a:ext uri="{FF2B5EF4-FFF2-40B4-BE49-F238E27FC236}">
              <a16:creationId xmlns:a16="http://schemas.microsoft.com/office/drawing/2014/main" id="{3731CBD7-328C-4A52-8C37-222527583FB1}"/>
            </a:ext>
          </a:extLst>
        </xdr:cNvPr>
        <xdr:cNvSpPr txBox="1"/>
      </xdr:nvSpPr>
      <xdr:spPr>
        <a:xfrm>
          <a:off x="11835431" y="1716188"/>
          <a:ext cx="1882451" cy="479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8445BB-1A26-427D-827C-2F1540D6E8FE}" type="TxLink">
            <a:rPr lang="en-US" sz="2400" b="1" i="0" u="none" strike="noStrike">
              <a:solidFill>
                <a:srgbClr val="FF0000"/>
              </a:solidFill>
              <a:latin typeface="Aptos Narrow"/>
            </a:rPr>
            <a:pPr/>
            <a:t>$59,421,720</a:t>
          </a:fld>
          <a:endParaRPr lang="en-NG" sz="255800" b="1">
            <a:solidFill>
              <a:srgbClr val="FF0000"/>
            </a:solidFill>
          </a:endParaRPr>
        </a:p>
      </xdr:txBody>
    </xdr:sp>
    <xdr:clientData/>
  </xdr:twoCellAnchor>
  <xdr:twoCellAnchor>
    <xdr:from>
      <xdr:col>15</xdr:col>
      <xdr:colOff>263252</xdr:colOff>
      <xdr:row>8</xdr:row>
      <xdr:rowOff>147364</xdr:rowOff>
    </xdr:from>
    <xdr:to>
      <xdr:col>18</xdr:col>
      <xdr:colOff>245357</xdr:colOff>
      <xdr:row>11</xdr:row>
      <xdr:rowOff>38989</xdr:rowOff>
    </xdr:to>
    <xdr:sp macro="" textlink="PROFITTT">
      <xdr:nvSpPr>
        <xdr:cNvPr id="24" name="TextBox 23">
          <a:extLst>
            <a:ext uri="{FF2B5EF4-FFF2-40B4-BE49-F238E27FC236}">
              <a16:creationId xmlns:a16="http://schemas.microsoft.com/office/drawing/2014/main" id="{C70A9A3A-427E-4AEE-808A-1AC9D9A92B8B}"/>
            </a:ext>
          </a:extLst>
        </xdr:cNvPr>
        <xdr:cNvSpPr txBox="1"/>
      </xdr:nvSpPr>
      <xdr:spPr>
        <a:xfrm>
          <a:off x="9508105" y="1716188"/>
          <a:ext cx="1831076" cy="479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EF6828-E4FC-4C7F-B6F7-2BD39FACD050}" type="TxLink">
            <a:rPr lang="en-US" sz="2400" b="1" i="0" u="none" strike="noStrike">
              <a:solidFill>
                <a:srgbClr val="FF0000"/>
              </a:solidFill>
              <a:latin typeface="Aptos Narrow"/>
            </a:rPr>
            <a:pPr/>
            <a:t>$38,254,272</a:t>
          </a:fld>
          <a:endParaRPr lang="en-NG" sz="255800" b="1">
            <a:solidFill>
              <a:srgbClr val="FF0000"/>
            </a:solidFill>
          </a:endParaRPr>
        </a:p>
      </xdr:txBody>
    </xdr:sp>
    <xdr:clientData/>
  </xdr:twoCellAnchor>
  <xdr:twoCellAnchor>
    <xdr:from>
      <xdr:col>11</xdr:col>
      <xdr:colOff>357926</xdr:colOff>
      <xdr:row>8</xdr:row>
      <xdr:rowOff>147364</xdr:rowOff>
    </xdr:from>
    <xdr:to>
      <xdr:col>14</xdr:col>
      <xdr:colOff>418539</xdr:colOff>
      <xdr:row>11</xdr:row>
      <xdr:rowOff>38989</xdr:rowOff>
    </xdr:to>
    <xdr:sp macro="" textlink="OPERATING">
      <xdr:nvSpPr>
        <xdr:cNvPr id="25" name="TextBox 24">
          <a:extLst>
            <a:ext uri="{FF2B5EF4-FFF2-40B4-BE49-F238E27FC236}">
              <a16:creationId xmlns:a16="http://schemas.microsoft.com/office/drawing/2014/main" id="{74CD8B8C-40D5-46C3-A748-4C5FB195530C}"/>
            </a:ext>
          </a:extLst>
        </xdr:cNvPr>
        <xdr:cNvSpPr txBox="1"/>
      </xdr:nvSpPr>
      <xdr:spPr>
        <a:xfrm>
          <a:off x="7137485" y="1716188"/>
          <a:ext cx="1909583" cy="479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EC869B-FD45-4562-808A-021D42AE3B08}" type="TxLink">
            <a:rPr lang="en-US" sz="2400" b="1" i="0" u="none" strike="noStrike">
              <a:solidFill>
                <a:srgbClr val="FF0000"/>
              </a:solidFill>
              <a:latin typeface="Aptos Narrow"/>
            </a:rPr>
            <a:pPr/>
            <a:t>$21,167,448</a:t>
          </a:fld>
          <a:endParaRPr lang="en-NG" sz="255800" b="1">
            <a:solidFill>
              <a:srgbClr val="FF0000"/>
            </a:solidFill>
          </a:endParaRPr>
        </a:p>
      </xdr:txBody>
    </xdr:sp>
    <xdr:clientData/>
  </xdr:twoCellAnchor>
  <xdr:twoCellAnchor editAs="oneCell">
    <xdr:from>
      <xdr:col>10</xdr:col>
      <xdr:colOff>86607</xdr:colOff>
      <xdr:row>7</xdr:row>
      <xdr:rowOff>13473</xdr:rowOff>
    </xdr:from>
    <xdr:to>
      <xdr:col>10</xdr:col>
      <xdr:colOff>491629</xdr:colOff>
      <xdr:row>9</xdr:row>
      <xdr:rowOff>23073</xdr:rowOff>
    </xdr:to>
    <xdr:pic>
      <xdr:nvPicPr>
        <xdr:cNvPr id="26" name="Picture 25">
          <a:extLst>
            <a:ext uri="{FF2B5EF4-FFF2-40B4-BE49-F238E27FC236}">
              <a16:creationId xmlns:a16="http://schemas.microsoft.com/office/drawing/2014/main" id="{3392065D-F86B-4628-9B7D-45C74E882BFF}"/>
            </a:ext>
          </a:extLst>
        </xdr:cNvPr>
        <xdr:cNvPicPr>
          <a:picLocks noChangeAspect="1"/>
        </xdr:cNvPicPr>
      </xdr:nvPicPr>
      <xdr:blipFill>
        <a:blip xmlns:r="http://schemas.openxmlformats.org/officeDocument/2006/relationships" r:embed="rId1">
          <a:duotone>
            <a:schemeClr val="accent2">
              <a:shade val="45000"/>
              <a:satMod val="135000"/>
            </a:schemeClr>
            <a:prstClr val="white"/>
          </a:duotone>
          <a:alphaModFix/>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tretch>
          <a:fillRect/>
        </a:stretch>
      </xdr:blipFill>
      <xdr:spPr>
        <a:xfrm>
          <a:off x="6249842" y="1386194"/>
          <a:ext cx="405022" cy="401805"/>
        </a:xfrm>
        <a:prstGeom prst="rect">
          <a:avLst/>
        </a:prstGeom>
      </xdr:spPr>
    </xdr:pic>
    <xdr:clientData/>
  </xdr:twoCellAnchor>
  <xdr:twoCellAnchor editAs="oneCell">
    <xdr:from>
      <xdr:col>6</xdr:col>
      <xdr:colOff>274672</xdr:colOff>
      <xdr:row>22</xdr:row>
      <xdr:rowOff>7885</xdr:rowOff>
    </xdr:from>
    <xdr:to>
      <xdr:col>7</xdr:col>
      <xdr:colOff>8048</xdr:colOff>
      <xdr:row>23</xdr:row>
      <xdr:rowOff>155657</xdr:rowOff>
    </xdr:to>
    <xdr:pic>
      <xdr:nvPicPr>
        <xdr:cNvPr id="5" name="Picture 4">
          <a:hlinkClick xmlns:r="http://schemas.openxmlformats.org/officeDocument/2006/relationships" r:id="rId3"/>
          <a:extLst>
            <a:ext uri="{FF2B5EF4-FFF2-40B4-BE49-F238E27FC236}">
              <a16:creationId xmlns:a16="http://schemas.microsoft.com/office/drawing/2014/main" id="{5C12B822-8502-4218-9DE6-AEE8057576BD}"/>
            </a:ext>
          </a:extLst>
        </xdr:cNvPr>
        <xdr:cNvPicPr>
          <a:picLocks noChangeAspect="1"/>
        </xdr:cNvPicPr>
      </xdr:nvPicPr>
      <xdr:blipFill>
        <a:blip xmlns:r="http://schemas.openxmlformats.org/officeDocument/2006/relationships" r:embed="rId1">
          <a:duotone>
            <a:schemeClr val="bg2">
              <a:shade val="45000"/>
              <a:satMod val="135000"/>
            </a:schemeClr>
            <a:prstClr val="white"/>
          </a:duotone>
          <a:alphaModFix/>
          <a:extLst>
            <a:ext uri="{BEBA8EAE-BF5A-486C-A8C5-ECC9F3942E4B}">
              <a14:imgProps xmlns:a14="http://schemas.microsoft.com/office/drawing/2010/main">
                <a14:imgLayer r:embed="rId2">
                  <a14:imgEffect>
                    <a14:colorTemperature colorTemp="115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3972613" y="4322150"/>
          <a:ext cx="349700" cy="343875"/>
        </a:xfrm>
        <a:prstGeom prst="rect">
          <a:avLst/>
        </a:prstGeom>
      </xdr:spPr>
    </xdr:pic>
    <xdr:clientData/>
  </xdr:twoCellAnchor>
  <xdr:twoCellAnchor editAs="oneCell">
    <xdr:from>
      <xdr:col>6</xdr:col>
      <xdr:colOff>274672</xdr:colOff>
      <xdr:row>14</xdr:row>
      <xdr:rowOff>42170</xdr:rowOff>
    </xdr:from>
    <xdr:to>
      <xdr:col>7</xdr:col>
      <xdr:colOff>21795</xdr:colOff>
      <xdr:row>16</xdr:row>
      <xdr:rowOff>4266</xdr:rowOff>
    </xdr:to>
    <xdr:pic>
      <xdr:nvPicPr>
        <xdr:cNvPr id="6" name="Picture 5">
          <a:hlinkClick xmlns:r="http://schemas.openxmlformats.org/officeDocument/2006/relationships" r:id="rId4"/>
          <a:extLst>
            <a:ext uri="{FF2B5EF4-FFF2-40B4-BE49-F238E27FC236}">
              <a16:creationId xmlns:a16="http://schemas.microsoft.com/office/drawing/2014/main" id="{D40F807B-DB2F-417C-BB80-1EA0F4B87FC7}"/>
            </a:ext>
          </a:extLst>
        </xdr:cNvPr>
        <xdr:cNvPicPr>
          <a:picLocks noChangeAspect="1"/>
        </xdr:cNvPicPr>
      </xdr:nvPicPr>
      <xdr:blipFill>
        <a:blip xmlns:r="http://schemas.openxmlformats.org/officeDocument/2006/relationships" r:embed="rId5">
          <a:duotone>
            <a:schemeClr val="bg2">
              <a:shade val="45000"/>
              <a:satMod val="135000"/>
            </a:schemeClr>
            <a:prstClr val="white"/>
          </a:duotone>
          <a:alphaModFix amt="16000"/>
          <a:extLst>
            <a:ext uri="{28A0092B-C50C-407E-A947-70E740481C1C}">
              <a14:useLocalDpi xmlns:a14="http://schemas.microsoft.com/office/drawing/2010/main" val="0"/>
            </a:ext>
          </a:extLst>
        </a:blip>
        <a:stretch>
          <a:fillRect/>
        </a:stretch>
      </xdr:blipFill>
      <xdr:spPr>
        <a:xfrm>
          <a:off x="3972613" y="2787611"/>
          <a:ext cx="363447" cy="354302"/>
        </a:xfrm>
        <a:prstGeom prst="rect">
          <a:avLst/>
        </a:prstGeom>
      </xdr:spPr>
    </xdr:pic>
    <xdr:clientData/>
  </xdr:twoCellAnchor>
  <xdr:twoCellAnchor editAs="oneCell">
    <xdr:from>
      <xdr:col>6</xdr:col>
      <xdr:colOff>289554</xdr:colOff>
      <xdr:row>18</xdr:row>
      <xdr:rowOff>50739</xdr:rowOff>
    </xdr:from>
    <xdr:to>
      <xdr:col>7</xdr:col>
      <xdr:colOff>37030</xdr:colOff>
      <xdr:row>20</xdr:row>
      <xdr:rowOff>21852</xdr:rowOff>
    </xdr:to>
    <xdr:pic>
      <xdr:nvPicPr>
        <xdr:cNvPr id="7" name="Picture 6">
          <a:hlinkClick xmlns:r="http://schemas.openxmlformats.org/officeDocument/2006/relationships" r:id="rId6"/>
          <a:extLst>
            <a:ext uri="{FF2B5EF4-FFF2-40B4-BE49-F238E27FC236}">
              <a16:creationId xmlns:a16="http://schemas.microsoft.com/office/drawing/2014/main" id="{BD34CDCF-CC40-40B2-A79E-069066217E01}"/>
            </a:ext>
          </a:extLst>
        </xdr:cNvPr>
        <xdr:cNvPicPr>
          <a:picLocks noChangeAspect="1"/>
        </xdr:cNvPicPr>
      </xdr:nvPicPr>
      <xdr:blipFill>
        <a:blip xmlns:r="http://schemas.openxmlformats.org/officeDocument/2006/relationships" r:embed="rId7">
          <a:duotone>
            <a:schemeClr val="bg2">
              <a:shade val="45000"/>
              <a:satMod val="135000"/>
            </a:schemeClr>
            <a:prstClr val="white"/>
          </a:duotone>
          <a:alphaModFix amt="16000"/>
          <a:extLst>
            <a:ext uri="{28A0092B-C50C-407E-A947-70E740481C1C}">
              <a14:useLocalDpi xmlns:a14="http://schemas.microsoft.com/office/drawing/2010/main" val="0"/>
            </a:ext>
          </a:extLst>
        </a:blip>
        <a:stretch>
          <a:fillRect/>
        </a:stretch>
      </xdr:blipFill>
      <xdr:spPr>
        <a:xfrm>
          <a:off x="3987495" y="3580592"/>
          <a:ext cx="363800" cy="363319"/>
        </a:xfrm>
        <a:prstGeom prst="rect">
          <a:avLst/>
        </a:prstGeom>
      </xdr:spPr>
    </xdr:pic>
    <xdr:clientData/>
  </xdr:twoCellAnchor>
  <xdr:twoCellAnchor editAs="oneCell">
    <xdr:from>
      <xdr:col>6</xdr:col>
      <xdr:colOff>316320</xdr:colOff>
      <xdr:row>10</xdr:row>
      <xdr:rowOff>43571</xdr:rowOff>
    </xdr:from>
    <xdr:to>
      <xdr:col>6</xdr:col>
      <xdr:colOff>591123</xdr:colOff>
      <xdr:row>11</xdr:row>
      <xdr:rowOff>149847</xdr:rowOff>
    </xdr:to>
    <xdr:pic>
      <xdr:nvPicPr>
        <xdr:cNvPr id="8" name="Picture 7">
          <a:hlinkClick xmlns:r="http://schemas.openxmlformats.org/officeDocument/2006/relationships" r:id="rId8"/>
          <a:extLst>
            <a:ext uri="{FF2B5EF4-FFF2-40B4-BE49-F238E27FC236}">
              <a16:creationId xmlns:a16="http://schemas.microsoft.com/office/drawing/2014/main" id="{3EB37FB4-21F3-47B6-A506-D5723EDABAB2}"/>
            </a:ext>
          </a:extLst>
        </xdr:cNvPr>
        <xdr:cNvPicPr>
          <a:picLocks noChangeAspect="1"/>
        </xdr:cNvPicPr>
      </xdr:nvPicPr>
      <xdr:blipFill>
        <a:blip xmlns:r="http://schemas.openxmlformats.org/officeDocument/2006/relationships" r:embed="rId9">
          <a:alphaModFix amt="16000"/>
          <a:extLst>
            <a:ext uri="{28A0092B-C50C-407E-A947-70E740481C1C}">
              <a14:useLocalDpi xmlns:a14="http://schemas.microsoft.com/office/drawing/2010/main" val="0"/>
            </a:ext>
          </a:extLst>
        </a:blip>
        <a:stretch>
          <a:fillRect/>
        </a:stretch>
      </xdr:blipFill>
      <xdr:spPr>
        <a:xfrm>
          <a:off x="4014261" y="2004600"/>
          <a:ext cx="274803" cy="302379"/>
        </a:xfrm>
        <a:prstGeom prst="rect">
          <a:avLst/>
        </a:prstGeom>
      </xdr:spPr>
    </xdr:pic>
    <xdr:clientData/>
  </xdr:twoCellAnchor>
  <xdr:twoCellAnchor>
    <xdr:from>
      <xdr:col>7</xdr:col>
      <xdr:colOff>292544</xdr:colOff>
      <xdr:row>27</xdr:row>
      <xdr:rowOff>38786</xdr:rowOff>
    </xdr:from>
    <xdr:to>
      <xdr:col>13</xdr:col>
      <xdr:colOff>221652</xdr:colOff>
      <xdr:row>40</xdr:row>
      <xdr:rowOff>133134</xdr:rowOff>
    </xdr:to>
    <xdr:sp macro="" textlink="">
      <xdr:nvSpPr>
        <xdr:cNvPr id="29" name="Rectangle: Rounded Corners 28">
          <a:extLst>
            <a:ext uri="{FF2B5EF4-FFF2-40B4-BE49-F238E27FC236}">
              <a16:creationId xmlns:a16="http://schemas.microsoft.com/office/drawing/2014/main" id="{0232008A-CCD4-4064-89CC-6CE95A37C59C}"/>
            </a:ext>
          </a:extLst>
        </xdr:cNvPr>
        <xdr:cNvSpPr/>
      </xdr:nvSpPr>
      <xdr:spPr>
        <a:xfrm>
          <a:off x="4606809" y="5333565"/>
          <a:ext cx="3627049" cy="2643687"/>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13</xdr:col>
      <xdr:colOff>328394</xdr:colOff>
      <xdr:row>13</xdr:row>
      <xdr:rowOff>128576</xdr:rowOff>
    </xdr:from>
    <xdr:to>
      <xdr:col>19</xdr:col>
      <xdr:colOff>576882</xdr:colOff>
      <xdr:row>40</xdr:row>
      <xdr:rowOff>117400</xdr:rowOff>
    </xdr:to>
    <xdr:sp macro="" textlink="">
      <xdr:nvSpPr>
        <xdr:cNvPr id="30" name="Rectangle: Rounded Corners 29">
          <a:extLst>
            <a:ext uri="{FF2B5EF4-FFF2-40B4-BE49-F238E27FC236}">
              <a16:creationId xmlns:a16="http://schemas.microsoft.com/office/drawing/2014/main" id="{C71402CF-5AB7-4962-BAF5-94A6532B1960}"/>
            </a:ext>
          </a:extLst>
        </xdr:cNvPr>
        <xdr:cNvSpPr/>
      </xdr:nvSpPr>
      <xdr:spPr>
        <a:xfrm>
          <a:off x="8340600" y="2677914"/>
          <a:ext cx="3946429" cy="5283604"/>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20</xdr:col>
      <xdr:colOff>76831</xdr:colOff>
      <xdr:row>13</xdr:row>
      <xdr:rowOff>143939</xdr:rowOff>
    </xdr:from>
    <xdr:to>
      <xdr:col>26</xdr:col>
      <xdr:colOff>253608</xdr:colOff>
      <xdr:row>27</xdr:row>
      <xdr:rowOff>30438</xdr:rowOff>
    </xdr:to>
    <xdr:sp macro="" textlink="">
      <xdr:nvSpPr>
        <xdr:cNvPr id="31" name="Rectangle: Rounded Corners 30">
          <a:extLst>
            <a:ext uri="{FF2B5EF4-FFF2-40B4-BE49-F238E27FC236}">
              <a16:creationId xmlns:a16="http://schemas.microsoft.com/office/drawing/2014/main" id="{DF7C213F-EEFD-4B32-804F-C2A3FF2F826B}"/>
            </a:ext>
          </a:extLst>
        </xdr:cNvPr>
        <xdr:cNvSpPr/>
      </xdr:nvSpPr>
      <xdr:spPr>
        <a:xfrm>
          <a:off x="12403302" y="2693277"/>
          <a:ext cx="3874718" cy="2631940"/>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278410</xdr:colOff>
      <xdr:row>13</xdr:row>
      <xdr:rowOff>113213</xdr:rowOff>
    </xdr:from>
    <xdr:to>
      <xdr:col>13</xdr:col>
      <xdr:colOff>207518</xdr:colOff>
      <xdr:row>26</xdr:row>
      <xdr:rowOff>195815</xdr:rowOff>
    </xdr:to>
    <xdr:sp macro="" textlink="">
      <xdr:nvSpPr>
        <xdr:cNvPr id="28" name="Rectangle: Rounded Corners 27">
          <a:extLst>
            <a:ext uri="{FF2B5EF4-FFF2-40B4-BE49-F238E27FC236}">
              <a16:creationId xmlns:a16="http://schemas.microsoft.com/office/drawing/2014/main" id="{FB5ABAEF-04B0-436B-A6E7-926AAEBE604D}"/>
            </a:ext>
          </a:extLst>
        </xdr:cNvPr>
        <xdr:cNvSpPr/>
      </xdr:nvSpPr>
      <xdr:spPr>
        <a:xfrm>
          <a:off x="4592675" y="2662551"/>
          <a:ext cx="3627049" cy="2631940"/>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20</xdr:col>
      <xdr:colOff>76831</xdr:colOff>
      <xdr:row>27</xdr:row>
      <xdr:rowOff>73367</xdr:rowOff>
    </xdr:from>
    <xdr:to>
      <xdr:col>26</xdr:col>
      <xdr:colOff>261185</xdr:colOff>
      <xdr:row>40</xdr:row>
      <xdr:rowOff>165089</xdr:rowOff>
    </xdr:to>
    <xdr:sp macro="" textlink="">
      <xdr:nvSpPr>
        <xdr:cNvPr id="32" name="Rectangle: Rounded Corners 31">
          <a:extLst>
            <a:ext uri="{FF2B5EF4-FFF2-40B4-BE49-F238E27FC236}">
              <a16:creationId xmlns:a16="http://schemas.microsoft.com/office/drawing/2014/main" id="{5F75C401-9FA7-495E-AFDF-0C987C3AC3BE}"/>
            </a:ext>
          </a:extLst>
        </xdr:cNvPr>
        <xdr:cNvSpPr/>
      </xdr:nvSpPr>
      <xdr:spPr>
        <a:xfrm>
          <a:off x="12403302" y="5368146"/>
          <a:ext cx="3882295" cy="2641061"/>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276547</xdr:colOff>
      <xdr:row>15</xdr:row>
      <xdr:rowOff>62189</xdr:rowOff>
    </xdr:from>
    <xdr:to>
      <xdr:col>13</xdr:col>
      <xdr:colOff>92192</xdr:colOff>
      <xdr:row>27</xdr:row>
      <xdr:rowOff>163487</xdr:rowOff>
    </xdr:to>
    <xdr:graphicFrame macro="">
      <xdr:nvGraphicFramePr>
        <xdr:cNvPr id="27" name="Chart 26">
          <a:extLst>
            <a:ext uri="{FF2B5EF4-FFF2-40B4-BE49-F238E27FC236}">
              <a16:creationId xmlns:a16="http://schemas.microsoft.com/office/drawing/2014/main" id="{0BA8BFD2-33CA-48E3-BD25-7FB7CEDA3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84842</xdr:colOff>
      <xdr:row>29</xdr:row>
      <xdr:rowOff>77335</xdr:rowOff>
    </xdr:from>
    <xdr:to>
      <xdr:col>13</xdr:col>
      <xdr:colOff>348818</xdr:colOff>
      <xdr:row>40</xdr:row>
      <xdr:rowOff>89839</xdr:rowOff>
    </xdr:to>
    <xdr:graphicFrame macro="">
      <xdr:nvGraphicFramePr>
        <xdr:cNvPr id="33" name="Chart 32">
          <a:extLst>
            <a:ext uri="{FF2B5EF4-FFF2-40B4-BE49-F238E27FC236}">
              <a16:creationId xmlns:a16="http://schemas.microsoft.com/office/drawing/2014/main" id="{11A18760-E031-457B-B562-691D79F8B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322636</xdr:colOff>
      <xdr:row>21</xdr:row>
      <xdr:rowOff>13473</xdr:rowOff>
    </xdr:from>
    <xdr:to>
      <xdr:col>19</xdr:col>
      <xdr:colOff>599168</xdr:colOff>
      <xdr:row>40</xdr:row>
      <xdr:rowOff>4755</xdr:rowOff>
    </xdr:to>
    <xdr:graphicFrame macro="">
      <xdr:nvGraphicFramePr>
        <xdr:cNvPr id="34" name="Chart 33">
          <a:extLst>
            <a:ext uri="{FF2B5EF4-FFF2-40B4-BE49-F238E27FC236}">
              <a16:creationId xmlns:a16="http://schemas.microsoft.com/office/drawing/2014/main" id="{8840CE69-FBF7-482A-91B2-2859A9219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330781</xdr:colOff>
      <xdr:row>13</xdr:row>
      <xdr:rowOff>154843</xdr:rowOff>
    </xdr:from>
    <xdr:to>
      <xdr:col>16</xdr:col>
      <xdr:colOff>538285</xdr:colOff>
      <xdr:row>15</xdr:row>
      <xdr:rowOff>15205</xdr:rowOff>
    </xdr:to>
    <xdr:sp macro="" textlink="transactions">
      <xdr:nvSpPr>
        <xdr:cNvPr id="35" name="TextBox 34">
          <a:extLst>
            <a:ext uri="{FF2B5EF4-FFF2-40B4-BE49-F238E27FC236}">
              <a16:creationId xmlns:a16="http://schemas.microsoft.com/office/drawing/2014/main" id="{34D4EE73-351B-48CD-99E2-3C646BBCEF01}"/>
            </a:ext>
          </a:extLst>
        </xdr:cNvPr>
        <xdr:cNvSpPr txBox="1"/>
      </xdr:nvSpPr>
      <xdr:spPr>
        <a:xfrm>
          <a:off x="8342987" y="2704181"/>
          <a:ext cx="2056474" cy="252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BRANCH SIZE VS EFFICIENCY</a:t>
          </a:r>
        </a:p>
      </xdr:txBody>
    </xdr:sp>
    <xdr:clientData/>
  </xdr:twoCellAnchor>
  <xdr:twoCellAnchor>
    <xdr:from>
      <xdr:col>7</xdr:col>
      <xdr:colOff>314189</xdr:colOff>
      <xdr:row>13</xdr:row>
      <xdr:rowOff>144089</xdr:rowOff>
    </xdr:from>
    <xdr:to>
      <xdr:col>12</xdr:col>
      <xdr:colOff>368725</xdr:colOff>
      <xdr:row>15</xdr:row>
      <xdr:rowOff>46826</xdr:rowOff>
    </xdr:to>
    <xdr:sp macro="" textlink="transactions">
      <xdr:nvSpPr>
        <xdr:cNvPr id="36" name="TextBox 35">
          <a:extLst>
            <a:ext uri="{FF2B5EF4-FFF2-40B4-BE49-F238E27FC236}">
              <a16:creationId xmlns:a16="http://schemas.microsoft.com/office/drawing/2014/main" id="{C0FCF3D6-4D01-4FAF-8709-EF22805EA69B}"/>
            </a:ext>
          </a:extLst>
        </xdr:cNvPr>
        <xdr:cNvSpPr txBox="1"/>
      </xdr:nvSpPr>
      <xdr:spPr>
        <a:xfrm>
          <a:off x="4628454" y="2693427"/>
          <a:ext cx="3136153" cy="294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TOP PERFORMING BRANCH BY PROFIT</a:t>
          </a:r>
        </a:p>
      </xdr:txBody>
    </xdr:sp>
    <xdr:clientData/>
  </xdr:twoCellAnchor>
  <xdr:twoCellAnchor>
    <xdr:from>
      <xdr:col>7</xdr:col>
      <xdr:colOff>292544</xdr:colOff>
      <xdr:row>27</xdr:row>
      <xdr:rowOff>38786</xdr:rowOff>
    </xdr:from>
    <xdr:to>
      <xdr:col>12</xdr:col>
      <xdr:colOff>414814</xdr:colOff>
      <xdr:row>28</xdr:row>
      <xdr:rowOff>102037</xdr:rowOff>
    </xdr:to>
    <xdr:sp macro="" textlink="transactions">
      <xdr:nvSpPr>
        <xdr:cNvPr id="37" name="TextBox 36">
          <a:extLst>
            <a:ext uri="{FF2B5EF4-FFF2-40B4-BE49-F238E27FC236}">
              <a16:creationId xmlns:a16="http://schemas.microsoft.com/office/drawing/2014/main" id="{308B5E98-3C8B-4B72-B10D-0B711FEDAABC}"/>
            </a:ext>
          </a:extLst>
        </xdr:cNvPr>
        <xdr:cNvSpPr txBox="1"/>
      </xdr:nvSpPr>
      <xdr:spPr>
        <a:xfrm>
          <a:off x="4606809" y="5333565"/>
          <a:ext cx="3203887" cy="259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HIGHEST</a:t>
          </a:r>
          <a:r>
            <a:rPr lang="en-US" sz="1200" b="1" i="0" u="none" strike="noStrike" baseline="0">
              <a:solidFill>
                <a:srgbClr val="AEAEAE"/>
              </a:solidFill>
              <a:latin typeface="Aptos Narrow"/>
            </a:rPr>
            <a:t> REVENUE PER STAFFS</a:t>
          </a:r>
          <a:endParaRPr lang="en-US" sz="1200" b="1" i="0" u="none" strike="noStrike">
            <a:solidFill>
              <a:srgbClr val="AEAEAE"/>
            </a:solidFill>
            <a:latin typeface="Aptos Narrow"/>
          </a:endParaRPr>
        </a:p>
      </xdr:txBody>
    </xdr:sp>
    <xdr:clientData/>
  </xdr:twoCellAnchor>
  <xdr:twoCellAnchor>
    <xdr:from>
      <xdr:col>20</xdr:col>
      <xdr:colOff>76831</xdr:colOff>
      <xdr:row>13</xdr:row>
      <xdr:rowOff>143939</xdr:rowOff>
    </xdr:from>
    <xdr:to>
      <xdr:col>24</xdr:col>
      <xdr:colOff>599168</xdr:colOff>
      <xdr:row>14</xdr:row>
      <xdr:rowOff>194214</xdr:rowOff>
    </xdr:to>
    <xdr:sp macro="" textlink="transactions">
      <xdr:nvSpPr>
        <xdr:cNvPr id="38" name="TextBox 37">
          <a:extLst>
            <a:ext uri="{FF2B5EF4-FFF2-40B4-BE49-F238E27FC236}">
              <a16:creationId xmlns:a16="http://schemas.microsoft.com/office/drawing/2014/main" id="{5F5C5E7E-8D96-4992-A868-3481BDB008C3}"/>
            </a:ext>
          </a:extLst>
        </xdr:cNvPr>
        <xdr:cNvSpPr txBox="1"/>
      </xdr:nvSpPr>
      <xdr:spPr>
        <a:xfrm>
          <a:off x="12403302" y="2693277"/>
          <a:ext cx="2987631" cy="246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BRANCH COST TO INCOME RATIO</a:t>
          </a:r>
        </a:p>
      </xdr:txBody>
    </xdr:sp>
    <xdr:clientData/>
  </xdr:twoCellAnchor>
  <xdr:twoCellAnchor>
    <xdr:from>
      <xdr:col>13</xdr:col>
      <xdr:colOff>363015</xdr:colOff>
      <xdr:row>15</xdr:row>
      <xdr:rowOff>100232</xdr:rowOff>
    </xdr:from>
    <xdr:to>
      <xdr:col>15</xdr:col>
      <xdr:colOff>152887</xdr:colOff>
      <xdr:row>17</xdr:row>
      <xdr:rowOff>187959</xdr:rowOff>
    </xdr:to>
    <xdr:sp macro="" textlink="STAFFS">
      <xdr:nvSpPr>
        <xdr:cNvPr id="39" name="TextBox 38">
          <a:extLst>
            <a:ext uri="{FF2B5EF4-FFF2-40B4-BE49-F238E27FC236}">
              <a16:creationId xmlns:a16="http://schemas.microsoft.com/office/drawing/2014/main" id="{46331CF4-8103-47C7-AE8F-9FB2728BB4B0}"/>
            </a:ext>
          </a:extLst>
        </xdr:cNvPr>
        <xdr:cNvSpPr txBox="1"/>
      </xdr:nvSpPr>
      <xdr:spPr>
        <a:xfrm>
          <a:off x="8375221" y="3041776"/>
          <a:ext cx="1022519" cy="479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8110BE-F8AD-4565-9A29-F1968DBBA88C}" type="TxLink">
            <a:rPr lang="en-US" sz="2000" b="1" i="0" u="none" strike="noStrike">
              <a:solidFill>
                <a:srgbClr val="FF0000"/>
              </a:solidFill>
              <a:latin typeface="Aptos Narrow"/>
            </a:rPr>
            <a:pPr/>
            <a:t> 1,951 </a:t>
          </a:fld>
          <a:endParaRPr lang="en-NG" sz="255800" b="1">
            <a:solidFill>
              <a:srgbClr val="FF0000"/>
            </a:solidFill>
          </a:endParaRPr>
        </a:p>
      </xdr:txBody>
    </xdr:sp>
    <xdr:clientData/>
  </xdr:twoCellAnchor>
  <xdr:twoCellAnchor>
    <xdr:from>
      <xdr:col>15</xdr:col>
      <xdr:colOff>254245</xdr:colOff>
      <xdr:row>15</xdr:row>
      <xdr:rowOff>99003</xdr:rowOff>
    </xdr:from>
    <xdr:to>
      <xdr:col>17</xdr:col>
      <xdr:colOff>44119</xdr:colOff>
      <xdr:row>17</xdr:row>
      <xdr:rowOff>186730</xdr:rowOff>
    </xdr:to>
    <xdr:sp macro="" textlink="avgrev">
      <xdr:nvSpPr>
        <xdr:cNvPr id="40" name="TextBox 39">
          <a:extLst>
            <a:ext uri="{FF2B5EF4-FFF2-40B4-BE49-F238E27FC236}">
              <a16:creationId xmlns:a16="http://schemas.microsoft.com/office/drawing/2014/main" id="{CE8DD1FD-D59A-4AF8-B148-0717524C7DC0}"/>
            </a:ext>
          </a:extLst>
        </xdr:cNvPr>
        <xdr:cNvSpPr txBox="1"/>
      </xdr:nvSpPr>
      <xdr:spPr>
        <a:xfrm>
          <a:off x="9499098" y="3040547"/>
          <a:ext cx="1022521" cy="479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4D0E3C-50F6-4381-9035-68167DF25869}" type="TxLink">
            <a:rPr lang="en-US" sz="2000" b="1" i="0" u="none" strike="noStrike">
              <a:solidFill>
                <a:srgbClr val="FF0000"/>
              </a:solidFill>
              <a:latin typeface="Aptos Narrow"/>
            </a:rPr>
            <a:pPr/>
            <a:t>$50.4K</a:t>
          </a:fld>
          <a:endParaRPr lang="en-NG" sz="255800" b="1">
            <a:solidFill>
              <a:srgbClr val="FF0000"/>
            </a:solidFill>
          </a:endParaRPr>
        </a:p>
      </xdr:txBody>
    </xdr:sp>
    <xdr:clientData/>
  </xdr:twoCellAnchor>
  <xdr:twoCellAnchor>
    <xdr:from>
      <xdr:col>13</xdr:col>
      <xdr:colOff>438322</xdr:colOff>
      <xdr:row>17</xdr:row>
      <xdr:rowOff>53545</xdr:rowOff>
    </xdr:from>
    <xdr:to>
      <xdr:col>15</xdr:col>
      <xdr:colOff>15379</xdr:colOff>
      <xdr:row>18</xdr:row>
      <xdr:rowOff>132760</xdr:rowOff>
    </xdr:to>
    <xdr:sp macro="" textlink="transactions">
      <xdr:nvSpPr>
        <xdr:cNvPr id="41" name="TextBox 40">
          <a:extLst>
            <a:ext uri="{FF2B5EF4-FFF2-40B4-BE49-F238E27FC236}">
              <a16:creationId xmlns:a16="http://schemas.microsoft.com/office/drawing/2014/main" id="{65DFEA94-88AE-458C-8D5F-9020469A996D}"/>
            </a:ext>
          </a:extLst>
        </xdr:cNvPr>
        <xdr:cNvSpPr txBox="1"/>
      </xdr:nvSpPr>
      <xdr:spPr>
        <a:xfrm>
          <a:off x="8450528" y="3387295"/>
          <a:ext cx="809704" cy="275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STAFFS</a:t>
          </a:r>
        </a:p>
      </xdr:txBody>
    </xdr:sp>
    <xdr:clientData/>
  </xdr:twoCellAnchor>
  <xdr:twoCellAnchor>
    <xdr:from>
      <xdr:col>15</xdr:col>
      <xdr:colOff>129833</xdr:colOff>
      <xdr:row>17</xdr:row>
      <xdr:rowOff>52317</xdr:rowOff>
    </xdr:from>
    <xdr:to>
      <xdr:col>17</xdr:col>
      <xdr:colOff>353362</xdr:colOff>
      <xdr:row>18</xdr:row>
      <xdr:rowOff>46826</xdr:rowOff>
    </xdr:to>
    <xdr:sp macro="" textlink="transactions">
      <xdr:nvSpPr>
        <xdr:cNvPr id="42" name="TextBox 41">
          <a:extLst>
            <a:ext uri="{FF2B5EF4-FFF2-40B4-BE49-F238E27FC236}">
              <a16:creationId xmlns:a16="http://schemas.microsoft.com/office/drawing/2014/main" id="{71DDBEEC-8B3F-4D93-839F-5E1081E26E6A}"/>
            </a:ext>
          </a:extLst>
        </xdr:cNvPr>
        <xdr:cNvSpPr txBox="1"/>
      </xdr:nvSpPr>
      <xdr:spPr>
        <a:xfrm>
          <a:off x="9374686" y="3386067"/>
          <a:ext cx="1456176" cy="190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AVG REV PER STAF</a:t>
          </a:r>
        </a:p>
      </xdr:txBody>
    </xdr:sp>
    <xdr:clientData/>
  </xdr:twoCellAnchor>
  <xdr:twoCellAnchor>
    <xdr:from>
      <xdr:col>15</xdr:col>
      <xdr:colOff>25447</xdr:colOff>
      <xdr:row>15</xdr:row>
      <xdr:rowOff>147685</xdr:rowOff>
    </xdr:from>
    <xdr:to>
      <xdr:col>15</xdr:col>
      <xdr:colOff>61447</xdr:colOff>
      <xdr:row>18</xdr:row>
      <xdr:rowOff>116957</xdr:rowOff>
    </xdr:to>
    <xdr:cxnSp macro="">
      <xdr:nvCxnSpPr>
        <xdr:cNvPr id="44" name="Straight Connector 43">
          <a:extLst>
            <a:ext uri="{FF2B5EF4-FFF2-40B4-BE49-F238E27FC236}">
              <a16:creationId xmlns:a16="http://schemas.microsoft.com/office/drawing/2014/main" id="{D9C4D6C1-B5CF-755C-2403-78387B303E97}"/>
            </a:ext>
          </a:extLst>
        </xdr:cNvPr>
        <xdr:cNvCxnSpPr/>
      </xdr:nvCxnSpPr>
      <xdr:spPr>
        <a:xfrm rot="10560000" flipH="1">
          <a:off x="9270300" y="3089229"/>
          <a:ext cx="36000" cy="557581"/>
        </a:xfrm>
        <a:prstGeom prst="line">
          <a:avLst/>
        </a:prstGeom>
        <a:ln>
          <a:solidFill>
            <a:srgbClr val="FF0000"/>
          </a:solidFill>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20</xdr:col>
      <xdr:colOff>15380</xdr:colOff>
      <xdr:row>14</xdr:row>
      <xdr:rowOff>174669</xdr:rowOff>
    </xdr:from>
    <xdr:to>
      <xdr:col>26</xdr:col>
      <xdr:colOff>368725</xdr:colOff>
      <xdr:row>27</xdr:row>
      <xdr:rowOff>92630</xdr:rowOff>
    </xdr:to>
    <xdr:graphicFrame macro="">
      <xdr:nvGraphicFramePr>
        <xdr:cNvPr id="46" name="Chart 45">
          <a:extLst>
            <a:ext uri="{FF2B5EF4-FFF2-40B4-BE49-F238E27FC236}">
              <a16:creationId xmlns:a16="http://schemas.microsoft.com/office/drawing/2014/main" id="{D2F1F6DA-690B-4AAF-82CA-2A0FA477C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15378</xdr:colOff>
      <xdr:row>28</xdr:row>
      <xdr:rowOff>28835</xdr:rowOff>
    </xdr:from>
    <xdr:to>
      <xdr:col>26</xdr:col>
      <xdr:colOff>353363</xdr:colOff>
      <xdr:row>41</xdr:row>
      <xdr:rowOff>178850</xdr:rowOff>
    </xdr:to>
    <xdr:sp macro="" textlink="">
      <xdr:nvSpPr>
        <xdr:cNvPr id="47" name="TextBox 46">
          <a:extLst>
            <a:ext uri="{FF2B5EF4-FFF2-40B4-BE49-F238E27FC236}">
              <a16:creationId xmlns:a16="http://schemas.microsoft.com/office/drawing/2014/main" id="{D9B5FA13-1B9D-D04C-06B7-0BD6283842D3}"/>
            </a:ext>
          </a:extLst>
        </xdr:cNvPr>
        <xdr:cNvSpPr txBox="1"/>
      </xdr:nvSpPr>
      <xdr:spPr>
        <a:xfrm>
          <a:off x="12341849" y="5519717"/>
          <a:ext cx="4035926" cy="2699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a:solidFill>
                <a:schemeClr val="bg1">
                  <a:lumMod val="95000"/>
                </a:schemeClr>
              </a:solidFill>
              <a:latin typeface="+mj-lt"/>
              <a:cs typeface="Aharoni" panose="02010803020104030203" pitchFamily="2" charset="-79"/>
            </a:rPr>
            <a:t>▪️ Caldwellburgh delivers the highest revenue</a:t>
          </a:r>
          <a:r>
            <a:rPr lang="en-GB" sz="1400" baseline="0">
              <a:solidFill>
                <a:schemeClr val="bg1">
                  <a:lumMod val="95000"/>
                </a:schemeClr>
              </a:solidFill>
              <a:latin typeface="+mj-lt"/>
              <a:cs typeface="Aharoni" panose="02010803020104030203" pitchFamily="2" charset="-79"/>
            </a:rPr>
            <a:t> per staff-Management should priortize investment &amp; expansion in this Branches</a:t>
          </a:r>
        </a:p>
        <a:p>
          <a:pPr algn="l"/>
          <a:endParaRPr lang="en-GB" sz="1400" baseline="0">
            <a:solidFill>
              <a:schemeClr val="bg1">
                <a:lumMod val="95000"/>
              </a:schemeClr>
            </a:solidFill>
            <a:latin typeface="+mj-lt"/>
            <a:cs typeface="Aharoni" panose="02010803020104030203" pitchFamily="2" charset="-79"/>
          </a:endParaRPr>
        </a:p>
        <a:p>
          <a:pPr algn="l"/>
          <a:r>
            <a:rPr lang="en-GB" sz="1100">
              <a:solidFill>
                <a:schemeClr val="bg1"/>
              </a:solidFill>
              <a:effectLst/>
              <a:latin typeface="+mj-lt"/>
              <a:ea typeface="+mn-ea"/>
              <a:cs typeface="+mn-cs"/>
            </a:rPr>
            <a:t>▪️ </a:t>
          </a:r>
          <a:r>
            <a:rPr lang="en-GB" sz="1400" baseline="0">
              <a:solidFill>
                <a:schemeClr val="bg1">
                  <a:lumMod val="95000"/>
                </a:schemeClr>
              </a:solidFill>
              <a:latin typeface="+mj-lt"/>
              <a:cs typeface="Aharoni" panose="02010803020104030203" pitchFamily="2" charset="-79"/>
            </a:rPr>
            <a:t>Branches with cost -to-income ratios above 100% should undergo a cost review &amp; restructuring to restore profitability</a:t>
          </a:r>
        </a:p>
        <a:p>
          <a:pPr algn="l"/>
          <a:endParaRPr lang="en-GB" sz="1400">
            <a:solidFill>
              <a:schemeClr val="bg1"/>
            </a:solidFill>
            <a:effectLst/>
            <a:latin typeface="+mj-lt"/>
            <a:ea typeface="+mn-ea"/>
            <a:cs typeface="+mn-cs"/>
          </a:endParaRPr>
        </a:p>
        <a:p>
          <a:pPr algn="l"/>
          <a:r>
            <a:rPr lang="en-GB" sz="1400">
              <a:solidFill>
                <a:schemeClr val="bg1"/>
              </a:solidFill>
              <a:effectLst/>
              <a:latin typeface="+mj-lt"/>
              <a:ea typeface="+mn-ea"/>
              <a:cs typeface="+mn-cs"/>
            </a:rPr>
            <a:t>▪️Lisaville is the most profitable branch-management should invest further here to consolidate growth</a:t>
          </a:r>
        </a:p>
      </xdr:txBody>
    </xdr:sp>
    <xdr:clientData/>
  </xdr:twoCellAnchor>
  <xdr:twoCellAnchor>
    <xdr:from>
      <xdr:col>21</xdr:col>
      <xdr:colOff>213867</xdr:colOff>
      <xdr:row>27</xdr:row>
      <xdr:rowOff>38787</xdr:rowOff>
    </xdr:from>
    <xdr:to>
      <xdr:col>26</xdr:col>
      <xdr:colOff>121690</xdr:colOff>
      <xdr:row>28</xdr:row>
      <xdr:rowOff>100808</xdr:rowOff>
    </xdr:to>
    <xdr:sp macro="" textlink="transactions">
      <xdr:nvSpPr>
        <xdr:cNvPr id="48" name="TextBox 47">
          <a:extLst>
            <a:ext uri="{FF2B5EF4-FFF2-40B4-BE49-F238E27FC236}">
              <a16:creationId xmlns:a16="http://schemas.microsoft.com/office/drawing/2014/main" id="{44B7C324-B853-45CD-B936-FDAE572C6F80}"/>
            </a:ext>
          </a:extLst>
        </xdr:cNvPr>
        <xdr:cNvSpPr txBox="1"/>
      </xdr:nvSpPr>
      <xdr:spPr>
        <a:xfrm>
          <a:off x="13156661" y="5333566"/>
          <a:ext cx="2989441" cy="25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RECOMMENDATIONS</a:t>
          </a:r>
        </a:p>
      </xdr:txBody>
    </xdr:sp>
    <xdr:clientData/>
  </xdr:twoCellAnchor>
  <xdr:twoCellAnchor editAs="oneCell">
    <xdr:from>
      <xdr:col>13</xdr:col>
      <xdr:colOff>370587</xdr:colOff>
      <xdr:row>18</xdr:row>
      <xdr:rowOff>174665</xdr:rowOff>
    </xdr:from>
    <xdr:to>
      <xdr:col>19</xdr:col>
      <xdr:colOff>102996</xdr:colOff>
      <xdr:row>20</xdr:row>
      <xdr:rowOff>194213</xdr:rowOff>
    </xdr:to>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8A3366DA-B63D-4789-8308-3EC60F4CEB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2793" y="3704518"/>
              <a:ext cx="3430350" cy="41175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61466</xdr:colOff>
      <xdr:row>7</xdr:row>
      <xdr:rowOff>13473</xdr:rowOff>
    </xdr:from>
    <xdr:to>
      <xdr:col>14</xdr:col>
      <xdr:colOff>452797</xdr:colOff>
      <xdr:row>9</xdr:row>
      <xdr:rowOff>36095</xdr:rowOff>
    </xdr:to>
    <xdr:pic>
      <xdr:nvPicPr>
        <xdr:cNvPr id="45" name="Picture 44">
          <a:extLst>
            <a:ext uri="{FF2B5EF4-FFF2-40B4-BE49-F238E27FC236}">
              <a16:creationId xmlns:a16="http://schemas.microsoft.com/office/drawing/2014/main" id="{2D0DDB1F-DAA4-58C7-EF3E-54D7F560FFF8}"/>
            </a:ext>
          </a:extLst>
        </xdr:cNvPr>
        <xdr:cNvPicPr>
          <a:picLocks noChangeAspect="1"/>
        </xdr:cNvPicPr>
      </xdr:nvPicPr>
      <xdr:blipFill>
        <a:blip xmlns:r="http://schemas.openxmlformats.org/officeDocument/2006/relationships" r:embed="rId14">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689995" y="1386194"/>
          <a:ext cx="391331" cy="414827"/>
        </a:xfrm>
        <a:prstGeom prst="rect">
          <a:avLst/>
        </a:prstGeom>
      </xdr:spPr>
    </xdr:pic>
    <xdr:clientData/>
  </xdr:twoCellAnchor>
  <xdr:twoCellAnchor editAs="oneCell">
    <xdr:from>
      <xdr:col>25</xdr:col>
      <xdr:colOff>420421</xdr:colOff>
      <xdr:row>7</xdr:row>
      <xdr:rowOff>13473</xdr:rowOff>
    </xdr:from>
    <xdr:to>
      <xdr:col>26</xdr:col>
      <xdr:colOff>208972</xdr:colOff>
      <xdr:row>9</xdr:row>
      <xdr:rowOff>50456</xdr:rowOff>
    </xdr:to>
    <xdr:pic>
      <xdr:nvPicPr>
        <xdr:cNvPr id="51" name="Picture 50">
          <a:extLst>
            <a:ext uri="{FF2B5EF4-FFF2-40B4-BE49-F238E27FC236}">
              <a16:creationId xmlns:a16="http://schemas.microsoft.com/office/drawing/2014/main" id="{5503621F-D11B-624C-34D3-EEF7804FC0F0}"/>
            </a:ext>
          </a:extLst>
        </xdr:cNvPr>
        <xdr:cNvPicPr>
          <a:picLocks noChangeAspect="1"/>
        </xdr:cNvPicPr>
      </xdr:nvPicPr>
      <xdr:blipFill>
        <a:blip xmlns:r="http://schemas.openxmlformats.org/officeDocument/2006/relationships" r:embed="rId15">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5828509" y="1386194"/>
          <a:ext cx="404875" cy="429188"/>
        </a:xfrm>
        <a:prstGeom prst="rect">
          <a:avLst/>
        </a:prstGeom>
      </xdr:spPr>
    </xdr:pic>
    <xdr:clientData/>
  </xdr:twoCellAnchor>
  <xdr:twoCellAnchor editAs="oneCell">
    <xdr:from>
      <xdr:col>17</xdr:col>
      <xdr:colOff>542193</xdr:colOff>
      <xdr:row>7</xdr:row>
      <xdr:rowOff>13473</xdr:rowOff>
    </xdr:from>
    <xdr:to>
      <xdr:col>18</xdr:col>
      <xdr:colOff>319007</xdr:colOff>
      <xdr:row>9</xdr:row>
      <xdr:rowOff>36095</xdr:rowOff>
    </xdr:to>
    <xdr:pic>
      <xdr:nvPicPr>
        <xdr:cNvPr id="55" name="Picture 54">
          <a:extLst>
            <a:ext uri="{FF2B5EF4-FFF2-40B4-BE49-F238E27FC236}">
              <a16:creationId xmlns:a16="http://schemas.microsoft.com/office/drawing/2014/main" id="{77CFFB27-8340-B612-F339-65D3FD4C45B7}"/>
            </a:ext>
          </a:extLst>
        </xdr:cNvPr>
        <xdr:cNvPicPr>
          <a:picLocks noChangeAspect="1"/>
        </xdr:cNvPicPr>
      </xdr:nvPicPr>
      <xdr:blipFill>
        <a:blip xmlns:r="http://schemas.openxmlformats.org/officeDocument/2006/relationships" r:embed="rId16">
          <a:duotone>
            <a:schemeClr val="accent2">
              <a:shade val="45000"/>
              <a:satMod val="135000"/>
            </a:schemeClr>
            <a:prstClr val="white"/>
          </a:duotone>
          <a:alphaModFix amt="70000"/>
          <a:extLst>
            <a:ext uri="{BEBA8EAE-BF5A-486C-A8C5-ECC9F3942E4B}">
              <a14:imgProps xmlns:a14="http://schemas.microsoft.com/office/drawing/2010/main">
                <a14:imgLayer r:embed="rId17">
                  <a14:imgEffect>
                    <a14:colorTemperature colorTemp="2938"/>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11019693" y="1386194"/>
          <a:ext cx="393138" cy="414827"/>
        </a:xfrm>
        <a:prstGeom prst="rect">
          <a:avLst/>
        </a:prstGeom>
      </xdr:spPr>
    </xdr:pic>
    <xdr:clientData/>
  </xdr:twoCellAnchor>
  <xdr:twoCellAnchor editAs="oneCell">
    <xdr:from>
      <xdr:col>6</xdr:col>
      <xdr:colOff>307273</xdr:colOff>
      <xdr:row>34</xdr:row>
      <xdr:rowOff>148120</xdr:rowOff>
    </xdr:from>
    <xdr:to>
      <xdr:col>7</xdr:col>
      <xdr:colOff>84089</xdr:colOff>
      <xdr:row>36</xdr:row>
      <xdr:rowOff>170741</xdr:rowOff>
    </xdr:to>
    <xdr:pic>
      <xdr:nvPicPr>
        <xdr:cNvPr id="57" name="Picture 56">
          <a:extLst>
            <a:ext uri="{FF2B5EF4-FFF2-40B4-BE49-F238E27FC236}">
              <a16:creationId xmlns:a16="http://schemas.microsoft.com/office/drawing/2014/main" id="{1CD7E75B-D9B2-5610-24E4-E0B842518B85}"/>
            </a:ext>
          </a:extLst>
        </xdr:cNvPr>
        <xdr:cNvPicPr>
          <a:picLocks noChangeAspect="1"/>
        </xdr:cNvPicPr>
      </xdr:nvPicPr>
      <xdr:blipFill>
        <a:blip xmlns:r="http://schemas.openxmlformats.org/officeDocument/2006/relationships" r:embed="rId18">
          <a:lum bright="70000" contrast="-70000"/>
          <a:alphaModFix amt="19000"/>
          <a:extLst>
            <a:ext uri="{28A0092B-C50C-407E-A947-70E740481C1C}">
              <a14:useLocalDpi xmlns:a14="http://schemas.microsoft.com/office/drawing/2010/main" val="0"/>
            </a:ext>
          </a:extLst>
        </a:blip>
        <a:stretch>
          <a:fillRect/>
        </a:stretch>
      </xdr:blipFill>
      <xdr:spPr>
        <a:xfrm>
          <a:off x="4005214" y="6815620"/>
          <a:ext cx="393140" cy="414827"/>
        </a:xfrm>
        <a:prstGeom prst="rect">
          <a:avLst/>
        </a:prstGeom>
      </xdr:spPr>
    </xdr:pic>
    <xdr:clientData/>
  </xdr:twoCellAnchor>
  <xdr:twoCellAnchor editAs="oneCell">
    <xdr:from>
      <xdr:col>21</xdr:col>
      <xdr:colOff>537717</xdr:colOff>
      <xdr:row>7</xdr:row>
      <xdr:rowOff>13473</xdr:rowOff>
    </xdr:from>
    <xdr:to>
      <xdr:col>22</xdr:col>
      <xdr:colOff>314531</xdr:colOff>
      <xdr:row>9</xdr:row>
      <xdr:rowOff>36095</xdr:rowOff>
    </xdr:to>
    <xdr:pic>
      <xdr:nvPicPr>
        <xdr:cNvPr id="59" name="Picture 58">
          <a:extLst>
            <a:ext uri="{FF2B5EF4-FFF2-40B4-BE49-F238E27FC236}">
              <a16:creationId xmlns:a16="http://schemas.microsoft.com/office/drawing/2014/main" id="{73D431BF-7EA2-A818-63CB-24C1DC569B4E}"/>
            </a:ext>
          </a:extLst>
        </xdr:cNvPr>
        <xdr:cNvPicPr>
          <a:picLocks noChangeAspect="1"/>
        </xdr:cNvPicPr>
      </xdr:nvPicPr>
      <xdr:blipFill>
        <a:blip xmlns:r="http://schemas.openxmlformats.org/officeDocument/2006/relationships" r:embed="rId19">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3480511" y="1386194"/>
          <a:ext cx="393138" cy="414827"/>
        </a:xfrm>
        <a:prstGeom prst="rect">
          <a:avLst/>
        </a:prstGeom>
      </xdr:spPr>
    </xdr:pic>
    <xdr:clientData/>
  </xdr:twoCellAnchor>
  <xdr:twoCellAnchor>
    <xdr:from>
      <xdr:col>6</xdr:col>
      <xdr:colOff>353362</xdr:colOff>
      <xdr:row>38</xdr:row>
      <xdr:rowOff>13473</xdr:rowOff>
    </xdr:from>
    <xdr:to>
      <xdr:col>7</xdr:col>
      <xdr:colOff>73261</xdr:colOff>
      <xdr:row>39</xdr:row>
      <xdr:rowOff>177332</xdr:rowOff>
    </xdr:to>
    <xdr:pic>
      <xdr:nvPicPr>
        <xdr:cNvPr id="60" name="Picture 59">
          <a:extLst>
            <a:ext uri="{FF2B5EF4-FFF2-40B4-BE49-F238E27FC236}">
              <a16:creationId xmlns:a16="http://schemas.microsoft.com/office/drawing/2014/main" id="{94CED657-4946-4897-BF0E-12A1C896E7B0}"/>
            </a:ext>
          </a:extLst>
        </xdr:cNvPr>
        <xdr:cNvPicPr>
          <a:picLocks noChangeAspect="1"/>
        </xdr:cNvPicPr>
      </xdr:nvPicPr>
      <xdr:blipFill>
        <a:blip xmlns:r="http://schemas.openxmlformats.org/officeDocument/2006/relationships" r:embed="rId20">
          <a:alphaModFix amt="39000"/>
          <a:extLst>
            <a:ext uri="{28A0092B-C50C-407E-A947-70E740481C1C}">
              <a14:useLocalDpi xmlns:a14="http://schemas.microsoft.com/office/drawing/2010/main" val="0"/>
            </a:ext>
          </a:extLst>
        </a:blip>
        <a:stretch>
          <a:fillRect/>
        </a:stretch>
      </xdr:blipFill>
      <xdr:spPr>
        <a:xfrm>
          <a:off x="4051303" y="7465385"/>
          <a:ext cx="336223" cy="359962"/>
        </a:xfrm>
        <a:prstGeom prst="rect">
          <a:avLst/>
        </a:prstGeom>
      </xdr:spPr>
    </xdr:pic>
    <xdr:clientData/>
  </xdr:twoCellAnchor>
  <xdr:twoCellAnchor editAs="oneCell">
    <xdr:from>
      <xdr:col>6</xdr:col>
      <xdr:colOff>259946</xdr:colOff>
      <xdr:row>25</xdr:row>
      <xdr:rowOff>118886</xdr:rowOff>
    </xdr:from>
    <xdr:to>
      <xdr:col>7</xdr:col>
      <xdr:colOff>19879</xdr:colOff>
      <xdr:row>27</xdr:row>
      <xdr:rowOff>105202</xdr:rowOff>
    </xdr:to>
    <xdr:pic>
      <xdr:nvPicPr>
        <xdr:cNvPr id="43" name="Picture 42">
          <a:hlinkClick xmlns:r="http://schemas.openxmlformats.org/officeDocument/2006/relationships" r:id="rId21"/>
          <a:extLst>
            <a:ext uri="{FF2B5EF4-FFF2-40B4-BE49-F238E27FC236}">
              <a16:creationId xmlns:a16="http://schemas.microsoft.com/office/drawing/2014/main" id="{E2E2977A-A50A-4038-AD56-6C7C8B4EF7B2}"/>
            </a:ext>
          </a:extLst>
        </xdr:cNvPr>
        <xdr:cNvPicPr>
          <a:picLocks noChangeAspect="1"/>
        </xdr:cNvPicPr>
      </xdr:nvPicPr>
      <xdr:blipFill>
        <a:blip xmlns:r="http://schemas.openxmlformats.org/officeDocument/2006/relationships" r:embed="rId22">
          <a:duotone>
            <a:schemeClr val="bg2">
              <a:shade val="45000"/>
              <a:satMod val="135000"/>
            </a:schemeClr>
            <a:prstClr val="white"/>
          </a:duotone>
          <a:alphaModFix amt="18000"/>
          <a:extLst>
            <a:ext uri="{BEBA8EAE-BF5A-486C-A8C5-ECC9F3942E4B}">
              <a14:imgProps xmlns:a14="http://schemas.microsoft.com/office/drawing/2010/main">
                <a14:imgLayer r:embed="rId23">
                  <a14:imgEffect>
                    <a14:saturation sat="0"/>
                  </a14:imgEffect>
                  <a14:imgEffect>
                    <a14:brightnessContrast bright="-100000" contrast="-40000"/>
                  </a14:imgEffect>
                </a14:imgLayer>
              </a14:imgProps>
            </a:ext>
            <a:ext uri="{28A0092B-C50C-407E-A947-70E740481C1C}">
              <a14:useLocalDpi xmlns:a14="http://schemas.microsoft.com/office/drawing/2010/main" val="0"/>
            </a:ext>
          </a:extLst>
        </a:blip>
        <a:stretch>
          <a:fillRect/>
        </a:stretch>
      </xdr:blipFill>
      <xdr:spPr>
        <a:xfrm>
          <a:off x="3957887" y="5021460"/>
          <a:ext cx="376257" cy="378521"/>
        </a:xfrm>
        <a:prstGeom prst="rect">
          <a:avLst/>
        </a:prstGeom>
      </xdr:spPr>
    </xdr:pic>
    <xdr:clientData/>
  </xdr:twoCellAnchor>
  <xdr:twoCellAnchor editAs="oneCell">
    <xdr:from>
      <xdr:col>20</xdr:col>
      <xdr:colOff>438458</xdr:colOff>
      <xdr:row>4</xdr:row>
      <xdr:rowOff>73460</xdr:rowOff>
    </xdr:from>
    <xdr:to>
      <xdr:col>26</xdr:col>
      <xdr:colOff>170867</xdr:colOff>
      <xdr:row>6</xdr:row>
      <xdr:rowOff>93008</xdr:rowOff>
    </xdr:to>
    <mc:AlternateContent xmlns:mc="http://schemas.openxmlformats.org/markup-compatibility/2006" xmlns:a14="http://schemas.microsoft.com/office/drawing/2010/main">
      <mc:Choice Requires="a14">
        <xdr:graphicFrame macro="">
          <xdr:nvGraphicFramePr>
            <xdr:cNvPr id="50" name="Region 2">
              <a:extLst>
                <a:ext uri="{FF2B5EF4-FFF2-40B4-BE49-F238E27FC236}">
                  <a16:creationId xmlns:a16="http://schemas.microsoft.com/office/drawing/2014/main" id="{7C4139CF-55AB-41CB-AF05-082223FC822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764929" y="857872"/>
              <a:ext cx="3430350" cy="41175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119078</xdr:colOff>
      <xdr:row>1</xdr:row>
      <xdr:rowOff>24518</xdr:rowOff>
    </xdr:from>
    <xdr:to>
      <xdr:col>7</xdr:col>
      <xdr:colOff>236246</xdr:colOff>
      <xdr:row>5</xdr:row>
      <xdr:rowOff>144259</xdr:rowOff>
    </xdr:to>
    <xdr:pic>
      <xdr:nvPicPr>
        <xdr:cNvPr id="52" name="Picture 51">
          <a:extLst>
            <a:ext uri="{FF2B5EF4-FFF2-40B4-BE49-F238E27FC236}">
              <a16:creationId xmlns:a16="http://schemas.microsoft.com/office/drawing/2014/main" id="{3341C8AD-D495-4396-9C00-B48A80E909B9}"/>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3817019" y="220621"/>
          <a:ext cx="733492" cy="9041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547249</xdr:colOff>
      <xdr:row>0</xdr:row>
      <xdr:rowOff>96493</xdr:rowOff>
    </xdr:from>
    <xdr:to>
      <xdr:col>30</xdr:col>
      <xdr:colOff>53032</xdr:colOff>
      <xdr:row>44</xdr:row>
      <xdr:rowOff>121724</xdr:rowOff>
    </xdr:to>
    <xdr:grpSp>
      <xdr:nvGrpSpPr>
        <xdr:cNvPr id="2" name="Group 1">
          <a:extLst>
            <a:ext uri="{FF2B5EF4-FFF2-40B4-BE49-F238E27FC236}">
              <a16:creationId xmlns:a16="http://schemas.microsoft.com/office/drawing/2014/main" id="{D23E95C2-D3A3-4514-A8E0-DEC0AF3C768D}"/>
            </a:ext>
          </a:extLst>
        </xdr:cNvPr>
        <xdr:cNvGrpSpPr/>
      </xdr:nvGrpSpPr>
      <xdr:grpSpPr>
        <a:xfrm>
          <a:off x="3608856" y="96493"/>
          <a:ext cx="14813819" cy="8407231"/>
          <a:chOff x="2842617" y="119063"/>
          <a:chExt cx="11638359" cy="7267367"/>
        </a:xfrm>
      </xdr:grpSpPr>
      <xdr:sp macro="" textlink="">
        <xdr:nvSpPr>
          <xdr:cNvPr id="3" name="Rectangle: Rounded Corners 2">
            <a:extLst>
              <a:ext uri="{FF2B5EF4-FFF2-40B4-BE49-F238E27FC236}">
                <a16:creationId xmlns:a16="http://schemas.microsoft.com/office/drawing/2014/main" id="{69758026-3DB8-9A41-4C5F-9AB2FBA65C8C}"/>
              </a:ext>
            </a:extLst>
          </xdr:cNvPr>
          <xdr:cNvSpPr/>
        </xdr:nvSpPr>
        <xdr:spPr>
          <a:xfrm>
            <a:off x="2842617" y="119063"/>
            <a:ext cx="11638359" cy="7267367"/>
          </a:xfrm>
          <a:prstGeom prst="roundRect">
            <a:avLst>
              <a:gd name="adj" fmla="val 1724"/>
            </a:avLst>
          </a:prstGeom>
          <a:solidFill>
            <a:srgbClr val="3232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Rectangle: Rounded Corners 3">
            <a:extLst>
              <a:ext uri="{FF2B5EF4-FFF2-40B4-BE49-F238E27FC236}">
                <a16:creationId xmlns:a16="http://schemas.microsoft.com/office/drawing/2014/main" id="{E69C5BED-F3A6-74E6-2632-514FC7785B55}"/>
              </a:ext>
            </a:extLst>
          </xdr:cNvPr>
          <xdr:cNvSpPr/>
        </xdr:nvSpPr>
        <xdr:spPr>
          <a:xfrm>
            <a:off x="2976562" y="282774"/>
            <a:ext cx="11333299" cy="6950274"/>
          </a:xfrm>
          <a:prstGeom prst="roundRect">
            <a:avLst>
              <a:gd name="adj" fmla="val 1724"/>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7</xdr:col>
      <xdr:colOff>316864</xdr:colOff>
      <xdr:row>6</xdr:row>
      <xdr:rowOff>95899</xdr:rowOff>
    </xdr:from>
    <xdr:to>
      <xdr:col>11</xdr:col>
      <xdr:colOff>139086</xdr:colOff>
      <xdr:row>12</xdr:row>
      <xdr:rowOff>124037</xdr:rowOff>
    </xdr:to>
    <xdr:sp macro="" textlink="">
      <xdr:nvSpPr>
        <xdr:cNvPr id="5" name="Rectangle: Rounded Corners 4">
          <a:extLst>
            <a:ext uri="{FF2B5EF4-FFF2-40B4-BE49-F238E27FC236}">
              <a16:creationId xmlns:a16="http://schemas.microsoft.com/office/drawing/2014/main" id="{5A8021FF-591F-4C42-9953-A2E37534DAA8}"/>
            </a:ext>
          </a:extLst>
        </xdr:cNvPr>
        <xdr:cNvSpPr/>
      </xdr:nvSpPr>
      <xdr:spPr>
        <a:xfrm>
          <a:off x="4588231" y="1256758"/>
          <a:ext cx="2263003" cy="1188998"/>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11</xdr:col>
      <xdr:colOff>431757</xdr:colOff>
      <xdr:row>6</xdr:row>
      <xdr:rowOff>95899</xdr:rowOff>
    </xdr:from>
    <xdr:to>
      <xdr:col>15</xdr:col>
      <xdr:colOff>83126</xdr:colOff>
      <xdr:row>12</xdr:row>
      <xdr:rowOff>124037</xdr:rowOff>
    </xdr:to>
    <xdr:sp macro="" textlink="">
      <xdr:nvSpPr>
        <xdr:cNvPr id="6" name="Rectangle: Rounded Corners 5">
          <a:extLst>
            <a:ext uri="{FF2B5EF4-FFF2-40B4-BE49-F238E27FC236}">
              <a16:creationId xmlns:a16="http://schemas.microsoft.com/office/drawing/2014/main" id="{D3120CDD-CCC1-4203-A25C-0CBE2C0EBFA8}"/>
            </a:ext>
          </a:extLst>
        </xdr:cNvPr>
        <xdr:cNvSpPr/>
      </xdr:nvSpPr>
      <xdr:spPr>
        <a:xfrm>
          <a:off x="7143905" y="1256758"/>
          <a:ext cx="2092151" cy="1188998"/>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15</xdr:col>
      <xdr:colOff>316270</xdr:colOff>
      <xdr:row>6</xdr:row>
      <xdr:rowOff>95899</xdr:rowOff>
    </xdr:from>
    <xdr:to>
      <xdr:col>18</xdr:col>
      <xdr:colOff>573774</xdr:colOff>
      <xdr:row>12</xdr:row>
      <xdr:rowOff>124037</xdr:rowOff>
    </xdr:to>
    <xdr:sp macro="" textlink="">
      <xdr:nvSpPr>
        <xdr:cNvPr id="7" name="Rectangle: Rounded Corners 6">
          <a:extLst>
            <a:ext uri="{FF2B5EF4-FFF2-40B4-BE49-F238E27FC236}">
              <a16:creationId xmlns:a16="http://schemas.microsoft.com/office/drawing/2014/main" id="{3C29730C-E78A-4664-ACB8-82BA29325EC3}"/>
            </a:ext>
          </a:extLst>
        </xdr:cNvPr>
        <xdr:cNvSpPr/>
      </xdr:nvSpPr>
      <xdr:spPr>
        <a:xfrm>
          <a:off x="9469200" y="1256758"/>
          <a:ext cx="2088090" cy="1188998"/>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19</xdr:col>
      <xdr:colOff>219719</xdr:colOff>
      <xdr:row>6</xdr:row>
      <xdr:rowOff>95899</xdr:rowOff>
    </xdr:from>
    <xdr:to>
      <xdr:col>23</xdr:col>
      <xdr:colOff>112563</xdr:colOff>
      <xdr:row>12</xdr:row>
      <xdr:rowOff>124037</xdr:rowOff>
    </xdr:to>
    <xdr:sp macro="" textlink="">
      <xdr:nvSpPr>
        <xdr:cNvPr id="8" name="Rectangle: Rounded Corners 7">
          <a:extLst>
            <a:ext uri="{FF2B5EF4-FFF2-40B4-BE49-F238E27FC236}">
              <a16:creationId xmlns:a16="http://schemas.microsoft.com/office/drawing/2014/main" id="{A4EC5D72-DD6F-450E-BF4D-67C8E33CEA28}"/>
            </a:ext>
          </a:extLst>
        </xdr:cNvPr>
        <xdr:cNvSpPr/>
      </xdr:nvSpPr>
      <xdr:spPr>
        <a:xfrm>
          <a:off x="11813430" y="1256758"/>
          <a:ext cx="2333625" cy="1188998"/>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23</xdr:col>
      <xdr:colOff>531775</xdr:colOff>
      <xdr:row>6</xdr:row>
      <xdr:rowOff>95899</xdr:rowOff>
    </xdr:from>
    <xdr:to>
      <xdr:col>27</xdr:col>
      <xdr:colOff>183143</xdr:colOff>
      <xdr:row>12</xdr:row>
      <xdr:rowOff>124037</xdr:rowOff>
    </xdr:to>
    <xdr:sp macro="" textlink="">
      <xdr:nvSpPr>
        <xdr:cNvPr id="9" name="Rectangle: Rounded Corners 8">
          <a:extLst>
            <a:ext uri="{FF2B5EF4-FFF2-40B4-BE49-F238E27FC236}">
              <a16:creationId xmlns:a16="http://schemas.microsoft.com/office/drawing/2014/main" id="{8C483BDC-4277-4E63-873F-407D4F39FC4F}"/>
            </a:ext>
          </a:extLst>
        </xdr:cNvPr>
        <xdr:cNvSpPr/>
      </xdr:nvSpPr>
      <xdr:spPr>
        <a:xfrm>
          <a:off x="14566267" y="1256758"/>
          <a:ext cx="2092149" cy="1188998"/>
        </a:xfrm>
        <a:prstGeom prst="roundRect">
          <a:avLst>
            <a:gd name="adj" fmla="val 4988"/>
          </a:avLst>
        </a:prstGeom>
        <a:gradFill flip="none" rotWithShape="1">
          <a:gsLst>
            <a:gs pos="11000">
              <a:srgbClr val="4B3830"/>
            </a:gs>
            <a:gs pos="25000">
              <a:srgbClr val="1A1921"/>
            </a:gs>
            <a:gs pos="0">
              <a:srgbClr val="7B573F"/>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highlight>
              <a:srgbClr val="FFFF00"/>
            </a:highlight>
            <a:latin typeface="+mn-lt"/>
            <a:ea typeface="+mn-ea"/>
            <a:cs typeface="+mn-cs"/>
          </a:endParaRPr>
        </a:p>
      </xdr:txBody>
    </xdr:sp>
    <xdr:clientData/>
  </xdr:twoCellAnchor>
  <xdr:twoCellAnchor>
    <xdr:from>
      <xdr:col>6</xdr:col>
      <xdr:colOff>249592</xdr:colOff>
      <xdr:row>6</xdr:row>
      <xdr:rowOff>111377</xdr:rowOff>
    </xdr:from>
    <xdr:to>
      <xdr:col>7</xdr:col>
      <xdr:colOff>167065</xdr:colOff>
      <xdr:row>42</xdr:row>
      <xdr:rowOff>153697</xdr:rowOff>
    </xdr:to>
    <xdr:sp macro="" textlink="">
      <xdr:nvSpPr>
        <xdr:cNvPr id="10" name="Rectangle: Rounded Corners 9">
          <a:extLst>
            <a:ext uri="{FF2B5EF4-FFF2-40B4-BE49-F238E27FC236}">
              <a16:creationId xmlns:a16="http://schemas.microsoft.com/office/drawing/2014/main" id="{CC4E1FB4-2077-4907-B1F8-9B9DA930D221}"/>
            </a:ext>
          </a:extLst>
        </xdr:cNvPr>
        <xdr:cNvSpPr/>
      </xdr:nvSpPr>
      <xdr:spPr>
        <a:xfrm>
          <a:off x="3910764" y="1272236"/>
          <a:ext cx="527668" cy="7007477"/>
        </a:xfrm>
        <a:prstGeom prst="roundRect">
          <a:avLst>
            <a:gd name="adj" fmla="val 12101"/>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7</xdr:col>
      <xdr:colOff>372226</xdr:colOff>
      <xdr:row>6</xdr:row>
      <xdr:rowOff>110782</xdr:rowOff>
    </xdr:from>
    <xdr:to>
      <xdr:col>10</xdr:col>
      <xdr:colOff>578620</xdr:colOff>
      <xdr:row>9</xdr:row>
      <xdr:rowOff>17413</xdr:rowOff>
    </xdr:to>
    <xdr:sp macro="" textlink="transactions">
      <xdr:nvSpPr>
        <xdr:cNvPr id="12" name="TextBox 11">
          <a:extLst>
            <a:ext uri="{FF2B5EF4-FFF2-40B4-BE49-F238E27FC236}">
              <a16:creationId xmlns:a16="http://schemas.microsoft.com/office/drawing/2014/main" id="{24580EF2-3490-4D23-B528-5BE3B0337712}"/>
            </a:ext>
          </a:extLst>
        </xdr:cNvPr>
        <xdr:cNvSpPr txBox="1"/>
      </xdr:nvSpPr>
      <xdr:spPr>
        <a:xfrm>
          <a:off x="4643593" y="1271641"/>
          <a:ext cx="2036980" cy="48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TOTAL FRAUD CASES</a:t>
          </a:r>
          <a:endParaRPr lang="en-NG" sz="28700" b="1">
            <a:solidFill>
              <a:srgbClr val="AEAEAE"/>
            </a:solidFill>
          </a:endParaRPr>
        </a:p>
      </xdr:txBody>
    </xdr:sp>
    <xdr:clientData/>
  </xdr:twoCellAnchor>
  <xdr:twoCellAnchor>
    <xdr:from>
      <xdr:col>15</xdr:col>
      <xdr:colOff>316270</xdr:colOff>
      <xdr:row>6</xdr:row>
      <xdr:rowOff>95899</xdr:rowOff>
    </xdr:from>
    <xdr:to>
      <xdr:col>18</xdr:col>
      <xdr:colOff>554176</xdr:colOff>
      <xdr:row>9</xdr:row>
      <xdr:rowOff>2530</xdr:rowOff>
    </xdr:to>
    <xdr:sp macro="" textlink="transactions">
      <xdr:nvSpPr>
        <xdr:cNvPr id="13" name="TextBox 12">
          <a:extLst>
            <a:ext uri="{FF2B5EF4-FFF2-40B4-BE49-F238E27FC236}">
              <a16:creationId xmlns:a16="http://schemas.microsoft.com/office/drawing/2014/main" id="{0B8E189B-B8FC-4AC3-AE53-42485083C8CA}"/>
            </a:ext>
          </a:extLst>
        </xdr:cNvPr>
        <xdr:cNvSpPr txBox="1"/>
      </xdr:nvSpPr>
      <xdr:spPr>
        <a:xfrm>
          <a:off x="9469200" y="1256758"/>
          <a:ext cx="2068492" cy="48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 URGENT</a:t>
          </a:r>
          <a:r>
            <a:rPr lang="en-US" sz="1200" b="1" i="0" u="none" strike="noStrike" baseline="0">
              <a:solidFill>
                <a:srgbClr val="AEAEAE"/>
              </a:solidFill>
              <a:latin typeface="Aptos Narrow"/>
            </a:rPr>
            <a:t> FRAUD CASES</a:t>
          </a:r>
        </a:p>
      </xdr:txBody>
    </xdr:sp>
    <xdr:clientData/>
  </xdr:twoCellAnchor>
  <xdr:twoCellAnchor>
    <xdr:from>
      <xdr:col>19</xdr:col>
      <xdr:colOff>124367</xdr:colOff>
      <xdr:row>6</xdr:row>
      <xdr:rowOff>79477</xdr:rowOff>
    </xdr:from>
    <xdr:to>
      <xdr:col>23</xdr:col>
      <xdr:colOff>145409</xdr:colOff>
      <xdr:row>8</xdr:row>
      <xdr:rowOff>179584</xdr:rowOff>
    </xdr:to>
    <xdr:sp macro="" textlink="transactions">
      <xdr:nvSpPr>
        <xdr:cNvPr id="14" name="TextBox 13">
          <a:extLst>
            <a:ext uri="{FF2B5EF4-FFF2-40B4-BE49-F238E27FC236}">
              <a16:creationId xmlns:a16="http://schemas.microsoft.com/office/drawing/2014/main" id="{2AB48263-0B8A-45B9-8497-AF6932D0A24B}"/>
            </a:ext>
          </a:extLst>
        </xdr:cNvPr>
        <xdr:cNvSpPr txBox="1"/>
      </xdr:nvSpPr>
      <xdr:spPr>
        <a:xfrm>
          <a:off x="11718078" y="1240336"/>
          <a:ext cx="2461823" cy="48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PREMIUM</a:t>
          </a:r>
          <a:r>
            <a:rPr lang="en-US" sz="1200" b="1" i="0" u="none" strike="noStrike" baseline="0">
              <a:solidFill>
                <a:srgbClr val="AEAEAE"/>
              </a:solidFill>
              <a:latin typeface="Aptos Narrow"/>
            </a:rPr>
            <a:t> </a:t>
          </a:r>
          <a:r>
            <a:rPr lang="en-US" sz="1200" b="1" i="0" u="none" strike="noStrike">
              <a:solidFill>
                <a:srgbClr val="AEAEAE"/>
              </a:solidFill>
              <a:latin typeface="Aptos Narrow"/>
            </a:rPr>
            <a:t>CUSTOMERS AFFECTED</a:t>
          </a:r>
          <a:endParaRPr lang="en-NG" sz="28700" b="1">
            <a:solidFill>
              <a:srgbClr val="AEAEAE"/>
            </a:solidFill>
          </a:endParaRPr>
        </a:p>
      </xdr:txBody>
    </xdr:sp>
    <xdr:clientData/>
  </xdr:twoCellAnchor>
  <xdr:twoCellAnchor>
    <xdr:from>
      <xdr:col>23</xdr:col>
      <xdr:colOff>531775</xdr:colOff>
      <xdr:row>6</xdr:row>
      <xdr:rowOff>95899</xdr:rowOff>
    </xdr:from>
    <xdr:to>
      <xdr:col>27</xdr:col>
      <xdr:colOff>132032</xdr:colOff>
      <xdr:row>9</xdr:row>
      <xdr:rowOff>2530</xdr:rowOff>
    </xdr:to>
    <xdr:sp macro="" textlink="transactions">
      <xdr:nvSpPr>
        <xdr:cNvPr id="15" name="TextBox 14">
          <a:extLst>
            <a:ext uri="{FF2B5EF4-FFF2-40B4-BE49-F238E27FC236}">
              <a16:creationId xmlns:a16="http://schemas.microsoft.com/office/drawing/2014/main" id="{10A8A2D4-F782-4D11-9942-AD16C35B65B6}"/>
            </a:ext>
          </a:extLst>
        </xdr:cNvPr>
        <xdr:cNvSpPr txBox="1"/>
      </xdr:nvSpPr>
      <xdr:spPr>
        <a:xfrm>
          <a:off x="14566267" y="1256758"/>
          <a:ext cx="2041038" cy="48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BACKLOG SIZE</a:t>
          </a:r>
          <a:endParaRPr lang="en-NG" sz="28700" b="1">
            <a:solidFill>
              <a:srgbClr val="AEAEAE"/>
            </a:solidFill>
          </a:endParaRPr>
        </a:p>
      </xdr:txBody>
    </xdr:sp>
    <xdr:clientData/>
  </xdr:twoCellAnchor>
  <xdr:twoCellAnchor>
    <xdr:from>
      <xdr:col>7</xdr:col>
      <xdr:colOff>450210</xdr:colOff>
      <xdr:row>7</xdr:row>
      <xdr:rowOff>177500</xdr:rowOff>
    </xdr:from>
    <xdr:to>
      <xdr:col>11</xdr:col>
      <xdr:colOff>50468</xdr:colOff>
      <xdr:row>10</xdr:row>
      <xdr:rowOff>87724</xdr:rowOff>
    </xdr:to>
    <xdr:sp macro="" textlink="totallfraudddddd">
      <xdr:nvSpPr>
        <xdr:cNvPr id="17" name="TextBox 16">
          <a:extLst>
            <a:ext uri="{FF2B5EF4-FFF2-40B4-BE49-F238E27FC236}">
              <a16:creationId xmlns:a16="http://schemas.microsoft.com/office/drawing/2014/main" id="{9A3A22EC-904E-40CB-B5E2-15AF2BF1ED07}"/>
            </a:ext>
          </a:extLst>
        </xdr:cNvPr>
        <xdr:cNvSpPr txBox="1"/>
      </xdr:nvSpPr>
      <xdr:spPr>
        <a:xfrm>
          <a:off x="4721577" y="1531836"/>
          <a:ext cx="2041039" cy="4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BC00C9-C2F8-4ECB-8472-021328B399F2}" type="TxLink">
            <a:rPr lang="en-US" sz="3600" b="1" i="0" u="none" strike="noStrike">
              <a:solidFill>
                <a:srgbClr val="FF0000"/>
              </a:solidFill>
              <a:latin typeface="Aptos Narrow"/>
            </a:rPr>
            <a:pPr/>
            <a:t>142</a:t>
          </a:fld>
          <a:endParaRPr lang="en-US" sz="41300" b="1" i="0" u="none" strike="noStrike">
            <a:solidFill>
              <a:srgbClr val="FF0000"/>
            </a:solidFill>
            <a:latin typeface="Aptos Narrow"/>
          </a:endParaRPr>
        </a:p>
      </xdr:txBody>
    </xdr:sp>
    <xdr:clientData/>
  </xdr:twoCellAnchor>
  <xdr:twoCellAnchor>
    <xdr:from>
      <xdr:col>15</xdr:col>
      <xdr:colOff>334724</xdr:colOff>
      <xdr:row>7</xdr:row>
      <xdr:rowOff>177500</xdr:rowOff>
    </xdr:from>
    <xdr:to>
      <xdr:col>18</xdr:col>
      <xdr:colOff>541117</xdr:colOff>
      <xdr:row>10</xdr:row>
      <xdr:rowOff>87724</xdr:rowOff>
    </xdr:to>
    <xdr:sp macro="" textlink="urgent">
      <xdr:nvSpPr>
        <xdr:cNvPr id="18" name="TextBox 17">
          <a:extLst>
            <a:ext uri="{FF2B5EF4-FFF2-40B4-BE49-F238E27FC236}">
              <a16:creationId xmlns:a16="http://schemas.microsoft.com/office/drawing/2014/main" id="{845A3FC9-9153-4A01-B038-CD27423B3158}"/>
            </a:ext>
          </a:extLst>
        </xdr:cNvPr>
        <xdr:cNvSpPr txBox="1"/>
      </xdr:nvSpPr>
      <xdr:spPr>
        <a:xfrm>
          <a:off x="9487654" y="1531836"/>
          <a:ext cx="2036979" cy="4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34A6DF-C213-4878-89B3-37AAB8A22C28}" type="TxLink">
            <a:rPr lang="en-US" sz="3600" b="1" i="0" u="none" strike="noStrike">
              <a:solidFill>
                <a:srgbClr val="FF0000"/>
              </a:solidFill>
              <a:latin typeface="Aptos Narrow"/>
            </a:rPr>
            <a:pPr/>
            <a:t>3.5%</a:t>
          </a:fld>
          <a:endParaRPr lang="en-US" sz="8800" b="1" i="0" u="none" strike="noStrike">
            <a:solidFill>
              <a:srgbClr val="FF0000"/>
            </a:solidFill>
            <a:latin typeface="Aptos Narrow"/>
          </a:endParaRPr>
        </a:p>
      </xdr:txBody>
    </xdr:sp>
    <xdr:clientData/>
  </xdr:twoCellAnchor>
  <xdr:twoCellAnchor>
    <xdr:from>
      <xdr:col>19</xdr:col>
      <xdr:colOff>245427</xdr:colOff>
      <xdr:row>7</xdr:row>
      <xdr:rowOff>177500</xdr:rowOff>
    </xdr:from>
    <xdr:to>
      <xdr:col>22</xdr:col>
      <xdr:colOff>451821</xdr:colOff>
      <xdr:row>10</xdr:row>
      <xdr:rowOff>87724</xdr:rowOff>
    </xdr:to>
    <xdr:sp macro="" textlink="prem">
      <xdr:nvSpPr>
        <xdr:cNvPr id="19" name="TextBox 18">
          <a:extLst>
            <a:ext uri="{FF2B5EF4-FFF2-40B4-BE49-F238E27FC236}">
              <a16:creationId xmlns:a16="http://schemas.microsoft.com/office/drawing/2014/main" id="{238C81D4-1586-4C65-887B-95304BB21B27}"/>
            </a:ext>
          </a:extLst>
        </xdr:cNvPr>
        <xdr:cNvSpPr txBox="1"/>
      </xdr:nvSpPr>
      <xdr:spPr>
        <a:xfrm>
          <a:off x="11839138" y="1531836"/>
          <a:ext cx="2036980" cy="4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4E8CA1-DFCE-4647-95D9-42F0708A0969}" type="TxLink">
            <a:rPr lang="en-US" sz="3600" b="1" i="0" u="none" strike="noStrike">
              <a:solidFill>
                <a:srgbClr val="FF0000"/>
              </a:solidFill>
              <a:latin typeface="Aptos Narrow"/>
            </a:rPr>
            <a:pPr/>
            <a:t>81%</a:t>
          </a:fld>
          <a:endParaRPr lang="en-US" sz="8800" b="1" i="0" u="none" strike="noStrike">
            <a:solidFill>
              <a:srgbClr val="FF0000"/>
            </a:solidFill>
            <a:latin typeface="Aptos Narrow"/>
          </a:endParaRPr>
        </a:p>
      </xdr:txBody>
    </xdr:sp>
    <xdr:clientData/>
  </xdr:twoCellAnchor>
  <xdr:twoCellAnchor>
    <xdr:from>
      <xdr:col>23</xdr:col>
      <xdr:colOff>550230</xdr:colOff>
      <xdr:row>7</xdr:row>
      <xdr:rowOff>177500</xdr:rowOff>
    </xdr:from>
    <xdr:to>
      <xdr:col>27</xdr:col>
      <xdr:colOff>150487</xdr:colOff>
      <xdr:row>10</xdr:row>
      <xdr:rowOff>87724</xdr:rowOff>
    </xdr:to>
    <xdr:sp macro="" textlink="backlog">
      <xdr:nvSpPr>
        <xdr:cNvPr id="20" name="TextBox 19">
          <a:extLst>
            <a:ext uri="{FF2B5EF4-FFF2-40B4-BE49-F238E27FC236}">
              <a16:creationId xmlns:a16="http://schemas.microsoft.com/office/drawing/2014/main" id="{C6D87FE0-E9DA-4553-BC91-632426DE8160}"/>
            </a:ext>
          </a:extLst>
        </xdr:cNvPr>
        <xdr:cNvSpPr txBox="1"/>
      </xdr:nvSpPr>
      <xdr:spPr>
        <a:xfrm>
          <a:off x="14584722" y="1531836"/>
          <a:ext cx="2041038" cy="4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551E76-76BF-4340-8A10-413E0FF3F5C2}" type="TxLink">
            <a:rPr lang="en-US" sz="3600" b="1" i="0" u="none" strike="noStrike">
              <a:solidFill>
                <a:srgbClr val="FF0000"/>
              </a:solidFill>
              <a:latin typeface="Aptos Narrow"/>
            </a:rPr>
            <a:pPr/>
            <a:t>800</a:t>
          </a:fld>
          <a:endParaRPr lang="en-US" sz="41300" b="1" i="0" u="none" strike="noStrike">
            <a:solidFill>
              <a:srgbClr val="FF0000"/>
            </a:solidFill>
            <a:latin typeface="Aptos Narrow"/>
          </a:endParaRPr>
        </a:p>
      </xdr:txBody>
    </xdr:sp>
    <xdr:clientData/>
  </xdr:twoCellAnchor>
  <xdr:twoCellAnchor>
    <xdr:from>
      <xdr:col>7</xdr:col>
      <xdr:colOff>301979</xdr:colOff>
      <xdr:row>13</xdr:row>
      <xdr:rowOff>17316</xdr:rowOff>
    </xdr:from>
    <xdr:to>
      <xdr:col>16</xdr:col>
      <xdr:colOff>361511</xdr:colOff>
      <xdr:row>43</xdr:row>
      <xdr:rowOff>1518</xdr:rowOff>
    </xdr:to>
    <xdr:sp macro="" textlink="">
      <xdr:nvSpPr>
        <xdr:cNvPr id="21" name="Rectangle: Rounded Corners 20">
          <a:extLst>
            <a:ext uri="{FF2B5EF4-FFF2-40B4-BE49-F238E27FC236}">
              <a16:creationId xmlns:a16="http://schemas.microsoft.com/office/drawing/2014/main" id="{64D8D28C-9E87-4E0A-8F3B-796266F328BD}"/>
            </a:ext>
          </a:extLst>
        </xdr:cNvPr>
        <xdr:cNvSpPr/>
      </xdr:nvSpPr>
      <xdr:spPr>
        <a:xfrm>
          <a:off x="4573346" y="2532511"/>
          <a:ext cx="5551290" cy="5788499"/>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16</xdr:col>
      <xdr:colOff>535946</xdr:colOff>
      <xdr:row>27</xdr:row>
      <xdr:rowOff>17317</xdr:rowOff>
    </xdr:from>
    <xdr:to>
      <xdr:col>29</xdr:col>
      <xdr:colOff>216750</xdr:colOff>
      <xdr:row>43</xdr:row>
      <xdr:rowOff>16172</xdr:rowOff>
    </xdr:to>
    <xdr:sp macro="" textlink="">
      <xdr:nvSpPr>
        <xdr:cNvPr id="22" name="Rectangle: Rounded Corners 21">
          <a:extLst>
            <a:ext uri="{FF2B5EF4-FFF2-40B4-BE49-F238E27FC236}">
              <a16:creationId xmlns:a16="http://schemas.microsoft.com/office/drawing/2014/main" id="{C2C49349-388A-4AA6-9F7E-BC6F684982C5}"/>
            </a:ext>
          </a:extLst>
        </xdr:cNvPr>
        <xdr:cNvSpPr/>
      </xdr:nvSpPr>
      <xdr:spPr>
        <a:xfrm>
          <a:off x="10299071" y="5241184"/>
          <a:ext cx="7613343" cy="3094480"/>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16</xdr:col>
      <xdr:colOff>524637</xdr:colOff>
      <xdr:row>13</xdr:row>
      <xdr:rowOff>2435</xdr:rowOff>
    </xdr:from>
    <xdr:to>
      <xdr:col>29</xdr:col>
      <xdr:colOff>231635</xdr:colOff>
      <xdr:row>26</xdr:row>
      <xdr:rowOff>173287</xdr:rowOff>
    </xdr:to>
    <xdr:sp macro="" textlink="">
      <xdr:nvSpPr>
        <xdr:cNvPr id="23" name="Rectangle: Rounded Corners 22">
          <a:extLst>
            <a:ext uri="{FF2B5EF4-FFF2-40B4-BE49-F238E27FC236}">
              <a16:creationId xmlns:a16="http://schemas.microsoft.com/office/drawing/2014/main" id="{C04FD947-807F-4206-8062-E159FEA304CD}"/>
            </a:ext>
          </a:extLst>
        </xdr:cNvPr>
        <xdr:cNvSpPr/>
      </xdr:nvSpPr>
      <xdr:spPr>
        <a:xfrm>
          <a:off x="10287762" y="2517630"/>
          <a:ext cx="7639537" cy="2686048"/>
        </a:xfrm>
        <a:prstGeom prst="roundRect">
          <a:avLst>
            <a:gd name="adj" fmla="val 3087"/>
          </a:avLst>
        </a:prstGeom>
        <a:solidFill>
          <a:srgbClr val="1A19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457200" rtl="0" eaLnBrk="1" latinLnBrk="0" hangingPunct="1"/>
          <a:endParaRPr lang="en-NG" sz="1800" kern="1200">
            <a:solidFill>
              <a:schemeClr val="lt1"/>
            </a:solidFill>
            <a:latin typeface="+mn-lt"/>
            <a:ea typeface="+mn-ea"/>
            <a:cs typeface="+mn-cs"/>
          </a:endParaRPr>
        </a:p>
      </xdr:txBody>
    </xdr:sp>
    <xdr:clientData/>
  </xdr:twoCellAnchor>
  <xdr:twoCellAnchor>
    <xdr:from>
      <xdr:col>16</xdr:col>
      <xdr:colOff>478388</xdr:colOff>
      <xdr:row>16</xdr:row>
      <xdr:rowOff>38153</xdr:rowOff>
    </xdr:from>
    <xdr:to>
      <xdr:col>23</xdr:col>
      <xdr:colOff>14028</xdr:colOff>
      <xdr:row>27</xdr:row>
      <xdr:rowOff>171428</xdr:rowOff>
    </xdr:to>
    <xdr:graphicFrame macro="">
      <xdr:nvGraphicFramePr>
        <xdr:cNvPr id="24" name="Chart 23">
          <a:extLst>
            <a:ext uri="{FF2B5EF4-FFF2-40B4-BE49-F238E27FC236}">
              <a16:creationId xmlns:a16="http://schemas.microsoft.com/office/drawing/2014/main" id="{37755D8B-0996-42D7-A784-2030162A2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34694</xdr:colOff>
      <xdr:row>15</xdr:row>
      <xdr:rowOff>4988</xdr:rowOff>
    </xdr:from>
    <xdr:to>
      <xdr:col>23</xdr:col>
      <xdr:colOff>79343</xdr:colOff>
      <xdr:row>25</xdr:row>
      <xdr:rowOff>94284</xdr:rowOff>
    </xdr:to>
    <xdr:cxnSp macro="">
      <xdr:nvCxnSpPr>
        <xdr:cNvPr id="26" name="Straight Connector 25">
          <a:extLst>
            <a:ext uri="{FF2B5EF4-FFF2-40B4-BE49-F238E27FC236}">
              <a16:creationId xmlns:a16="http://schemas.microsoft.com/office/drawing/2014/main" id="{CFD9F493-ED24-B18E-C23A-AA62103A8BAA}"/>
            </a:ext>
          </a:extLst>
        </xdr:cNvPr>
        <xdr:cNvCxnSpPr/>
      </xdr:nvCxnSpPr>
      <xdr:spPr>
        <a:xfrm rot="60000">
          <a:off x="14069186" y="2907136"/>
          <a:ext cx="44649" cy="2024062"/>
        </a:xfrm>
        <a:prstGeom prst="line">
          <a:avLst/>
        </a:prstGeom>
        <a:ln>
          <a:solidFill>
            <a:srgbClr val="ED8855">
              <a:alpha val="17000"/>
            </a:srgb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524637</xdr:colOff>
      <xdr:row>12</xdr:row>
      <xdr:rowOff>174114</xdr:rowOff>
    </xdr:from>
    <xdr:to>
      <xdr:col>21</xdr:col>
      <xdr:colOff>315717</xdr:colOff>
      <xdr:row>14</xdr:row>
      <xdr:rowOff>136379</xdr:rowOff>
    </xdr:to>
    <xdr:sp macro="" textlink="transactions">
      <xdr:nvSpPr>
        <xdr:cNvPr id="28" name="TextBox 27">
          <a:extLst>
            <a:ext uri="{FF2B5EF4-FFF2-40B4-BE49-F238E27FC236}">
              <a16:creationId xmlns:a16="http://schemas.microsoft.com/office/drawing/2014/main" id="{D982583D-DD26-432F-9E71-29A72A0482FF}"/>
            </a:ext>
          </a:extLst>
        </xdr:cNvPr>
        <xdr:cNvSpPr txBox="1"/>
      </xdr:nvSpPr>
      <xdr:spPr>
        <a:xfrm>
          <a:off x="10287762" y="2495833"/>
          <a:ext cx="2842057" cy="34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COMPLAINTS VOLUME BY TYPE</a:t>
          </a:r>
          <a:endParaRPr lang="en-NG" sz="28700" b="1">
            <a:solidFill>
              <a:srgbClr val="AEAEAE"/>
            </a:solidFill>
          </a:endParaRPr>
        </a:p>
      </xdr:txBody>
    </xdr:sp>
    <xdr:clientData/>
  </xdr:twoCellAnchor>
  <xdr:twoCellAnchor>
    <xdr:from>
      <xdr:col>23</xdr:col>
      <xdr:colOff>84757</xdr:colOff>
      <xdr:row>12</xdr:row>
      <xdr:rowOff>172346</xdr:rowOff>
    </xdr:from>
    <xdr:to>
      <xdr:col>26</xdr:col>
      <xdr:colOff>289660</xdr:colOff>
      <xdr:row>15</xdr:row>
      <xdr:rowOff>78978</xdr:rowOff>
    </xdr:to>
    <xdr:sp macro="" textlink="transactions">
      <xdr:nvSpPr>
        <xdr:cNvPr id="29" name="TextBox 28">
          <a:extLst>
            <a:ext uri="{FF2B5EF4-FFF2-40B4-BE49-F238E27FC236}">
              <a16:creationId xmlns:a16="http://schemas.microsoft.com/office/drawing/2014/main" id="{984EA252-6009-4102-B2ED-E831B41B5649}"/>
            </a:ext>
          </a:extLst>
        </xdr:cNvPr>
        <xdr:cNvSpPr txBox="1"/>
      </xdr:nvSpPr>
      <xdr:spPr>
        <a:xfrm>
          <a:off x="14119249" y="2494065"/>
          <a:ext cx="2035489" cy="48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RESOLVED VS UNRESOLVED</a:t>
          </a:r>
          <a:endParaRPr lang="en-NG" sz="28700" b="1">
            <a:solidFill>
              <a:srgbClr val="AEAEAE"/>
            </a:solidFill>
          </a:endParaRPr>
        </a:p>
      </xdr:txBody>
    </xdr:sp>
    <xdr:clientData/>
  </xdr:twoCellAnchor>
  <xdr:twoCellAnchor>
    <xdr:from>
      <xdr:col>7</xdr:col>
      <xdr:colOff>435924</xdr:colOff>
      <xdr:row>26</xdr:row>
      <xdr:rowOff>74282</xdr:rowOff>
    </xdr:from>
    <xdr:to>
      <xdr:col>16</xdr:col>
      <xdr:colOff>211098</xdr:colOff>
      <xdr:row>26</xdr:row>
      <xdr:rowOff>76848</xdr:rowOff>
    </xdr:to>
    <xdr:cxnSp macro="">
      <xdr:nvCxnSpPr>
        <xdr:cNvPr id="31" name="Straight Connector 30">
          <a:extLst>
            <a:ext uri="{FF2B5EF4-FFF2-40B4-BE49-F238E27FC236}">
              <a16:creationId xmlns:a16="http://schemas.microsoft.com/office/drawing/2014/main" id="{94C0390B-9D9F-48D2-BCE0-7D099726EE23}"/>
            </a:ext>
          </a:extLst>
        </xdr:cNvPr>
        <xdr:cNvCxnSpPr/>
      </xdr:nvCxnSpPr>
      <xdr:spPr>
        <a:xfrm flipV="1">
          <a:off x="4707291" y="5104673"/>
          <a:ext cx="5266932" cy="2566"/>
        </a:xfrm>
        <a:prstGeom prst="line">
          <a:avLst/>
        </a:prstGeom>
        <a:ln>
          <a:solidFill>
            <a:srgbClr val="ED8855">
              <a:alpha val="17000"/>
            </a:srgb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301980</xdr:colOff>
      <xdr:row>13</xdr:row>
      <xdr:rowOff>17316</xdr:rowOff>
    </xdr:from>
    <xdr:to>
      <xdr:col>10</xdr:col>
      <xdr:colOff>508374</xdr:colOff>
      <xdr:row>15</xdr:row>
      <xdr:rowOff>120401</xdr:rowOff>
    </xdr:to>
    <xdr:sp macro="" textlink="transactions">
      <xdr:nvSpPr>
        <xdr:cNvPr id="34" name="TextBox 33">
          <a:extLst>
            <a:ext uri="{FF2B5EF4-FFF2-40B4-BE49-F238E27FC236}">
              <a16:creationId xmlns:a16="http://schemas.microsoft.com/office/drawing/2014/main" id="{E7CA091D-44C1-4C51-8941-2210FF8A3BFA}"/>
            </a:ext>
          </a:extLst>
        </xdr:cNvPr>
        <xdr:cNvSpPr txBox="1"/>
      </xdr:nvSpPr>
      <xdr:spPr>
        <a:xfrm>
          <a:off x="4573347" y="2532511"/>
          <a:ext cx="2036980" cy="49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COMPLAINTS</a:t>
          </a:r>
          <a:endParaRPr lang="en-NG" sz="28700" b="1">
            <a:solidFill>
              <a:srgbClr val="AEAEAE"/>
            </a:solidFill>
          </a:endParaRPr>
        </a:p>
      </xdr:txBody>
    </xdr:sp>
    <xdr:clientData/>
  </xdr:twoCellAnchor>
  <xdr:twoCellAnchor>
    <xdr:from>
      <xdr:col>7</xdr:col>
      <xdr:colOff>305552</xdr:colOff>
      <xdr:row>26</xdr:row>
      <xdr:rowOff>127356</xdr:rowOff>
    </xdr:from>
    <xdr:to>
      <xdr:col>14</xdr:col>
      <xdr:colOff>330179</xdr:colOff>
      <xdr:row>29</xdr:row>
      <xdr:rowOff>31012</xdr:rowOff>
    </xdr:to>
    <xdr:sp macro="" textlink="transactions">
      <xdr:nvSpPr>
        <xdr:cNvPr id="35" name="TextBox 34">
          <a:extLst>
            <a:ext uri="{FF2B5EF4-FFF2-40B4-BE49-F238E27FC236}">
              <a16:creationId xmlns:a16="http://schemas.microsoft.com/office/drawing/2014/main" id="{D699C1B3-DC11-4EEB-B086-CBCDD3C64B98}"/>
            </a:ext>
          </a:extLst>
        </xdr:cNvPr>
        <xdr:cNvSpPr txBox="1"/>
      </xdr:nvSpPr>
      <xdr:spPr>
        <a:xfrm>
          <a:off x="4576919" y="5157747"/>
          <a:ext cx="4295994" cy="484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HOW CUSTOMER SEGMENT DRIVE REGIONAL COMPLAINT TREND</a:t>
          </a:r>
          <a:endParaRPr lang="en-NG" sz="28700" b="1">
            <a:solidFill>
              <a:srgbClr val="AEAEAE"/>
            </a:solidFill>
          </a:endParaRPr>
        </a:p>
      </xdr:txBody>
    </xdr:sp>
    <xdr:clientData/>
  </xdr:twoCellAnchor>
  <xdr:twoCellAnchor>
    <xdr:from>
      <xdr:col>7</xdr:col>
      <xdr:colOff>250423</xdr:colOff>
      <xdr:row>31</xdr:row>
      <xdr:rowOff>176330</xdr:rowOff>
    </xdr:from>
    <xdr:to>
      <xdr:col>16</xdr:col>
      <xdr:colOff>291717</xdr:colOff>
      <xdr:row>43</xdr:row>
      <xdr:rowOff>101915</xdr:rowOff>
    </xdr:to>
    <xdr:graphicFrame macro="">
      <xdr:nvGraphicFramePr>
        <xdr:cNvPr id="36" name="Chart 35">
          <a:extLst>
            <a:ext uri="{FF2B5EF4-FFF2-40B4-BE49-F238E27FC236}">
              <a16:creationId xmlns:a16="http://schemas.microsoft.com/office/drawing/2014/main" id="{E50EC1DB-D5C3-42B0-910B-1A5C9425C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228978</xdr:colOff>
      <xdr:row>15</xdr:row>
      <xdr:rowOff>155557</xdr:rowOff>
    </xdr:from>
    <xdr:to>
      <xdr:col>16</xdr:col>
      <xdr:colOff>465690</xdr:colOff>
      <xdr:row>26</xdr:row>
      <xdr:rowOff>104096</xdr:rowOff>
    </xdr:to>
    <xdr:graphicFrame macro="">
      <xdr:nvGraphicFramePr>
        <xdr:cNvPr id="25" name="Chart 24">
          <a:extLst>
            <a:ext uri="{FF2B5EF4-FFF2-40B4-BE49-F238E27FC236}">
              <a16:creationId xmlns:a16="http://schemas.microsoft.com/office/drawing/2014/main" id="{F934793E-9DE9-4938-A185-D6B956496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324562</xdr:colOff>
      <xdr:row>30</xdr:row>
      <xdr:rowOff>165336</xdr:rowOff>
    </xdr:from>
    <xdr:to>
      <xdr:col>16</xdr:col>
      <xdr:colOff>279593</xdr:colOff>
      <xdr:row>32</xdr:row>
      <xdr:rowOff>165336</xdr:rowOff>
    </xdr:to>
    <mc:AlternateContent xmlns:mc="http://schemas.openxmlformats.org/markup-compatibility/2006" xmlns:a14="http://schemas.microsoft.com/office/drawing/2010/main">
      <mc:Choice Requires="a14">
        <xdr:graphicFrame macro="">
          <xdr:nvGraphicFramePr>
            <xdr:cNvPr id="30" name="Region 1">
              <a:extLst>
                <a:ext uri="{FF2B5EF4-FFF2-40B4-BE49-F238E27FC236}">
                  <a16:creationId xmlns:a16="http://schemas.microsoft.com/office/drawing/2014/main" id="{DEAE1507-040C-4042-A21E-85BFD154392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036710" y="5969633"/>
              <a:ext cx="3006008" cy="38695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291716</xdr:colOff>
      <xdr:row>16</xdr:row>
      <xdr:rowOff>107123</xdr:rowOff>
    </xdr:from>
    <xdr:to>
      <xdr:col>16</xdr:col>
      <xdr:colOff>439519</xdr:colOff>
      <xdr:row>26</xdr:row>
      <xdr:rowOff>121725</xdr:rowOff>
    </xdr:to>
    <xdr:graphicFrame macro="">
      <xdr:nvGraphicFramePr>
        <xdr:cNvPr id="27" name="Chart 26">
          <a:extLst>
            <a:ext uri="{FF2B5EF4-FFF2-40B4-BE49-F238E27FC236}">
              <a16:creationId xmlns:a16="http://schemas.microsoft.com/office/drawing/2014/main" id="{0CAEDE3E-4DFD-4FCF-B9C5-A09219964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505207</xdr:colOff>
      <xdr:row>16</xdr:row>
      <xdr:rowOff>136380</xdr:rowOff>
    </xdr:from>
    <xdr:to>
      <xdr:col>28</xdr:col>
      <xdr:colOff>324561</xdr:colOff>
      <xdr:row>26</xdr:row>
      <xdr:rowOff>136379</xdr:rowOff>
    </xdr:to>
    <xdr:graphicFrame macro="">
      <xdr:nvGraphicFramePr>
        <xdr:cNvPr id="32" name="Chart 31">
          <a:extLst>
            <a:ext uri="{FF2B5EF4-FFF2-40B4-BE49-F238E27FC236}">
              <a16:creationId xmlns:a16="http://schemas.microsoft.com/office/drawing/2014/main" id="{781F9BA9-705B-4F9F-A09D-AD462231D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79717</xdr:colOff>
      <xdr:row>14</xdr:row>
      <xdr:rowOff>29632</xdr:rowOff>
    </xdr:from>
    <xdr:to>
      <xdr:col>30</xdr:col>
      <xdr:colOff>145407</xdr:colOff>
      <xdr:row>17</xdr:row>
      <xdr:rowOff>132227</xdr:rowOff>
    </xdr:to>
    <xdr:sp macro="" textlink="">
      <xdr:nvSpPr>
        <xdr:cNvPr id="33" name="TextBox 32">
          <a:extLst>
            <a:ext uri="{FF2B5EF4-FFF2-40B4-BE49-F238E27FC236}">
              <a16:creationId xmlns:a16="http://schemas.microsoft.com/office/drawing/2014/main" id="{97F30903-8265-4C28-827F-E6140567A09D}"/>
            </a:ext>
          </a:extLst>
        </xdr:cNvPr>
        <xdr:cNvSpPr txBox="1"/>
      </xdr:nvSpPr>
      <xdr:spPr>
        <a:xfrm>
          <a:off x="14114209" y="2738304"/>
          <a:ext cx="4337057" cy="68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1">
              <a:solidFill>
                <a:schemeClr val="bg2">
                  <a:lumMod val="50000"/>
                </a:schemeClr>
              </a:solidFill>
            </a:rPr>
            <a:t>59% of all the colplaints have been Resolved; 41% remains unsolved</a:t>
          </a:r>
          <a:endParaRPr lang="en-NG" sz="1400" b="1" i="1">
            <a:solidFill>
              <a:schemeClr val="bg2">
                <a:lumMod val="50000"/>
              </a:schemeClr>
            </a:solidFill>
          </a:endParaRPr>
        </a:p>
      </xdr:txBody>
    </xdr:sp>
    <xdr:clientData/>
  </xdr:twoCellAnchor>
  <xdr:twoCellAnchor>
    <xdr:from>
      <xdr:col>23</xdr:col>
      <xdr:colOff>98967</xdr:colOff>
      <xdr:row>29</xdr:row>
      <xdr:rowOff>108124</xdr:rowOff>
    </xdr:from>
    <xdr:to>
      <xdr:col>23</xdr:col>
      <xdr:colOff>143616</xdr:colOff>
      <xdr:row>40</xdr:row>
      <xdr:rowOff>351</xdr:rowOff>
    </xdr:to>
    <xdr:cxnSp macro="">
      <xdr:nvCxnSpPr>
        <xdr:cNvPr id="38" name="Straight Connector 37">
          <a:extLst>
            <a:ext uri="{FF2B5EF4-FFF2-40B4-BE49-F238E27FC236}">
              <a16:creationId xmlns:a16="http://schemas.microsoft.com/office/drawing/2014/main" id="{A0EC8212-8CB5-4683-8BBA-0930EDD14A7C}"/>
            </a:ext>
          </a:extLst>
        </xdr:cNvPr>
        <xdr:cNvCxnSpPr/>
      </xdr:nvCxnSpPr>
      <xdr:spPr>
        <a:xfrm rot="60000">
          <a:off x="14133459" y="5718944"/>
          <a:ext cx="44649" cy="2020470"/>
        </a:xfrm>
        <a:prstGeom prst="line">
          <a:avLst/>
        </a:prstGeom>
        <a:ln>
          <a:solidFill>
            <a:srgbClr val="ED8855">
              <a:alpha val="17000"/>
            </a:srgb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307110</xdr:colOff>
      <xdr:row>14</xdr:row>
      <xdr:rowOff>50161</xdr:rowOff>
    </xdr:from>
    <xdr:to>
      <xdr:col>14</xdr:col>
      <xdr:colOff>372800</xdr:colOff>
      <xdr:row>17</xdr:row>
      <xdr:rowOff>149780</xdr:rowOff>
    </xdr:to>
    <xdr:sp macro="" textlink="">
      <xdr:nvSpPr>
        <xdr:cNvPr id="39" name="TextBox 38">
          <a:extLst>
            <a:ext uri="{FF2B5EF4-FFF2-40B4-BE49-F238E27FC236}">
              <a16:creationId xmlns:a16="http://schemas.microsoft.com/office/drawing/2014/main" id="{CCC5A87D-58AF-445F-A98D-1FD109B6309E}"/>
            </a:ext>
          </a:extLst>
        </xdr:cNvPr>
        <xdr:cNvSpPr txBox="1"/>
      </xdr:nvSpPr>
      <xdr:spPr>
        <a:xfrm>
          <a:off x="4578477" y="2758833"/>
          <a:ext cx="4337057" cy="68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1">
              <a:solidFill>
                <a:schemeClr val="bg2">
                  <a:lumMod val="50000"/>
                </a:schemeClr>
              </a:solidFill>
            </a:rPr>
            <a:t>Compared</a:t>
          </a:r>
          <a:r>
            <a:rPr lang="en-GB" sz="1400" b="1" i="1" baseline="0">
              <a:solidFill>
                <a:schemeClr val="bg2">
                  <a:lumMod val="50000"/>
                </a:schemeClr>
              </a:solidFill>
            </a:rPr>
            <a:t> to 2024, complaints decreased by -28%</a:t>
          </a:r>
          <a:endParaRPr lang="en-NG" sz="1400" b="1" i="1">
            <a:solidFill>
              <a:schemeClr val="bg2">
                <a:lumMod val="50000"/>
              </a:schemeClr>
            </a:solidFill>
          </a:endParaRPr>
        </a:p>
      </xdr:txBody>
    </xdr:sp>
    <xdr:clientData/>
  </xdr:twoCellAnchor>
  <xdr:twoCellAnchor>
    <xdr:from>
      <xdr:col>14</xdr:col>
      <xdr:colOff>522593</xdr:colOff>
      <xdr:row>13</xdr:row>
      <xdr:rowOff>70241</xdr:rowOff>
    </xdr:from>
    <xdr:to>
      <xdr:col>18</xdr:col>
      <xdr:colOff>122850</xdr:colOff>
      <xdr:row>15</xdr:row>
      <xdr:rowOff>173942</xdr:rowOff>
    </xdr:to>
    <xdr:sp macro="" textlink="complaints">
      <xdr:nvSpPr>
        <xdr:cNvPr id="16" name="TextBox 15">
          <a:extLst>
            <a:ext uri="{FF2B5EF4-FFF2-40B4-BE49-F238E27FC236}">
              <a16:creationId xmlns:a16="http://schemas.microsoft.com/office/drawing/2014/main" id="{89C47784-5B7C-4AB2-99BD-9243613A3E1B}"/>
            </a:ext>
          </a:extLst>
        </xdr:cNvPr>
        <xdr:cNvSpPr txBox="1"/>
      </xdr:nvSpPr>
      <xdr:spPr>
        <a:xfrm>
          <a:off x="9065327" y="2585436"/>
          <a:ext cx="2041039" cy="4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F18508-5720-4C45-8E6D-D455ED98D359}" type="TxLink">
            <a:rPr lang="en-US" sz="3600" b="1" i="0" u="none" strike="noStrike">
              <a:solidFill>
                <a:srgbClr val="FF0000"/>
              </a:solidFill>
              <a:latin typeface="Aptos Narrow"/>
            </a:rPr>
            <a:pPr/>
            <a:t>800</a:t>
          </a:fld>
          <a:endParaRPr lang="en-US" sz="4000" b="1" i="0" u="none" strike="noStrike">
            <a:solidFill>
              <a:srgbClr val="FF0000"/>
            </a:solidFill>
            <a:latin typeface="Aptos Narrow"/>
          </a:endParaRPr>
        </a:p>
      </xdr:txBody>
    </xdr:sp>
    <xdr:clientData/>
  </xdr:twoCellAnchor>
  <xdr:twoCellAnchor>
    <xdr:from>
      <xdr:col>11</xdr:col>
      <xdr:colOff>465095</xdr:colOff>
      <xdr:row>6</xdr:row>
      <xdr:rowOff>84588</xdr:rowOff>
    </xdr:from>
    <xdr:to>
      <xdr:col>15</xdr:col>
      <xdr:colOff>65353</xdr:colOff>
      <xdr:row>8</xdr:row>
      <xdr:rowOff>184695</xdr:rowOff>
    </xdr:to>
    <xdr:sp macro="" textlink="transactions">
      <xdr:nvSpPr>
        <xdr:cNvPr id="41" name="TextBox 40">
          <a:extLst>
            <a:ext uri="{FF2B5EF4-FFF2-40B4-BE49-F238E27FC236}">
              <a16:creationId xmlns:a16="http://schemas.microsoft.com/office/drawing/2014/main" id="{3DB43D73-ADE9-4EE7-B77C-FD9941628005}"/>
            </a:ext>
          </a:extLst>
        </xdr:cNvPr>
        <xdr:cNvSpPr txBox="1"/>
      </xdr:nvSpPr>
      <xdr:spPr>
        <a:xfrm>
          <a:off x="7177243" y="1245447"/>
          <a:ext cx="2041040" cy="48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AVG. RESOLUTION TIME</a:t>
          </a:r>
          <a:endParaRPr lang="en-NG" sz="28700" b="1">
            <a:solidFill>
              <a:srgbClr val="AEAEAE"/>
            </a:solidFill>
          </a:endParaRPr>
        </a:p>
      </xdr:txBody>
    </xdr:sp>
    <xdr:clientData/>
  </xdr:twoCellAnchor>
  <xdr:twoCellAnchor>
    <xdr:from>
      <xdr:col>11</xdr:col>
      <xdr:colOff>543079</xdr:colOff>
      <xdr:row>7</xdr:row>
      <xdr:rowOff>177500</xdr:rowOff>
    </xdr:from>
    <xdr:to>
      <xdr:col>15</xdr:col>
      <xdr:colOff>143337</xdr:colOff>
      <xdr:row>10</xdr:row>
      <xdr:rowOff>87724</xdr:rowOff>
    </xdr:to>
    <xdr:sp macro="" textlink="resolutiion">
      <xdr:nvSpPr>
        <xdr:cNvPr id="42" name="TextBox 41">
          <a:extLst>
            <a:ext uri="{FF2B5EF4-FFF2-40B4-BE49-F238E27FC236}">
              <a16:creationId xmlns:a16="http://schemas.microsoft.com/office/drawing/2014/main" id="{7D5CED55-7E5C-4580-BD2F-67F17EE51757}"/>
            </a:ext>
          </a:extLst>
        </xdr:cNvPr>
        <xdr:cNvSpPr txBox="1"/>
      </xdr:nvSpPr>
      <xdr:spPr>
        <a:xfrm>
          <a:off x="7255227" y="1531836"/>
          <a:ext cx="2041040" cy="490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635B1F-8B22-4296-B827-0EC0A2ABA175}" type="TxLink">
            <a:rPr lang="en-US" sz="3600" b="1" i="0" u="none" strike="noStrike">
              <a:solidFill>
                <a:srgbClr val="FF0000"/>
              </a:solidFill>
              <a:latin typeface="Aptos Narrow"/>
            </a:rPr>
            <a:pPr/>
            <a:t>34</a:t>
          </a:fld>
          <a:endParaRPr lang="en-US" sz="41300" b="1" i="0" u="none" strike="noStrike">
            <a:solidFill>
              <a:srgbClr val="FF0000"/>
            </a:solidFill>
            <a:latin typeface="Aptos Narrow"/>
          </a:endParaRPr>
        </a:p>
      </xdr:txBody>
    </xdr:sp>
    <xdr:clientData/>
  </xdr:twoCellAnchor>
  <xdr:twoCellAnchor>
    <xdr:from>
      <xdr:col>12</xdr:col>
      <xdr:colOff>438903</xdr:colOff>
      <xdr:row>9</xdr:row>
      <xdr:rowOff>58393</xdr:rowOff>
    </xdr:from>
    <xdr:to>
      <xdr:col>14</xdr:col>
      <xdr:colOff>316864</xdr:colOff>
      <xdr:row>10</xdr:row>
      <xdr:rowOff>181027</xdr:rowOff>
    </xdr:to>
    <xdr:sp macro="" textlink="transactions">
      <xdr:nvSpPr>
        <xdr:cNvPr id="43" name="TextBox 42">
          <a:extLst>
            <a:ext uri="{FF2B5EF4-FFF2-40B4-BE49-F238E27FC236}">
              <a16:creationId xmlns:a16="http://schemas.microsoft.com/office/drawing/2014/main" id="{F2D58F16-D8CB-4C3C-B38D-997CDA2B673A}"/>
            </a:ext>
          </a:extLst>
        </xdr:cNvPr>
        <xdr:cNvSpPr txBox="1"/>
      </xdr:nvSpPr>
      <xdr:spPr>
        <a:xfrm>
          <a:off x="7761247" y="1799682"/>
          <a:ext cx="1098351" cy="316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FF0000"/>
              </a:solidFill>
              <a:latin typeface="Aptos Narrow"/>
            </a:rPr>
            <a:t>Days</a:t>
          </a:r>
          <a:endParaRPr lang="en-NG" sz="34400" b="1">
            <a:solidFill>
              <a:srgbClr val="FF0000"/>
            </a:solidFill>
          </a:endParaRPr>
        </a:p>
      </xdr:txBody>
    </xdr:sp>
    <xdr:clientData/>
  </xdr:twoCellAnchor>
  <xdr:twoCellAnchor>
    <xdr:from>
      <xdr:col>6</xdr:col>
      <xdr:colOff>347751</xdr:colOff>
      <xdr:row>39</xdr:row>
      <xdr:rowOff>161070</xdr:rowOff>
    </xdr:from>
    <xdr:to>
      <xdr:col>7</xdr:col>
      <xdr:colOff>74917</xdr:colOff>
      <xdr:row>41</xdr:row>
      <xdr:rowOff>113559</xdr:rowOff>
    </xdr:to>
    <xdr:pic>
      <xdr:nvPicPr>
        <xdr:cNvPr id="45" name="Picture 44">
          <a:extLst>
            <a:ext uri="{FF2B5EF4-FFF2-40B4-BE49-F238E27FC236}">
              <a16:creationId xmlns:a16="http://schemas.microsoft.com/office/drawing/2014/main" id="{ECFAEC2B-BD2E-43CE-8848-435241707FA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008923" y="7706656"/>
          <a:ext cx="337361" cy="339442"/>
        </a:xfrm>
        <a:prstGeom prst="rect">
          <a:avLst/>
        </a:prstGeom>
      </xdr:spPr>
    </xdr:pic>
    <xdr:clientData/>
  </xdr:twoCellAnchor>
  <xdr:twoCellAnchor editAs="oneCell">
    <xdr:from>
      <xdr:col>6</xdr:col>
      <xdr:colOff>295594</xdr:colOff>
      <xdr:row>18</xdr:row>
      <xdr:rowOff>98670</xdr:rowOff>
    </xdr:from>
    <xdr:to>
      <xdr:col>7</xdr:col>
      <xdr:colOff>28969</xdr:colOff>
      <xdr:row>20</xdr:row>
      <xdr:rowOff>41308</xdr:rowOff>
    </xdr:to>
    <xdr:pic>
      <xdr:nvPicPr>
        <xdr:cNvPr id="46" name="Picture 45">
          <a:hlinkClick xmlns:r="http://schemas.openxmlformats.org/officeDocument/2006/relationships" r:id="rId7"/>
          <a:extLst>
            <a:ext uri="{FF2B5EF4-FFF2-40B4-BE49-F238E27FC236}">
              <a16:creationId xmlns:a16="http://schemas.microsoft.com/office/drawing/2014/main" id="{AF0DA0DC-2AC7-4917-9A12-C8C3A73325C3}"/>
            </a:ext>
          </a:extLst>
        </xdr:cNvPr>
        <xdr:cNvPicPr>
          <a:picLocks noChangeAspect="1"/>
        </xdr:cNvPicPr>
      </xdr:nvPicPr>
      <xdr:blipFill>
        <a:blip xmlns:r="http://schemas.openxmlformats.org/officeDocument/2006/relationships" r:embed="rId8">
          <a:duotone>
            <a:schemeClr val="bg2">
              <a:shade val="45000"/>
              <a:satMod val="135000"/>
            </a:schemeClr>
            <a:prstClr val="white"/>
          </a:duotone>
          <a:alphaModFix amt="15000"/>
          <a:extLst>
            <a:ext uri="{BEBA8EAE-BF5A-486C-A8C5-ECC9F3942E4B}">
              <a14:imgProps xmlns:a14="http://schemas.microsoft.com/office/drawing/2010/main">
                <a14:imgLayer r:embed="rId9">
                  <a14:imgEffect>
                    <a14:saturation sat="0"/>
                  </a14:imgEffect>
                </a14:imgLayer>
              </a14:imgProps>
            </a:ext>
            <a:ext uri="{28A0092B-C50C-407E-A947-70E740481C1C}">
              <a14:useLocalDpi xmlns:a14="http://schemas.microsoft.com/office/drawing/2010/main" val="0"/>
            </a:ext>
          </a:extLst>
        </a:blip>
        <a:stretch>
          <a:fillRect/>
        </a:stretch>
      </xdr:blipFill>
      <xdr:spPr>
        <a:xfrm>
          <a:off x="3956766" y="3581248"/>
          <a:ext cx="343570" cy="329591"/>
        </a:xfrm>
        <a:prstGeom prst="rect">
          <a:avLst/>
        </a:prstGeom>
      </xdr:spPr>
    </xdr:pic>
    <xdr:clientData/>
  </xdr:twoCellAnchor>
  <xdr:twoCellAnchor editAs="oneCell">
    <xdr:from>
      <xdr:col>6</xdr:col>
      <xdr:colOff>283146</xdr:colOff>
      <xdr:row>10</xdr:row>
      <xdr:rowOff>177712</xdr:rowOff>
    </xdr:from>
    <xdr:to>
      <xdr:col>7</xdr:col>
      <xdr:colOff>30268</xdr:colOff>
      <xdr:row>12</xdr:row>
      <xdr:rowOff>136661</xdr:rowOff>
    </xdr:to>
    <xdr:pic>
      <xdr:nvPicPr>
        <xdr:cNvPr id="47" name="Picture 46">
          <a:hlinkClick xmlns:r="http://schemas.openxmlformats.org/officeDocument/2006/relationships" r:id="rId10"/>
          <a:extLst>
            <a:ext uri="{FF2B5EF4-FFF2-40B4-BE49-F238E27FC236}">
              <a16:creationId xmlns:a16="http://schemas.microsoft.com/office/drawing/2014/main" id="{E4A5F436-0E66-4DCD-9160-9EB77EE46F54}"/>
            </a:ext>
          </a:extLst>
        </xdr:cNvPr>
        <xdr:cNvPicPr>
          <a:picLocks noChangeAspect="1"/>
        </xdr:cNvPicPr>
      </xdr:nvPicPr>
      <xdr:blipFill>
        <a:blip xmlns:r="http://schemas.openxmlformats.org/officeDocument/2006/relationships" r:embed="rId11">
          <a:duotone>
            <a:schemeClr val="bg2">
              <a:shade val="45000"/>
              <a:satMod val="135000"/>
            </a:schemeClr>
            <a:prstClr val="white"/>
          </a:duotone>
          <a:alphaModFix amt="15000"/>
          <a:extLst>
            <a:ext uri="{28A0092B-C50C-407E-A947-70E740481C1C}">
              <a14:useLocalDpi xmlns:a14="http://schemas.microsoft.com/office/drawing/2010/main" val="0"/>
            </a:ext>
          </a:extLst>
        </a:blip>
        <a:stretch>
          <a:fillRect/>
        </a:stretch>
      </xdr:blipFill>
      <xdr:spPr>
        <a:xfrm>
          <a:off x="3944318" y="2112478"/>
          <a:ext cx="357317" cy="345902"/>
        </a:xfrm>
        <a:prstGeom prst="rect">
          <a:avLst/>
        </a:prstGeom>
      </xdr:spPr>
    </xdr:pic>
    <xdr:clientData/>
  </xdr:twoCellAnchor>
  <xdr:twoCellAnchor editAs="oneCell">
    <xdr:from>
      <xdr:col>6</xdr:col>
      <xdr:colOff>317784</xdr:colOff>
      <xdr:row>14</xdr:row>
      <xdr:rowOff>132213</xdr:rowOff>
    </xdr:from>
    <xdr:to>
      <xdr:col>7</xdr:col>
      <xdr:colOff>65259</xdr:colOff>
      <xdr:row>16</xdr:row>
      <xdr:rowOff>109402</xdr:rowOff>
    </xdr:to>
    <xdr:pic>
      <xdr:nvPicPr>
        <xdr:cNvPr id="49" name="Picture 48">
          <a:hlinkClick xmlns:r="http://schemas.openxmlformats.org/officeDocument/2006/relationships" r:id="rId12"/>
          <a:extLst>
            <a:ext uri="{FF2B5EF4-FFF2-40B4-BE49-F238E27FC236}">
              <a16:creationId xmlns:a16="http://schemas.microsoft.com/office/drawing/2014/main" id="{355A40CA-09D6-4979-9540-3F99531F7AD0}"/>
            </a:ext>
          </a:extLst>
        </xdr:cNvPr>
        <xdr:cNvPicPr>
          <a:picLocks noChangeAspect="1"/>
        </xdr:cNvPicPr>
      </xdr:nvPicPr>
      <xdr:blipFill>
        <a:blip xmlns:r="http://schemas.openxmlformats.org/officeDocument/2006/relationships" r:embed="rId13">
          <a:duotone>
            <a:schemeClr val="bg2">
              <a:shade val="45000"/>
              <a:satMod val="135000"/>
            </a:schemeClr>
            <a:prstClr val="white"/>
          </a:duotone>
          <a:alphaModFix amt="15000"/>
          <a:extLst>
            <a:ext uri="{28A0092B-C50C-407E-A947-70E740481C1C}">
              <a14:useLocalDpi xmlns:a14="http://schemas.microsoft.com/office/drawing/2010/main" val="0"/>
            </a:ext>
          </a:extLst>
        </a:blip>
        <a:stretch>
          <a:fillRect/>
        </a:stretch>
      </xdr:blipFill>
      <xdr:spPr>
        <a:xfrm>
          <a:off x="3978956" y="2840885"/>
          <a:ext cx="357670" cy="364142"/>
        </a:xfrm>
        <a:prstGeom prst="rect">
          <a:avLst/>
        </a:prstGeom>
      </xdr:spPr>
    </xdr:pic>
    <xdr:clientData/>
  </xdr:twoCellAnchor>
  <xdr:twoCellAnchor editAs="oneCell">
    <xdr:from>
      <xdr:col>6</xdr:col>
      <xdr:colOff>330373</xdr:colOff>
      <xdr:row>7</xdr:row>
      <xdr:rowOff>104096</xdr:rowOff>
    </xdr:from>
    <xdr:to>
      <xdr:col>6</xdr:col>
      <xdr:colOff>605176</xdr:colOff>
      <xdr:row>9</xdr:row>
      <xdr:rowOff>7865</xdr:rowOff>
    </xdr:to>
    <xdr:pic>
      <xdr:nvPicPr>
        <xdr:cNvPr id="51" name="Picture 50">
          <a:hlinkClick xmlns:r="http://schemas.openxmlformats.org/officeDocument/2006/relationships" r:id="rId14"/>
          <a:extLst>
            <a:ext uri="{FF2B5EF4-FFF2-40B4-BE49-F238E27FC236}">
              <a16:creationId xmlns:a16="http://schemas.microsoft.com/office/drawing/2014/main" id="{2D0E36D4-C255-48A3-9A13-562E83529ECE}"/>
            </a:ext>
          </a:extLst>
        </xdr:cNvPr>
        <xdr:cNvPicPr>
          <a:picLocks noChangeAspect="1"/>
        </xdr:cNvPicPr>
      </xdr:nvPicPr>
      <xdr:blipFill>
        <a:blip xmlns:r="http://schemas.openxmlformats.org/officeDocument/2006/relationships" r:embed="rId15">
          <a:alphaModFix amt="16000"/>
          <a:extLst>
            <a:ext uri="{28A0092B-C50C-407E-A947-70E740481C1C}">
              <a14:useLocalDpi xmlns:a14="http://schemas.microsoft.com/office/drawing/2010/main" val="0"/>
            </a:ext>
          </a:extLst>
        </a:blip>
        <a:stretch>
          <a:fillRect/>
        </a:stretch>
      </xdr:blipFill>
      <xdr:spPr>
        <a:xfrm>
          <a:off x="3991545" y="1458432"/>
          <a:ext cx="274803" cy="290722"/>
        </a:xfrm>
        <a:prstGeom prst="rect">
          <a:avLst/>
        </a:prstGeom>
      </xdr:spPr>
    </xdr:pic>
    <xdr:clientData/>
  </xdr:twoCellAnchor>
  <xdr:twoCellAnchor editAs="oneCell">
    <xdr:from>
      <xdr:col>26</xdr:col>
      <xdr:colOff>374334</xdr:colOff>
      <xdr:row>7</xdr:row>
      <xdr:rowOff>23092</xdr:rowOff>
    </xdr:from>
    <xdr:to>
      <xdr:col>27</xdr:col>
      <xdr:colOff>134544</xdr:colOff>
      <xdr:row>9</xdr:row>
      <xdr:rowOff>8439</xdr:rowOff>
    </xdr:to>
    <xdr:pic>
      <xdr:nvPicPr>
        <xdr:cNvPr id="53" name="Picture 52">
          <a:extLst>
            <a:ext uri="{FF2B5EF4-FFF2-40B4-BE49-F238E27FC236}">
              <a16:creationId xmlns:a16="http://schemas.microsoft.com/office/drawing/2014/main" id="{3F09ACDB-652F-FEED-2521-F44D957840FA}"/>
            </a:ext>
          </a:extLst>
        </xdr:cNvPr>
        <xdr:cNvPicPr>
          <a:picLocks noChangeAspect="1"/>
        </xdr:cNvPicPr>
      </xdr:nvPicPr>
      <xdr:blipFill>
        <a:blip xmlns:r="http://schemas.openxmlformats.org/officeDocument/2006/relationships" r:embed="rId16">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6239412" y="1377428"/>
          <a:ext cx="370405" cy="372300"/>
        </a:xfrm>
        <a:prstGeom prst="rect">
          <a:avLst/>
        </a:prstGeom>
      </xdr:spPr>
    </xdr:pic>
    <xdr:clientData/>
  </xdr:twoCellAnchor>
  <xdr:twoCellAnchor editAs="oneCell">
    <xdr:from>
      <xdr:col>22</xdr:col>
      <xdr:colOff>369242</xdr:colOff>
      <xdr:row>7</xdr:row>
      <xdr:rowOff>68888</xdr:rowOff>
    </xdr:from>
    <xdr:to>
      <xdr:col>23</xdr:col>
      <xdr:colOff>83658</xdr:colOff>
      <xdr:row>9</xdr:row>
      <xdr:rowOff>8440</xdr:rowOff>
    </xdr:to>
    <xdr:pic>
      <xdr:nvPicPr>
        <xdr:cNvPr id="55" name="Picture 54">
          <a:extLst>
            <a:ext uri="{FF2B5EF4-FFF2-40B4-BE49-F238E27FC236}">
              <a16:creationId xmlns:a16="http://schemas.microsoft.com/office/drawing/2014/main" id="{4EC2AE68-FC77-5DA9-85F3-E537D750E6C4}"/>
            </a:ext>
          </a:extLst>
        </xdr:cNvPr>
        <xdr:cNvPicPr>
          <a:picLocks noChangeAspect="1"/>
        </xdr:cNvPicPr>
      </xdr:nvPicPr>
      <xdr:blipFill>
        <a:blip xmlns:r="http://schemas.openxmlformats.org/officeDocument/2006/relationships" r:embed="rId13">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3793539" y="1423224"/>
          <a:ext cx="324611" cy="326505"/>
        </a:xfrm>
        <a:prstGeom prst="rect">
          <a:avLst/>
        </a:prstGeom>
      </xdr:spPr>
    </xdr:pic>
    <xdr:clientData/>
  </xdr:twoCellAnchor>
  <xdr:twoCellAnchor editAs="oneCell">
    <xdr:from>
      <xdr:col>18</xdr:col>
      <xdr:colOff>188072</xdr:colOff>
      <xdr:row>7</xdr:row>
      <xdr:rowOff>16172</xdr:rowOff>
    </xdr:from>
    <xdr:to>
      <xdr:col>18</xdr:col>
      <xdr:colOff>552015</xdr:colOff>
      <xdr:row>9</xdr:row>
      <xdr:rowOff>8440</xdr:rowOff>
    </xdr:to>
    <xdr:pic>
      <xdr:nvPicPr>
        <xdr:cNvPr id="57" name="Picture 56">
          <a:extLst>
            <a:ext uri="{FF2B5EF4-FFF2-40B4-BE49-F238E27FC236}">
              <a16:creationId xmlns:a16="http://schemas.microsoft.com/office/drawing/2014/main" id="{9F6E2411-425A-D8E1-D2A7-F64AD150C947}"/>
            </a:ext>
          </a:extLst>
        </xdr:cNvPr>
        <xdr:cNvPicPr>
          <a:picLocks noChangeAspect="1"/>
        </xdr:cNvPicPr>
      </xdr:nvPicPr>
      <xdr:blipFill>
        <a:blip xmlns:r="http://schemas.openxmlformats.org/officeDocument/2006/relationships" r:embed="rId17">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1171588" y="1370508"/>
          <a:ext cx="363943" cy="379221"/>
        </a:xfrm>
        <a:prstGeom prst="rect">
          <a:avLst/>
        </a:prstGeom>
      </xdr:spPr>
    </xdr:pic>
    <xdr:clientData/>
  </xdr:twoCellAnchor>
  <xdr:twoCellAnchor editAs="oneCell">
    <xdr:from>
      <xdr:col>14</xdr:col>
      <xdr:colOff>288243</xdr:colOff>
      <xdr:row>7</xdr:row>
      <xdr:rowOff>68888</xdr:rowOff>
    </xdr:from>
    <xdr:to>
      <xdr:col>15</xdr:col>
      <xdr:colOff>2659</xdr:colOff>
      <xdr:row>9</xdr:row>
      <xdr:rowOff>8440</xdr:rowOff>
    </xdr:to>
    <xdr:pic>
      <xdr:nvPicPr>
        <xdr:cNvPr id="59" name="Picture 58">
          <a:extLst>
            <a:ext uri="{FF2B5EF4-FFF2-40B4-BE49-F238E27FC236}">
              <a16:creationId xmlns:a16="http://schemas.microsoft.com/office/drawing/2014/main" id="{E765AF75-74BB-AD31-5F39-19FFC67A2DC9}"/>
            </a:ext>
          </a:extLst>
        </xdr:cNvPr>
        <xdr:cNvPicPr>
          <a:picLocks noChangeAspect="1"/>
        </xdr:cNvPicPr>
      </xdr:nvPicPr>
      <xdr:blipFill>
        <a:blip xmlns:r="http://schemas.openxmlformats.org/officeDocument/2006/relationships" r:embed="rId18">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830977" y="1423224"/>
          <a:ext cx="324612" cy="326505"/>
        </a:xfrm>
        <a:prstGeom prst="rect">
          <a:avLst/>
        </a:prstGeom>
      </xdr:spPr>
    </xdr:pic>
    <xdr:clientData/>
  </xdr:twoCellAnchor>
  <xdr:twoCellAnchor editAs="oneCell">
    <xdr:from>
      <xdr:col>10</xdr:col>
      <xdr:colOff>271757</xdr:colOff>
      <xdr:row>7</xdr:row>
      <xdr:rowOff>29613</xdr:rowOff>
    </xdr:from>
    <xdr:to>
      <xdr:col>11</xdr:col>
      <xdr:colOff>25448</xdr:colOff>
      <xdr:row>9</xdr:row>
      <xdr:rowOff>8440</xdr:rowOff>
    </xdr:to>
    <xdr:pic>
      <xdr:nvPicPr>
        <xdr:cNvPr id="61" name="Picture 60">
          <a:extLst>
            <a:ext uri="{FF2B5EF4-FFF2-40B4-BE49-F238E27FC236}">
              <a16:creationId xmlns:a16="http://schemas.microsoft.com/office/drawing/2014/main" id="{79A87F43-BCCF-B584-32F3-69748CB1A3BC}"/>
            </a:ext>
          </a:extLst>
        </xdr:cNvPr>
        <xdr:cNvPicPr>
          <a:picLocks noChangeAspect="1"/>
        </xdr:cNvPicPr>
      </xdr:nvPicPr>
      <xdr:blipFill>
        <a:blip xmlns:r="http://schemas.openxmlformats.org/officeDocument/2006/relationships" r:embed="rId19">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6373710" y="1383949"/>
          <a:ext cx="363886" cy="365780"/>
        </a:xfrm>
        <a:prstGeom prst="rect">
          <a:avLst/>
        </a:prstGeom>
      </xdr:spPr>
    </xdr:pic>
    <xdr:clientData/>
  </xdr:twoCellAnchor>
  <xdr:twoCellAnchor>
    <xdr:from>
      <xdr:col>16</xdr:col>
      <xdr:colOff>563554</xdr:colOff>
      <xdr:row>26</xdr:row>
      <xdr:rowOff>169820</xdr:rowOff>
    </xdr:from>
    <xdr:to>
      <xdr:col>23</xdr:col>
      <xdr:colOff>222466</xdr:colOff>
      <xdr:row>29</xdr:row>
      <xdr:rowOff>76452</xdr:rowOff>
    </xdr:to>
    <xdr:sp macro="" textlink="transactions">
      <xdr:nvSpPr>
        <xdr:cNvPr id="62" name="TextBox 61">
          <a:extLst>
            <a:ext uri="{FF2B5EF4-FFF2-40B4-BE49-F238E27FC236}">
              <a16:creationId xmlns:a16="http://schemas.microsoft.com/office/drawing/2014/main" id="{6DA50BB9-4C91-48A1-91CA-2A471BC645A0}"/>
            </a:ext>
          </a:extLst>
        </xdr:cNvPr>
        <xdr:cNvSpPr txBox="1"/>
      </xdr:nvSpPr>
      <xdr:spPr>
        <a:xfrm>
          <a:off x="10326679" y="5200211"/>
          <a:ext cx="3930279" cy="48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AEAEAE"/>
              </a:solidFill>
              <a:latin typeface="Aptos Narrow"/>
            </a:rPr>
            <a:t>WHICH</a:t>
          </a:r>
          <a:r>
            <a:rPr lang="en-US" sz="1200" b="1" i="0" u="none" strike="noStrike" baseline="0">
              <a:solidFill>
                <a:srgbClr val="AEAEAE"/>
              </a:solidFill>
              <a:latin typeface="Aptos Narrow"/>
            </a:rPr>
            <a:t> PRODUCTS DRIVE WHICH COMPLAINTS</a:t>
          </a:r>
          <a:r>
            <a:rPr lang="en-US" sz="1400" b="1" i="0" u="none" strike="noStrike" baseline="0">
              <a:solidFill>
                <a:srgbClr val="AEAEAE"/>
              </a:solidFill>
              <a:latin typeface="Aptos Narrow"/>
            </a:rPr>
            <a:t>?</a:t>
          </a:r>
          <a:endParaRPr lang="en-NG" sz="28700" b="1">
            <a:solidFill>
              <a:srgbClr val="AEAEAE"/>
            </a:solidFill>
          </a:endParaRPr>
        </a:p>
      </xdr:txBody>
    </xdr:sp>
    <xdr:clientData/>
  </xdr:twoCellAnchor>
  <xdr:twoCellAnchor>
    <xdr:from>
      <xdr:col>16</xdr:col>
      <xdr:colOff>558516</xdr:colOff>
      <xdr:row>27</xdr:row>
      <xdr:rowOff>180339</xdr:rowOff>
    </xdr:from>
    <xdr:to>
      <xdr:col>24</xdr:col>
      <xdr:colOff>18071</xdr:colOff>
      <xdr:row>30</xdr:row>
      <xdr:rowOff>28427</xdr:rowOff>
    </xdr:to>
    <xdr:sp macro="" textlink="">
      <xdr:nvSpPr>
        <xdr:cNvPr id="63" name="TextBox 62">
          <a:extLst>
            <a:ext uri="{FF2B5EF4-FFF2-40B4-BE49-F238E27FC236}">
              <a16:creationId xmlns:a16="http://schemas.microsoft.com/office/drawing/2014/main" id="{E19667F7-FF5B-4665-BA30-42C017784272}"/>
            </a:ext>
          </a:extLst>
        </xdr:cNvPr>
        <xdr:cNvSpPr txBox="1"/>
      </xdr:nvSpPr>
      <xdr:spPr>
        <a:xfrm>
          <a:off x="10321641" y="5404206"/>
          <a:ext cx="4341118" cy="428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400" b="1">
            <a:solidFill>
              <a:schemeClr val="bg2">
                <a:lumMod val="50000"/>
              </a:schemeClr>
            </a:solidFill>
          </a:endParaRPr>
        </a:p>
      </xdr:txBody>
    </xdr:sp>
    <xdr:clientData/>
  </xdr:twoCellAnchor>
  <xdr:twoCellAnchor>
    <xdr:from>
      <xdr:col>16</xdr:col>
      <xdr:colOff>505764</xdr:colOff>
      <xdr:row>13</xdr:row>
      <xdr:rowOff>187421</xdr:rowOff>
    </xdr:from>
    <xdr:to>
      <xdr:col>23</xdr:col>
      <xdr:colOff>242451</xdr:colOff>
      <xdr:row>17</xdr:row>
      <xdr:rowOff>17393</xdr:rowOff>
    </xdr:to>
    <xdr:sp macro="" textlink="">
      <xdr:nvSpPr>
        <xdr:cNvPr id="64" name="TextBox 63">
          <a:extLst>
            <a:ext uri="{FF2B5EF4-FFF2-40B4-BE49-F238E27FC236}">
              <a16:creationId xmlns:a16="http://schemas.microsoft.com/office/drawing/2014/main" id="{8DC5BDD0-4E57-4908-9079-8224F8CCACB9}"/>
            </a:ext>
          </a:extLst>
        </xdr:cNvPr>
        <xdr:cNvSpPr txBox="1"/>
      </xdr:nvSpPr>
      <xdr:spPr>
        <a:xfrm>
          <a:off x="10268889" y="2702616"/>
          <a:ext cx="4008054" cy="603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1">
              <a:solidFill>
                <a:schemeClr val="bg2">
                  <a:lumMod val="50000"/>
                </a:schemeClr>
              </a:solidFill>
            </a:rPr>
            <a:t>Charges dispute(184)  and others</a:t>
          </a:r>
          <a:r>
            <a:rPr lang="en-GB" sz="1400" b="1" i="1" baseline="0">
              <a:solidFill>
                <a:schemeClr val="bg2">
                  <a:lumMod val="50000"/>
                </a:schemeClr>
              </a:solidFill>
            </a:rPr>
            <a:t> dominate customer concerns</a:t>
          </a:r>
          <a:endParaRPr lang="en-NG" sz="1400" b="1" i="1">
            <a:solidFill>
              <a:schemeClr val="bg2">
                <a:lumMod val="50000"/>
              </a:schemeClr>
            </a:solidFill>
          </a:endParaRPr>
        </a:p>
      </xdr:txBody>
    </xdr:sp>
    <xdr:clientData/>
  </xdr:twoCellAnchor>
  <xdr:twoCellAnchor>
    <xdr:from>
      <xdr:col>8</xdr:col>
      <xdr:colOff>343756</xdr:colOff>
      <xdr:row>1</xdr:row>
      <xdr:rowOff>32993</xdr:rowOff>
    </xdr:from>
    <xdr:to>
      <xdr:col>25</xdr:col>
      <xdr:colOff>452926</xdr:colOff>
      <xdr:row>3</xdr:row>
      <xdr:rowOff>136379</xdr:rowOff>
    </xdr:to>
    <xdr:sp macro="" textlink="transactions">
      <xdr:nvSpPr>
        <xdr:cNvPr id="65" name="TextBox 64">
          <a:extLst>
            <a:ext uri="{FF2B5EF4-FFF2-40B4-BE49-F238E27FC236}">
              <a16:creationId xmlns:a16="http://schemas.microsoft.com/office/drawing/2014/main" id="{C64349FB-40B8-45B7-93E1-13D9E66F927F}"/>
            </a:ext>
          </a:extLst>
        </xdr:cNvPr>
        <xdr:cNvSpPr txBox="1"/>
      </xdr:nvSpPr>
      <xdr:spPr>
        <a:xfrm>
          <a:off x="5225319" y="226470"/>
          <a:ext cx="10482490" cy="490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i="0" u="none" strike="noStrike">
              <a:solidFill>
                <a:srgbClr val="AEAEAE"/>
              </a:solidFill>
              <a:latin typeface="Aptos Narrow"/>
            </a:rPr>
            <a:t>METRO BANK: COMPLAINTS</a:t>
          </a:r>
          <a:r>
            <a:rPr lang="en-US" sz="2600" b="1" i="0" u="none" strike="noStrike" baseline="0">
              <a:solidFill>
                <a:srgbClr val="AEAEAE"/>
              </a:solidFill>
              <a:latin typeface="Aptos Narrow"/>
            </a:rPr>
            <a:t> &amp; ANALYTICS RISK</a:t>
          </a:r>
          <a:endParaRPr lang="en-NG" sz="2600" b="1">
            <a:solidFill>
              <a:srgbClr val="AEAEAE"/>
            </a:solidFill>
          </a:endParaRPr>
        </a:p>
      </xdr:txBody>
    </xdr:sp>
    <xdr:clientData/>
  </xdr:twoCellAnchor>
  <xdr:twoCellAnchor>
    <xdr:from>
      <xdr:col>8</xdr:col>
      <xdr:colOff>361906</xdr:colOff>
      <xdr:row>3</xdr:row>
      <xdr:rowOff>2750</xdr:rowOff>
    </xdr:from>
    <xdr:to>
      <xdr:col>23</xdr:col>
      <xdr:colOff>340131</xdr:colOff>
      <xdr:row>5</xdr:row>
      <xdr:rowOff>86723</xdr:rowOff>
    </xdr:to>
    <xdr:sp macro="" textlink="">
      <xdr:nvSpPr>
        <xdr:cNvPr id="66" name="TextBox 65">
          <a:extLst>
            <a:ext uri="{FF2B5EF4-FFF2-40B4-BE49-F238E27FC236}">
              <a16:creationId xmlns:a16="http://schemas.microsoft.com/office/drawing/2014/main" id="{702C4E0B-56F1-4231-B67A-F1CE02868731}"/>
            </a:ext>
          </a:extLst>
        </xdr:cNvPr>
        <xdr:cNvSpPr txBox="1"/>
      </xdr:nvSpPr>
      <xdr:spPr>
        <a:xfrm>
          <a:off x="5243469" y="583180"/>
          <a:ext cx="9131154" cy="470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1">
              <a:solidFill>
                <a:schemeClr val="bg2">
                  <a:lumMod val="50000"/>
                </a:schemeClr>
              </a:solidFill>
            </a:rPr>
            <a:t>Tracking complaints, Fraud exposure, and service efficiencies to enhance customer trust and Operational</a:t>
          </a:r>
          <a:r>
            <a:rPr lang="en-GB" sz="1400" b="1" i="1" baseline="0">
              <a:solidFill>
                <a:schemeClr val="bg2">
                  <a:lumMod val="50000"/>
                </a:schemeClr>
              </a:solidFill>
            </a:rPr>
            <a:t> performance.</a:t>
          </a:r>
          <a:endParaRPr lang="en-NG" sz="1400" b="1" i="1">
            <a:solidFill>
              <a:schemeClr val="bg2">
                <a:lumMod val="50000"/>
              </a:schemeClr>
            </a:solidFill>
          </a:endParaRPr>
        </a:p>
      </xdr:txBody>
    </xdr:sp>
    <xdr:clientData/>
  </xdr:twoCellAnchor>
  <xdr:twoCellAnchor>
    <xdr:from>
      <xdr:col>7</xdr:col>
      <xdr:colOff>300061</xdr:colOff>
      <xdr:row>28</xdr:row>
      <xdr:rowOff>43896</xdr:rowOff>
    </xdr:from>
    <xdr:to>
      <xdr:col>16</xdr:col>
      <xdr:colOff>305113</xdr:colOff>
      <xdr:row>31</xdr:row>
      <xdr:rowOff>138033</xdr:rowOff>
    </xdr:to>
    <xdr:sp macro="" textlink="">
      <xdr:nvSpPr>
        <xdr:cNvPr id="67" name="TextBox 66">
          <a:extLst>
            <a:ext uri="{FF2B5EF4-FFF2-40B4-BE49-F238E27FC236}">
              <a16:creationId xmlns:a16="http://schemas.microsoft.com/office/drawing/2014/main" id="{C821E671-0BDA-4ED4-B3A0-364F3AF8687D}"/>
            </a:ext>
          </a:extLst>
        </xdr:cNvPr>
        <xdr:cNvSpPr txBox="1"/>
      </xdr:nvSpPr>
      <xdr:spPr>
        <a:xfrm>
          <a:off x="4571428" y="5461240"/>
          <a:ext cx="5496810" cy="674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1">
              <a:solidFill>
                <a:schemeClr val="bg2">
                  <a:lumMod val="50000"/>
                </a:schemeClr>
              </a:solidFill>
            </a:rPr>
            <a:t>Retail customers seem to dominate in</a:t>
          </a:r>
          <a:r>
            <a:rPr lang="en-GB" sz="1400" b="1" i="1" baseline="0">
              <a:solidFill>
                <a:schemeClr val="bg2">
                  <a:lumMod val="50000"/>
                </a:schemeClr>
              </a:solidFill>
            </a:rPr>
            <a:t> fraud  &amp; service complaints, while coperate ones are more moderate</a:t>
          </a:r>
          <a:endParaRPr lang="en-NG" sz="1400" b="1" i="1">
            <a:solidFill>
              <a:schemeClr val="bg2">
                <a:lumMod val="50000"/>
              </a:schemeClr>
            </a:solidFill>
          </a:endParaRPr>
        </a:p>
      </xdr:txBody>
    </xdr:sp>
    <xdr:clientData/>
  </xdr:twoCellAnchor>
  <xdr:twoCellAnchor>
    <xdr:from>
      <xdr:col>16</xdr:col>
      <xdr:colOff>557769</xdr:colOff>
      <xdr:row>28</xdr:row>
      <xdr:rowOff>24314</xdr:rowOff>
    </xdr:from>
    <xdr:to>
      <xdr:col>23</xdr:col>
      <xdr:colOff>287098</xdr:colOff>
      <xdr:row>31</xdr:row>
      <xdr:rowOff>121428</xdr:rowOff>
    </xdr:to>
    <xdr:sp macro="" textlink="">
      <xdr:nvSpPr>
        <xdr:cNvPr id="68" name="TextBox 67">
          <a:extLst>
            <a:ext uri="{FF2B5EF4-FFF2-40B4-BE49-F238E27FC236}">
              <a16:creationId xmlns:a16="http://schemas.microsoft.com/office/drawing/2014/main" id="{35783E99-F96D-427A-94E2-21DCEA8438AC}"/>
            </a:ext>
          </a:extLst>
        </xdr:cNvPr>
        <xdr:cNvSpPr txBox="1"/>
      </xdr:nvSpPr>
      <xdr:spPr>
        <a:xfrm>
          <a:off x="10320894" y="5441658"/>
          <a:ext cx="4000696" cy="677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1">
              <a:solidFill>
                <a:schemeClr val="bg2">
                  <a:lumMod val="50000"/>
                </a:schemeClr>
              </a:solidFill>
            </a:rPr>
            <a:t>This</a:t>
          </a:r>
          <a:r>
            <a:rPr lang="en-GB" sz="1400" b="1" i="1" baseline="0">
              <a:solidFill>
                <a:schemeClr val="bg2">
                  <a:lumMod val="50000"/>
                </a:schemeClr>
              </a:solidFill>
            </a:rPr>
            <a:t> shows savings account are our top priority.</a:t>
          </a:r>
        </a:p>
        <a:p>
          <a:r>
            <a:rPr lang="en-GB" sz="1400" b="1" i="1" baseline="0">
              <a:solidFill>
                <a:schemeClr val="bg2">
                  <a:lumMod val="50000"/>
                </a:schemeClr>
              </a:solidFill>
            </a:rPr>
            <a:t>They lead in 3 of 5 complaints</a:t>
          </a:r>
          <a:endParaRPr lang="en-NG" sz="1400" b="1" i="1">
            <a:solidFill>
              <a:schemeClr val="bg2">
                <a:lumMod val="50000"/>
              </a:schemeClr>
            </a:solidFill>
          </a:endParaRPr>
        </a:p>
      </xdr:txBody>
    </xdr:sp>
    <xdr:clientData/>
  </xdr:twoCellAnchor>
  <xdr:twoCellAnchor editAs="oneCell">
    <xdr:from>
      <xdr:col>6</xdr:col>
      <xdr:colOff>280016</xdr:colOff>
      <xdr:row>21</xdr:row>
      <xdr:rowOff>165425</xdr:rowOff>
    </xdr:from>
    <xdr:to>
      <xdr:col>7</xdr:col>
      <xdr:colOff>44007</xdr:colOff>
      <xdr:row>23</xdr:row>
      <xdr:rowOff>157694</xdr:rowOff>
    </xdr:to>
    <xdr:pic>
      <xdr:nvPicPr>
        <xdr:cNvPr id="69" name="Picture 68">
          <a:extLst>
            <a:ext uri="{FF2B5EF4-FFF2-40B4-BE49-F238E27FC236}">
              <a16:creationId xmlns:a16="http://schemas.microsoft.com/office/drawing/2014/main" id="{5B6A127A-046E-43A7-9FC0-1BAF2A464376}"/>
            </a:ext>
          </a:extLst>
        </xdr:cNvPr>
        <xdr:cNvPicPr>
          <a:picLocks noChangeAspect="1"/>
        </xdr:cNvPicPr>
      </xdr:nvPicPr>
      <xdr:blipFill>
        <a:blip xmlns:r="http://schemas.openxmlformats.org/officeDocument/2006/relationships" r:embed="rId20">
          <a:duotone>
            <a:schemeClr val="bg2">
              <a:shade val="45000"/>
              <a:satMod val="135000"/>
            </a:schemeClr>
            <a:prstClr val="white"/>
          </a:duotone>
          <a:extLst>
            <a:ext uri="{BEBA8EAE-BF5A-486C-A8C5-ECC9F3942E4B}">
              <a14:imgProps xmlns:a14="http://schemas.microsoft.com/office/drawing/2010/main">
                <a14:imgLayer r:embed="rId21">
                  <a14:imgEffect>
                    <a14:saturation sat="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3941188" y="4228433"/>
          <a:ext cx="374186" cy="379222"/>
        </a:xfrm>
        <a:prstGeom prst="rect">
          <a:avLst/>
        </a:prstGeom>
      </xdr:spPr>
    </xdr:pic>
    <xdr:clientData/>
  </xdr:twoCellAnchor>
  <xdr:twoCellAnchor>
    <xdr:from>
      <xdr:col>23</xdr:col>
      <xdr:colOff>126260</xdr:colOff>
      <xdr:row>29</xdr:row>
      <xdr:rowOff>71303</xdr:rowOff>
    </xdr:from>
    <xdr:to>
      <xdr:col>29</xdr:col>
      <xdr:colOff>173176</xdr:colOff>
      <xdr:row>41</xdr:row>
      <xdr:rowOff>116084</xdr:rowOff>
    </xdr:to>
    <xdr:sp macro="" textlink="">
      <xdr:nvSpPr>
        <xdr:cNvPr id="71" name="TextBox 70">
          <a:extLst>
            <a:ext uri="{FF2B5EF4-FFF2-40B4-BE49-F238E27FC236}">
              <a16:creationId xmlns:a16="http://schemas.microsoft.com/office/drawing/2014/main" id="{08A03D7E-A8FF-4BE7-9B0B-398D35317F1C}"/>
            </a:ext>
          </a:extLst>
        </xdr:cNvPr>
        <xdr:cNvSpPr txBox="1"/>
      </xdr:nvSpPr>
      <xdr:spPr>
        <a:xfrm>
          <a:off x="14160752" y="5682123"/>
          <a:ext cx="3708088" cy="2366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i="1">
              <a:solidFill>
                <a:schemeClr val="bg2">
                  <a:lumMod val="50000"/>
                </a:schemeClr>
              </a:solidFill>
            </a:rPr>
            <a:t>Urgent fraud cases currently stands at 3.5% ,</a:t>
          </a:r>
          <a:r>
            <a:rPr lang="en-GB" sz="1800" b="1" i="1" baseline="0">
              <a:solidFill>
                <a:schemeClr val="bg2">
                  <a:lumMod val="50000"/>
                </a:schemeClr>
              </a:solidFill>
            </a:rPr>
            <a:t> with total fraud cases of 148 recorded. Meanwhile unresolved complaints continue to pose a service risk, continuous monitoring and faster resolution could improve satisfaction Rates</a:t>
          </a:r>
          <a:endParaRPr lang="en-NG" sz="1800" b="1" i="1">
            <a:solidFill>
              <a:schemeClr val="bg2">
                <a:lumMod val="50000"/>
              </a:schemeClr>
            </a:solidFill>
          </a:endParaRPr>
        </a:p>
      </xdr:txBody>
    </xdr:sp>
    <xdr:clientData/>
  </xdr:twoCellAnchor>
  <xdr:twoCellAnchor>
    <xdr:from>
      <xdr:col>24</xdr:col>
      <xdr:colOff>28025</xdr:colOff>
      <xdr:row>27</xdr:row>
      <xdr:rowOff>46949</xdr:rowOff>
    </xdr:from>
    <xdr:to>
      <xdr:col>28</xdr:col>
      <xdr:colOff>450268</xdr:colOff>
      <xdr:row>29</xdr:row>
      <xdr:rowOff>150034</xdr:rowOff>
    </xdr:to>
    <xdr:sp macro="" textlink="transactions">
      <xdr:nvSpPr>
        <xdr:cNvPr id="72" name="TextBox 71">
          <a:extLst>
            <a:ext uri="{FF2B5EF4-FFF2-40B4-BE49-F238E27FC236}">
              <a16:creationId xmlns:a16="http://schemas.microsoft.com/office/drawing/2014/main" id="{CBE06C76-34E0-4E04-96A7-ADA70DD40A7C}"/>
            </a:ext>
          </a:extLst>
        </xdr:cNvPr>
        <xdr:cNvSpPr txBox="1"/>
      </xdr:nvSpPr>
      <xdr:spPr>
        <a:xfrm>
          <a:off x="14672713" y="5270816"/>
          <a:ext cx="2863024" cy="49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u="none" strike="noStrike">
              <a:solidFill>
                <a:srgbClr val="AEAEAE"/>
              </a:solidFill>
              <a:latin typeface="Aptos Narrow"/>
            </a:rPr>
            <a:t>FRAUD PERFORMANCE SNAPSHOT</a:t>
          </a:r>
          <a:endParaRPr lang="en-NG" sz="34400" b="1" i="1">
            <a:solidFill>
              <a:srgbClr val="AEAEAE"/>
            </a:solidFill>
          </a:endParaRPr>
        </a:p>
      </xdr:txBody>
    </xdr:sp>
    <xdr:clientData/>
  </xdr:twoCellAnchor>
  <xdr:twoCellAnchor editAs="oneCell">
    <xdr:from>
      <xdr:col>7</xdr:col>
      <xdr:colOff>259766</xdr:colOff>
      <xdr:row>1</xdr:row>
      <xdr:rowOff>46813</xdr:rowOff>
    </xdr:from>
    <xdr:to>
      <xdr:col>8</xdr:col>
      <xdr:colOff>380993</xdr:colOff>
      <xdr:row>5</xdr:row>
      <xdr:rowOff>188334</xdr:rowOff>
    </xdr:to>
    <xdr:pic>
      <xdr:nvPicPr>
        <xdr:cNvPr id="74" name="Picture 73">
          <a:extLst>
            <a:ext uri="{FF2B5EF4-FFF2-40B4-BE49-F238E27FC236}">
              <a16:creationId xmlns:a16="http://schemas.microsoft.com/office/drawing/2014/main" id="{3EEBD844-FDC0-9E49-80C1-14E3D38B342A}"/>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531133" y="240290"/>
          <a:ext cx="731423" cy="915427"/>
        </a:xfrm>
        <a:prstGeom prst="rect">
          <a:avLst/>
        </a:prstGeom>
      </xdr:spPr>
    </xdr:pic>
    <xdr:clientData/>
  </xdr:twoCellAnchor>
  <xdr:twoCellAnchor editAs="oneCell">
    <xdr:from>
      <xdr:col>42</xdr:col>
      <xdr:colOff>481791</xdr:colOff>
      <xdr:row>40</xdr:row>
      <xdr:rowOff>188335</xdr:rowOff>
    </xdr:from>
    <xdr:to>
      <xdr:col>45</xdr:col>
      <xdr:colOff>492182</xdr:colOff>
      <xdr:row>54</xdr:row>
      <xdr:rowOff>188336</xdr:rowOff>
    </xdr:to>
    <mc:AlternateContent xmlns:mc="http://schemas.openxmlformats.org/markup-compatibility/2006" xmlns:a14="http://schemas.microsoft.com/office/drawing/2010/main">
      <mc:Choice Requires="a14">
        <xdr:graphicFrame macro="">
          <xdr:nvGraphicFramePr>
            <xdr:cNvPr id="56" name="Complaint_Type">
              <a:extLst>
                <a:ext uri="{FF2B5EF4-FFF2-40B4-BE49-F238E27FC236}">
                  <a16:creationId xmlns:a16="http://schemas.microsoft.com/office/drawing/2014/main" id="{DED9495D-30ED-4475-911B-810FE9BD2FDF}"/>
                </a:ext>
              </a:extLst>
            </xdr:cNvPr>
            <xdr:cNvGraphicFramePr/>
          </xdr:nvGraphicFramePr>
          <xdr:xfrm>
            <a:off x="0" y="0"/>
            <a:ext cx="0" cy="0"/>
          </xdr:xfrm>
          <a:graphic>
            <a:graphicData uri="http://schemas.microsoft.com/office/drawing/2010/slicer">
              <sle:slicer xmlns:sle="http://schemas.microsoft.com/office/drawing/2010/slicer" name="Complaint_Type"/>
            </a:graphicData>
          </a:graphic>
        </xdr:graphicFrame>
      </mc:Choice>
      <mc:Fallback xmlns="">
        <xdr:sp macro="" textlink="">
          <xdr:nvSpPr>
            <xdr:cNvPr id="0" name=""/>
            <xdr:cNvSpPr>
              <a:spLocks noTextEdit="1"/>
            </xdr:cNvSpPr>
          </xdr:nvSpPr>
          <xdr:spPr>
            <a:xfrm>
              <a:off x="26109994" y="7927398"/>
              <a:ext cx="1840977" cy="27086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495480</xdr:colOff>
      <xdr:row>42</xdr:row>
      <xdr:rowOff>122264</xdr:rowOff>
    </xdr:from>
    <xdr:to>
      <xdr:col>56</xdr:col>
      <xdr:colOff>493694</xdr:colOff>
      <xdr:row>56</xdr:row>
      <xdr:rowOff>80592</xdr:rowOff>
    </xdr:to>
    <mc:AlternateContent xmlns:mc="http://schemas.openxmlformats.org/markup-compatibility/2006" xmlns:a14="http://schemas.microsoft.com/office/drawing/2010/main">
      <mc:Choice Requires="a14">
        <xdr:graphicFrame macro="">
          <xdr:nvGraphicFramePr>
            <xdr:cNvPr id="40" name="Date (Year)">
              <a:extLst>
                <a:ext uri="{FF2B5EF4-FFF2-40B4-BE49-F238E27FC236}">
                  <a16:creationId xmlns:a16="http://schemas.microsoft.com/office/drawing/2014/main" id="{D0D3218E-812B-4F2E-9260-DD0B9383CD4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835832" y="824828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148826</xdr:colOff>
      <xdr:row>30</xdr:row>
      <xdr:rowOff>74414</xdr:rowOff>
    </xdr:from>
    <xdr:to>
      <xdr:col>25</xdr:col>
      <xdr:colOff>47621</xdr:colOff>
      <xdr:row>43</xdr:row>
      <xdr:rowOff>108941</xdr:rowOff>
    </xdr:to>
    <xdr:graphicFrame macro="">
      <xdr:nvGraphicFramePr>
        <xdr:cNvPr id="44" name="Chart 43">
          <a:extLst>
            <a:ext uri="{FF2B5EF4-FFF2-40B4-BE49-F238E27FC236}">
              <a16:creationId xmlns:a16="http://schemas.microsoft.com/office/drawing/2014/main" id="{2320E6BB-6371-4738-8155-8315FC3EA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24</xdr:col>
      <xdr:colOff>169012</xdr:colOff>
      <xdr:row>2</xdr:row>
      <xdr:rowOff>14749</xdr:rowOff>
    </xdr:from>
    <xdr:to>
      <xdr:col>29</xdr:col>
      <xdr:colOff>372069</xdr:colOff>
      <xdr:row>4</xdr:row>
      <xdr:rowOff>119063</xdr:rowOff>
    </xdr:to>
    <mc:AlternateContent xmlns:mc="http://schemas.openxmlformats.org/markup-compatibility/2006" xmlns:a14="http://schemas.microsoft.com/office/drawing/2010/main">
      <mc:Choice Requires="a14">
        <xdr:graphicFrame macro="">
          <xdr:nvGraphicFramePr>
            <xdr:cNvPr id="11" name="Customer_Segment 3">
              <a:extLst>
                <a:ext uri="{FF2B5EF4-FFF2-40B4-BE49-F238E27FC236}">
                  <a16:creationId xmlns:a16="http://schemas.microsoft.com/office/drawing/2014/main" id="{6A68AE1A-9017-4F3D-9F8E-86256C168868}"/>
                </a:ext>
              </a:extLst>
            </xdr:cNvPr>
            <xdr:cNvGraphicFramePr/>
          </xdr:nvGraphicFramePr>
          <xdr:xfrm>
            <a:off x="0" y="0"/>
            <a:ext cx="0" cy="0"/>
          </xdr:xfrm>
          <a:graphic>
            <a:graphicData uri="http://schemas.microsoft.com/office/drawing/2010/slicer">
              <sle:slicer xmlns:sle="http://schemas.microsoft.com/office/drawing/2010/slicer" name="Customer_Segment 3"/>
            </a:graphicData>
          </a:graphic>
        </xdr:graphicFrame>
      </mc:Choice>
      <mc:Fallback xmlns="">
        <xdr:sp macro="" textlink="">
          <xdr:nvSpPr>
            <xdr:cNvPr id="0" name=""/>
            <xdr:cNvSpPr>
              <a:spLocks noTextEdit="1"/>
            </xdr:cNvSpPr>
          </xdr:nvSpPr>
          <xdr:spPr>
            <a:xfrm>
              <a:off x="14813700" y="401702"/>
              <a:ext cx="3254033" cy="4912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25</xdr:row>
      <xdr:rowOff>0</xdr:rowOff>
    </xdr:from>
    <xdr:to>
      <xdr:col>5</xdr:col>
      <xdr:colOff>573942</xdr:colOff>
      <xdr:row>37</xdr:row>
      <xdr:rowOff>45569</xdr:rowOff>
    </xdr:to>
    <xdr:graphicFrame macro="">
      <xdr:nvGraphicFramePr>
        <xdr:cNvPr id="13" name="Chart 12">
          <a:extLst>
            <a:ext uri="{FF2B5EF4-FFF2-40B4-BE49-F238E27FC236}">
              <a16:creationId xmlns:a16="http://schemas.microsoft.com/office/drawing/2014/main" id="{9E42655F-6577-47EC-BB21-8DDDCAD69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26</xdr:row>
      <xdr:rowOff>0</xdr:rowOff>
    </xdr:from>
    <xdr:to>
      <xdr:col>4</xdr:col>
      <xdr:colOff>391687</xdr:colOff>
      <xdr:row>32</xdr:row>
      <xdr:rowOff>166454</xdr:rowOff>
    </xdr:to>
    <xdr:graphicFrame macro="">
      <xdr:nvGraphicFramePr>
        <xdr:cNvPr id="15" name="Chart 14">
          <a:extLst>
            <a:ext uri="{FF2B5EF4-FFF2-40B4-BE49-F238E27FC236}">
              <a16:creationId xmlns:a16="http://schemas.microsoft.com/office/drawing/2014/main" id="{BD78C5F0-2C01-482E-9E29-3EEB85FAF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16</xdr:row>
      <xdr:rowOff>0</xdr:rowOff>
    </xdr:from>
    <xdr:to>
      <xdr:col>6</xdr:col>
      <xdr:colOff>46086</xdr:colOff>
      <xdr:row>26</xdr:row>
      <xdr:rowOff>38736</xdr:rowOff>
    </xdr:to>
    <xdr:graphicFrame macro="">
      <xdr:nvGraphicFramePr>
        <xdr:cNvPr id="9" name="Chart 8">
          <a:extLst>
            <a:ext uri="{FF2B5EF4-FFF2-40B4-BE49-F238E27FC236}">
              <a16:creationId xmlns:a16="http://schemas.microsoft.com/office/drawing/2014/main" id="{0D16763C-9AA5-40F0-BC61-F4C591FCE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uwatimileyin Adeyemo" refreshedDate="45937.465527314816" createdVersion="8" refreshedVersion="8" minRefreshableVersion="3" recordCount="500" xr:uid="{EEA3949A-ED95-4463-9689-A3D1D0DC634D}">
  <cacheSource type="worksheet">
    <worksheetSource name="Table1"/>
  </cacheSource>
  <cacheFields count="18">
    <cacheField name="CustomerID" numFmtId="0">
      <sharedItems/>
    </cacheField>
    <cacheField name="Name" numFmtId="0">
      <sharedItems/>
    </cacheField>
    <cacheField name="Gender" numFmtId="0">
      <sharedItems count="2">
        <s v="Male"/>
        <s v="Female"/>
      </sharedItems>
    </cacheField>
    <cacheField name="Age group" numFmtId="0">
      <sharedItems count="4">
        <s v="Milennials"/>
        <s v="GenX"/>
        <s v="GenZ"/>
        <s v="Boomers"/>
      </sharedItems>
    </cacheField>
    <cacheField name="Age" numFmtId="0">
      <sharedItems containsSemiMixedTypes="0" containsString="0" containsNumber="1" containsInteger="1" minValue="18" maxValue="74"/>
    </cacheField>
    <cacheField name="Region" numFmtId="0">
      <sharedItems count="4">
        <s v="North"/>
        <s v="East"/>
        <s v="West"/>
        <s v="South"/>
      </sharedItems>
    </cacheField>
    <cacheField name="Occupation" numFmtId="0">
      <sharedItems/>
    </cacheField>
    <cacheField name="income bracket" numFmtId="0">
      <sharedItems count="4">
        <s v="Premium"/>
        <s v="High"/>
        <s v="Medium"/>
        <s v="Low"/>
      </sharedItems>
    </cacheField>
    <cacheField name="Income" numFmtId="164">
      <sharedItems containsSemiMixedTypes="0" containsString="0" containsNumber="1" containsInteger="1" minValue="20281" maxValue="199917"/>
    </cacheField>
    <cacheField name="Customer_Segment" numFmtId="0">
      <sharedItems count="3">
        <s v="Retail"/>
        <s v="Corporate"/>
        <s v="Private"/>
      </sharedItems>
    </cacheField>
    <cacheField name="tenure bracket" numFmtId="0">
      <sharedItems count="5">
        <s v="New"/>
        <s v="Emerging"/>
        <s v="Loyal"/>
        <s v="Legacy"/>
        <e v="#N/A" u="1"/>
      </sharedItems>
    </cacheField>
    <cacheField name="MONTH YEAR" numFmtId="0">
      <sharedItems/>
    </cacheField>
    <cacheField name="tenure" numFmtId="0">
      <sharedItems containsSemiMixedTypes="0" containsString="0" containsNumber="1" containsInteger="1" minValue="0" maxValue="10"/>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 name="Join_Date" numFmtId="14">
      <sharedItems containsSemiMixedTypes="0" containsNonDate="0" containsDate="1" containsString="0" minDate="2015-08-23T00:00:00" maxDate="2025-08-23T00:00:00" count="462">
        <d v="2023-04-25T00:00:00"/>
        <d v="2021-05-15T00:00:00"/>
        <d v="2018-12-04T00:00:00"/>
        <d v="2021-10-25T00:00:00"/>
        <d v="2018-07-28T00:00:00"/>
        <d v="2016-05-30T00:00:00"/>
        <d v="2017-10-18T00:00:00"/>
        <d v="2024-06-05T00:00:00"/>
        <d v="2019-02-11T00:00:00"/>
        <d v="2016-02-05T00:00:00"/>
        <d v="2017-02-15T00:00:00"/>
        <d v="2023-12-20T00:00:00"/>
        <d v="2023-04-02T00:00:00"/>
        <d v="2017-08-13T00:00:00"/>
        <d v="2019-07-27T00:00:00"/>
        <d v="2019-06-27T00:00:00"/>
        <d v="2021-06-28T00:00:00"/>
        <d v="2025-03-12T00:00:00"/>
        <d v="2021-09-17T00:00:00"/>
        <d v="2023-05-12T00:00:00"/>
        <d v="2024-05-02T00:00:00"/>
        <d v="2023-07-11T00:00:00"/>
        <d v="2022-07-03T00:00:00"/>
        <d v="2017-01-30T00:00:00"/>
        <d v="2019-09-10T00:00:00"/>
        <d v="2021-09-30T00:00:00"/>
        <d v="2016-08-25T00:00:00"/>
        <d v="2019-08-21T00:00:00"/>
        <d v="2022-09-30T00:00:00"/>
        <d v="2020-10-05T00:00:00"/>
        <d v="2017-01-07T00:00:00"/>
        <d v="2016-07-14T00:00:00"/>
        <d v="2021-11-13T00:00:00"/>
        <d v="2016-06-12T00:00:00"/>
        <d v="2017-06-16T00:00:00"/>
        <d v="2017-07-06T00:00:00"/>
        <d v="2021-11-07T00:00:00"/>
        <d v="2020-08-31T00:00:00"/>
        <d v="2015-10-19T00:00:00"/>
        <d v="2017-04-28T00:00:00"/>
        <d v="2016-07-25T00:00:00"/>
        <d v="2022-07-10T00:00:00"/>
        <d v="2021-08-19T00:00:00"/>
        <d v="2019-06-20T00:00:00"/>
        <d v="2021-05-07T00:00:00"/>
        <d v="2017-04-06T00:00:00"/>
        <d v="2024-07-05T00:00:00"/>
        <d v="2017-01-15T00:00:00"/>
        <d v="2023-03-07T00:00:00"/>
        <d v="2016-09-09T00:00:00"/>
        <d v="2023-05-26T00:00:00"/>
        <d v="2022-06-28T00:00:00"/>
        <d v="2020-10-03T00:00:00"/>
        <d v="2022-12-21T00:00:00"/>
        <d v="2022-05-30T00:00:00"/>
        <d v="2019-07-25T00:00:00"/>
        <d v="2019-06-06T00:00:00"/>
        <d v="2024-03-09T00:00:00"/>
        <d v="2018-11-11T00:00:00"/>
        <d v="2022-11-13T00:00:00"/>
        <d v="2024-11-01T00:00:00"/>
        <d v="2023-04-26T00:00:00"/>
        <d v="2023-03-12T00:00:00"/>
        <d v="2020-10-15T00:00:00"/>
        <d v="2017-12-22T00:00:00"/>
        <d v="2023-03-11T00:00:00"/>
        <d v="2017-11-30T00:00:00"/>
        <d v="2018-08-29T00:00:00"/>
        <d v="2024-07-04T00:00:00"/>
        <d v="2025-06-07T00:00:00"/>
        <d v="2016-03-28T00:00:00"/>
        <d v="2020-04-08T00:00:00"/>
        <d v="2025-01-20T00:00:00"/>
        <d v="2017-07-01T00:00:00"/>
        <d v="2022-01-23T00:00:00"/>
        <d v="2018-07-21T00:00:00"/>
        <d v="2022-01-04T00:00:00"/>
        <d v="2018-04-10T00:00:00"/>
        <d v="2023-03-26T00:00:00"/>
        <d v="2025-05-14T00:00:00"/>
        <d v="2021-04-16T00:00:00"/>
        <d v="2021-04-02T00:00:00"/>
        <d v="2020-01-08T00:00:00"/>
        <d v="2021-03-30T00:00:00"/>
        <d v="2025-06-03T00:00:00"/>
        <d v="2019-10-06T00:00:00"/>
        <d v="2021-01-09T00:00:00"/>
        <d v="2015-08-23T00:00:00"/>
        <d v="2022-08-02T00:00:00"/>
        <d v="2016-06-10T00:00:00"/>
        <d v="2018-01-02T00:00:00"/>
        <d v="2023-11-04T00:00:00"/>
        <d v="2021-07-04T00:00:00"/>
        <d v="2017-08-29T00:00:00"/>
        <d v="2023-06-22T00:00:00"/>
        <d v="2020-11-19T00:00:00"/>
        <d v="2023-01-16T00:00:00"/>
        <d v="2020-07-06T00:00:00"/>
        <d v="2021-12-30T00:00:00"/>
        <d v="2022-05-25T00:00:00"/>
        <d v="2016-10-02T00:00:00"/>
        <d v="2025-04-01T00:00:00"/>
        <d v="2017-07-24T00:00:00"/>
        <d v="2025-03-04T00:00:00"/>
        <d v="2021-01-28T00:00:00"/>
        <d v="2020-09-03T00:00:00"/>
        <d v="2018-06-05T00:00:00"/>
        <d v="2019-07-11T00:00:00"/>
        <d v="2020-04-10T00:00:00"/>
        <d v="2016-03-16T00:00:00"/>
        <d v="2019-07-12T00:00:00"/>
        <d v="2024-08-28T00:00:00"/>
        <d v="2025-05-20T00:00:00"/>
        <d v="2025-02-18T00:00:00"/>
        <d v="2019-12-22T00:00:00"/>
        <d v="2019-03-31T00:00:00"/>
        <d v="2023-06-17T00:00:00"/>
        <d v="2015-09-23T00:00:00"/>
        <d v="2017-07-05T00:00:00"/>
        <d v="2017-01-19T00:00:00"/>
        <d v="2020-03-01T00:00:00"/>
        <d v="2016-01-05T00:00:00"/>
        <d v="2023-04-23T00:00:00"/>
        <d v="2019-02-21T00:00:00"/>
        <d v="2024-07-25T00:00:00"/>
        <d v="2020-05-04T00:00:00"/>
        <d v="2018-02-12T00:00:00"/>
        <d v="2021-09-15T00:00:00"/>
        <d v="2018-06-11T00:00:00"/>
        <d v="2024-05-27T00:00:00"/>
        <d v="2019-05-09T00:00:00"/>
        <d v="2017-03-23T00:00:00"/>
        <d v="2024-11-23T00:00:00"/>
        <d v="2018-09-28T00:00:00"/>
        <d v="2018-08-14T00:00:00"/>
        <d v="2024-09-25T00:00:00"/>
        <d v="2021-11-28T00:00:00"/>
        <d v="2017-12-15T00:00:00"/>
        <d v="2019-05-03T00:00:00"/>
        <d v="2020-07-17T00:00:00"/>
        <d v="2020-02-27T00:00:00"/>
        <d v="2018-08-25T00:00:00"/>
        <d v="2022-11-28T00:00:00"/>
        <d v="2020-07-03T00:00:00"/>
        <d v="2020-04-28T00:00:00"/>
        <d v="2018-11-05T00:00:00"/>
        <d v="2015-12-27T00:00:00"/>
        <d v="2015-10-03T00:00:00"/>
        <d v="2023-12-04T00:00:00"/>
        <d v="2022-10-16T00:00:00"/>
        <d v="2018-03-13T00:00:00"/>
        <d v="2025-04-27T00:00:00"/>
        <d v="2015-11-06T00:00:00"/>
        <d v="2021-02-25T00:00:00"/>
        <d v="2015-09-01T00:00:00"/>
        <d v="2022-08-16T00:00:00"/>
        <d v="2021-03-02T00:00:00"/>
        <d v="2023-09-03T00:00:00"/>
        <d v="2016-03-02T00:00:00"/>
        <d v="2024-07-19T00:00:00"/>
        <d v="2019-11-17T00:00:00"/>
        <d v="2025-02-26T00:00:00"/>
        <d v="2022-11-22T00:00:00"/>
        <d v="2016-06-11T00:00:00"/>
        <d v="2020-06-06T00:00:00"/>
        <d v="2021-11-01T00:00:00"/>
        <d v="2019-10-29T00:00:00"/>
        <d v="2017-11-07T00:00:00"/>
        <d v="2015-10-15T00:00:00"/>
        <d v="2024-09-03T00:00:00"/>
        <d v="2024-12-16T00:00:00"/>
        <d v="2017-03-09T00:00:00"/>
        <d v="2025-02-16T00:00:00"/>
        <d v="2016-01-18T00:00:00"/>
        <d v="2025-07-05T00:00:00"/>
        <d v="2018-04-12T00:00:00"/>
        <d v="2024-05-10T00:00:00"/>
        <d v="2017-05-26T00:00:00"/>
        <d v="2023-06-24T00:00:00"/>
        <d v="2023-10-12T00:00:00"/>
        <d v="2024-08-31T00:00:00"/>
        <d v="2017-09-30T00:00:00"/>
        <d v="2019-11-11T00:00:00"/>
        <d v="2025-08-22T00:00:00"/>
        <d v="2020-12-04T00:00:00"/>
        <d v="2024-06-03T00:00:00"/>
        <d v="2015-09-22T00:00:00"/>
        <d v="2019-05-27T00:00:00"/>
        <d v="2016-02-02T00:00:00"/>
        <d v="2020-04-24T00:00:00"/>
        <d v="2018-01-18T00:00:00"/>
        <d v="2024-03-14T00:00:00"/>
        <d v="2017-08-24T00:00:00"/>
        <d v="2019-03-13T00:00:00"/>
        <d v="2024-08-21T00:00:00"/>
        <d v="2024-10-22T00:00:00"/>
        <d v="2020-03-28T00:00:00"/>
        <d v="2018-11-27T00:00:00"/>
        <d v="2022-03-24T00:00:00"/>
        <d v="2020-04-14T00:00:00"/>
        <d v="2019-10-04T00:00:00"/>
        <d v="2020-02-20T00:00:00"/>
        <d v="2019-01-12T00:00:00"/>
        <d v="2017-08-26T00:00:00"/>
        <d v="2022-08-26T00:00:00"/>
        <d v="2020-02-16T00:00:00"/>
        <d v="2015-11-03T00:00:00"/>
        <d v="2023-06-06T00:00:00"/>
        <d v="2016-08-04T00:00:00"/>
        <d v="2019-09-11T00:00:00"/>
        <d v="2024-05-15T00:00:00"/>
        <d v="2024-07-22T00:00:00"/>
        <d v="2016-01-09T00:00:00"/>
        <d v="2016-10-10T00:00:00"/>
        <d v="2017-12-01T00:00:00"/>
        <d v="2024-04-05T00:00:00"/>
        <d v="2017-05-18T00:00:00"/>
        <d v="2019-01-14T00:00:00"/>
        <d v="2022-08-13T00:00:00"/>
        <d v="2018-03-25T00:00:00"/>
        <d v="2023-01-11T00:00:00"/>
        <d v="2018-08-23T00:00:00"/>
        <d v="2017-07-16T00:00:00"/>
        <d v="2023-04-17T00:00:00"/>
        <d v="2017-05-11T00:00:00"/>
        <d v="2024-10-14T00:00:00"/>
        <d v="2020-10-04T00:00:00"/>
        <d v="2024-11-05T00:00:00"/>
        <d v="2021-12-14T00:00:00"/>
        <d v="2024-05-08T00:00:00"/>
        <d v="2022-03-02T00:00:00"/>
        <d v="2019-08-11T00:00:00"/>
        <d v="2022-12-27T00:00:00"/>
        <d v="2018-10-22T00:00:00"/>
        <d v="2018-01-13T00:00:00"/>
        <d v="2023-09-10T00:00:00"/>
        <d v="2021-01-07T00:00:00"/>
        <d v="2018-07-13T00:00:00"/>
        <d v="2023-06-01T00:00:00"/>
        <d v="2018-08-11T00:00:00"/>
        <d v="2017-07-14T00:00:00"/>
        <d v="2016-10-30T00:00:00"/>
        <d v="2020-09-07T00:00:00"/>
        <d v="2017-08-06T00:00:00"/>
        <d v="2025-06-11T00:00:00"/>
        <d v="2020-10-11T00:00:00"/>
        <d v="2022-01-27T00:00:00"/>
        <d v="2024-08-12T00:00:00"/>
        <d v="2019-12-30T00:00:00"/>
        <d v="2015-10-20T00:00:00"/>
        <d v="2020-09-28T00:00:00"/>
        <d v="2017-02-04T00:00:00"/>
        <d v="2021-08-29T00:00:00"/>
        <d v="2019-12-20T00:00:00"/>
        <d v="2018-02-19T00:00:00"/>
        <d v="2017-01-02T00:00:00"/>
        <d v="2023-05-05T00:00:00"/>
        <d v="2020-02-29T00:00:00"/>
        <d v="2020-06-26T00:00:00"/>
        <d v="2024-09-24T00:00:00"/>
        <d v="2019-11-06T00:00:00"/>
        <d v="2020-10-18T00:00:00"/>
        <d v="2017-12-14T00:00:00"/>
        <d v="2019-02-01T00:00:00"/>
        <d v="2018-08-04T00:00:00"/>
        <d v="2017-05-27T00:00:00"/>
        <d v="2021-10-31T00:00:00"/>
        <d v="2017-05-25T00:00:00"/>
        <d v="2015-10-28T00:00:00"/>
        <d v="2021-02-22T00:00:00"/>
        <d v="2020-01-26T00:00:00"/>
        <d v="2025-04-22T00:00:00"/>
        <d v="2022-10-22T00:00:00"/>
        <d v="2021-03-10T00:00:00"/>
        <d v="2016-09-04T00:00:00"/>
        <d v="2019-02-03T00:00:00"/>
        <d v="2016-10-31T00:00:00"/>
        <d v="2016-05-20T00:00:00"/>
        <d v="2022-03-26T00:00:00"/>
        <d v="2022-10-28T00:00:00"/>
        <d v="2023-10-01T00:00:00"/>
        <d v="2024-04-20T00:00:00"/>
        <d v="2024-02-12T00:00:00"/>
        <d v="2021-10-04T00:00:00"/>
        <d v="2023-01-31T00:00:00"/>
        <d v="2018-05-31T00:00:00"/>
        <d v="2017-11-02T00:00:00"/>
        <d v="2018-06-10T00:00:00"/>
        <d v="2015-10-16T00:00:00"/>
        <d v="2016-05-16T00:00:00"/>
        <d v="2016-12-16T00:00:00"/>
        <d v="2017-05-06T00:00:00"/>
        <d v="2019-04-11T00:00:00"/>
        <d v="2022-06-02T00:00:00"/>
        <d v="2025-05-17T00:00:00"/>
        <d v="2022-03-30T00:00:00"/>
        <d v="2016-01-12T00:00:00"/>
        <d v="2019-06-21T00:00:00"/>
        <d v="2023-09-16T00:00:00"/>
        <d v="2022-12-05T00:00:00"/>
        <d v="2019-05-28T00:00:00"/>
        <d v="2018-09-22T00:00:00"/>
        <d v="2022-03-20T00:00:00"/>
        <d v="2020-01-17T00:00:00"/>
        <d v="2023-07-20T00:00:00"/>
        <d v="2021-09-22T00:00:00"/>
        <d v="2022-08-18T00:00:00"/>
        <d v="2017-04-05T00:00:00"/>
        <d v="2019-11-07T00:00:00"/>
        <d v="2021-09-09T00:00:00"/>
        <d v="2015-12-09T00:00:00"/>
        <d v="2019-01-29T00:00:00"/>
        <d v="2022-01-12T00:00:00"/>
        <d v="2025-08-08T00:00:00"/>
        <d v="2022-11-03T00:00:00"/>
        <d v="2018-06-29T00:00:00"/>
        <d v="2017-07-11T00:00:00"/>
        <d v="2017-10-01T00:00:00"/>
        <d v="2023-04-01T00:00:00"/>
        <d v="2018-02-23T00:00:00"/>
        <d v="2017-11-13T00:00:00"/>
        <d v="2019-08-27T00:00:00"/>
        <d v="2022-05-28T00:00:00"/>
        <d v="2019-01-20T00:00:00"/>
        <d v="2025-08-19T00:00:00"/>
        <d v="2022-12-31T00:00:00"/>
        <d v="2021-02-14T00:00:00"/>
        <d v="2020-05-22T00:00:00"/>
        <d v="2019-09-19T00:00:00"/>
        <d v="2019-10-20T00:00:00"/>
        <d v="2018-10-01T00:00:00"/>
        <d v="2020-12-25T00:00:00"/>
        <d v="2021-05-26T00:00:00"/>
        <d v="2023-01-28T00:00:00"/>
        <d v="2022-09-15T00:00:00"/>
        <d v="2024-04-10T00:00:00"/>
        <d v="2015-10-18T00:00:00"/>
        <d v="2016-07-30T00:00:00"/>
        <d v="2016-03-13T00:00:00"/>
        <d v="2024-11-11T00:00:00"/>
        <d v="2019-11-04T00:00:00"/>
        <d v="2019-11-26T00:00:00"/>
        <d v="2019-12-12T00:00:00"/>
        <d v="2016-06-24T00:00:00"/>
        <d v="2017-11-08T00:00:00"/>
        <d v="2024-07-28T00:00:00"/>
        <d v="2019-10-12T00:00:00"/>
        <d v="2022-08-25T00:00:00"/>
        <d v="2015-10-07T00:00:00"/>
        <d v="2022-12-23T00:00:00"/>
        <d v="2016-12-27T00:00:00"/>
        <d v="2023-02-15T00:00:00"/>
        <d v="2021-12-08T00:00:00"/>
        <d v="2018-12-29T00:00:00"/>
        <d v="2020-06-13T00:00:00"/>
        <d v="2022-12-01T00:00:00"/>
        <d v="2021-08-02T00:00:00"/>
        <d v="2022-11-24T00:00:00"/>
        <d v="2023-08-19T00:00:00"/>
        <d v="2019-04-22T00:00:00"/>
        <d v="2020-04-26T00:00:00"/>
        <d v="2017-01-22T00:00:00"/>
        <d v="2021-01-24T00:00:00"/>
        <d v="2017-07-15T00:00:00"/>
        <d v="2018-11-18T00:00:00"/>
        <d v="2021-12-15T00:00:00"/>
        <d v="2016-01-15T00:00:00"/>
        <d v="2024-03-21T00:00:00"/>
        <d v="2020-12-11T00:00:00"/>
        <d v="2023-08-22T00:00:00"/>
        <d v="2025-02-14T00:00:00"/>
        <d v="2017-02-23T00:00:00"/>
        <d v="2020-09-26T00:00:00"/>
        <d v="2021-04-24T00:00:00"/>
        <d v="2019-02-27T00:00:00"/>
        <d v="2021-03-13T00:00:00"/>
        <d v="2023-11-16T00:00:00"/>
        <d v="2022-12-07T00:00:00"/>
        <d v="2017-12-28T00:00:00"/>
        <d v="2016-07-20T00:00:00"/>
        <d v="2019-09-13T00:00:00"/>
        <d v="2016-08-05T00:00:00"/>
        <d v="2018-11-07T00:00:00"/>
        <d v="2024-11-12T00:00:00"/>
        <d v="2023-02-08T00:00:00"/>
        <d v="2025-08-15T00:00:00"/>
        <d v="2017-10-14T00:00:00"/>
        <d v="2024-10-30T00:00:00"/>
        <d v="2018-11-28T00:00:00"/>
        <d v="2017-03-08T00:00:00"/>
        <d v="2021-04-27T00:00:00"/>
        <d v="2021-11-23T00:00:00"/>
        <d v="2020-10-07T00:00:00"/>
        <d v="2017-01-12T00:00:00"/>
        <d v="2023-05-06T00:00:00"/>
        <d v="2019-06-01T00:00:00"/>
        <d v="2017-06-08T00:00:00"/>
        <d v="2023-07-26T00:00:00"/>
        <d v="2017-06-01T00:00:00"/>
        <d v="2019-11-05T00:00:00"/>
        <d v="2019-05-14T00:00:00"/>
        <d v="2019-10-22T00:00:00"/>
        <d v="2023-12-21T00:00:00"/>
        <d v="2023-04-21T00:00:00"/>
        <d v="2024-02-06T00:00:00"/>
        <d v="2018-06-23T00:00:00"/>
        <d v="2023-02-07T00:00:00"/>
        <d v="2022-05-11T00:00:00"/>
        <d v="2018-07-04T00:00:00"/>
        <d v="2017-12-05T00:00:00"/>
        <d v="2022-04-15T00:00:00"/>
        <d v="2021-09-20T00:00:00"/>
        <d v="2023-03-09T00:00:00"/>
        <d v="2021-10-24T00:00:00"/>
        <d v="2020-07-20T00:00:00"/>
        <d v="2024-07-13T00:00:00"/>
        <d v="2016-07-29T00:00:00"/>
        <d v="2024-04-30T00:00:00"/>
        <d v="2019-07-23T00:00:00"/>
        <d v="2021-12-27T00:00:00"/>
        <d v="2016-01-17T00:00:00"/>
        <d v="2016-02-16T00:00:00"/>
        <d v="2024-06-26T00:00:00"/>
        <d v="2020-01-19T00:00:00"/>
        <d v="2021-06-10T00:00:00"/>
        <d v="2018-10-28T00:00:00"/>
        <d v="2019-09-18T00:00:00"/>
        <d v="2024-07-11T00:00:00"/>
        <d v="2017-10-20T00:00:00"/>
        <d v="2025-05-24T00:00:00"/>
        <d v="2021-10-29T00:00:00"/>
        <d v="2024-01-28T00:00:00"/>
        <d v="2017-08-07T00:00:00"/>
        <d v="2021-05-29T00:00:00"/>
        <d v="2025-01-07T00:00:00"/>
        <d v="2018-09-26T00:00:00"/>
        <d v="2020-09-09T00:00:00"/>
        <d v="2020-10-19T00:00:00"/>
        <d v="2019-01-23T00:00:00"/>
        <d v="2015-11-17T00:00:00"/>
        <d v="2016-08-20T00:00:00"/>
        <d v="2024-07-03T00:00:00"/>
        <d v="2016-02-11T00:00:00"/>
        <d v="2019-03-29T00:00:00"/>
        <d v="2024-08-08T00:00:00"/>
        <d v="2023-06-10T00:00:00"/>
        <d v="2018-09-03T00:00:00"/>
        <d v="2024-11-25T00:00:00"/>
        <d v="2023-02-18T00:00:00"/>
        <d v="2025-01-24T00:00:00"/>
        <d v="2023-06-27T00:00:00"/>
        <d v="2022-08-27T00:00:00"/>
        <d v="2022-08-05T00:00:00"/>
        <d v="2022-10-25T00:00:00"/>
        <d v="2024-04-11T00:00:00"/>
        <d v="2021-03-12T00:00:00"/>
        <d v="2022-01-24T00:00:00"/>
        <d v="2017-07-04T00:00:00"/>
        <d v="2024-06-08T00:00:00"/>
        <d v="2016-07-10T00:00:00"/>
        <d v="2024-05-31T00:00:00"/>
        <d v="2024-07-15T00:00:00"/>
      </sharedItems>
      <fieldGroup par="17"/>
    </cacheField>
    <cacheField name="Months (Join_Date)" numFmtId="0" databaseField="0">
      <fieldGroup base="14">
        <rangePr groupBy="months" startDate="2015-08-23T00:00:00" endDate="2025-08-23T00:00:00"/>
        <groupItems count="14">
          <s v="&lt;23/08/2015"/>
          <s v="Jan"/>
          <s v="Feb"/>
          <s v="Mar"/>
          <s v="Apr"/>
          <s v="May"/>
          <s v="Jun"/>
          <s v="Jul"/>
          <s v="Aug"/>
          <s v="Sep"/>
          <s v="Oct"/>
          <s v="Nov"/>
          <s v="Dec"/>
          <s v="&gt;23/08/2025"/>
        </groupItems>
      </fieldGroup>
    </cacheField>
    <cacheField name="Quarters (Join_Date)" numFmtId="0" databaseField="0">
      <fieldGroup base="14">
        <rangePr groupBy="quarters" startDate="2015-08-23T00:00:00" endDate="2025-08-23T00:00:00"/>
        <groupItems count="6">
          <s v="&lt;23/08/2015"/>
          <s v="Qtr1"/>
          <s v="Qtr2"/>
          <s v="Qtr3"/>
          <s v="Qtr4"/>
          <s v="&gt;23/08/2025"/>
        </groupItems>
      </fieldGroup>
    </cacheField>
    <cacheField name="Years (Join_Date)" numFmtId="0" databaseField="0">
      <fieldGroup base="14">
        <rangePr groupBy="years" startDate="2015-08-23T00:00:00" endDate="2025-08-23T00:00:00"/>
        <groupItems count="13">
          <s v="&lt;23/08/2015"/>
          <s v="2015"/>
          <s v="2016"/>
          <s v="2017"/>
          <s v="2018"/>
          <s v="2019"/>
          <s v="2020"/>
          <s v="2021"/>
          <s v="2022"/>
          <s v="2023"/>
          <s v="2024"/>
          <s v="2025"/>
          <s v="&gt;23/08/2025"/>
        </groupItems>
      </fieldGroup>
    </cacheField>
  </cacheFields>
  <extLst>
    <ext xmlns:x14="http://schemas.microsoft.com/office/spreadsheetml/2009/9/main" uri="{725AE2AE-9491-48be-B2B4-4EB974FC3084}">
      <x14:pivotCacheDefinition pivotCacheId="12053817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43.430147800929" backgroundQuery="1" createdVersion="8" refreshedVersion="8" minRefreshableVersion="3" recordCount="0" supportSubquery="1" supportAdvancedDrill="1" xr:uid="{838EADC1-B6EA-4D67-B361-FDD9A5C637FB}">
  <cacheSource type="external" connectionId="10"/>
  <cacheFields count="2">
    <cacheField name="[Table1].[income bracket].[income bracket]" caption="income bracket" numFmtId="0" hierarchy="78" level="1">
      <sharedItems count="1">
        <s v="Premium"/>
      </sharedItems>
    </cacheField>
    <cacheField name="[Measures].[Count of ComplaintID 2]" caption="Count of ComplaintID 2" numFmtId="0" hierarchy="158"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5682523149" backgroundQuery="1" createdVersion="8" refreshedVersion="8" minRefreshableVersion="3" recordCount="0" supportSubquery="1" supportAdvancedDrill="1" xr:uid="{374807F3-FA3F-4944-AA71-87216142B126}">
  <cacheSource type="external" connectionId="10"/>
  <cacheFields count="2">
    <cacheField name="[Table1].[income bracket].[income bracket]" caption="income bracket" numFmtId="0" hierarchy="78" level="1">
      <sharedItems count="1">
        <s v="Premium"/>
      </sharedItems>
    </cacheField>
    <cacheField name="[Measures].[prem customers]" caption="prem customers" numFmtId="0" hierarchy="113"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oneField="1">
      <fieldsUsage count="1">
        <fieldUsage x="1"/>
      </fieldsUsage>
    </cacheHierarchy>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568634259" backgroundQuery="1" createdVersion="8" refreshedVersion="8" minRefreshableVersion="3" recordCount="0" supportSubquery="1" supportAdvancedDrill="1" xr:uid="{99749DDA-CFB6-45F3-8FC9-1E757C8F8807}">
  <cacheSource type="external" connectionId="10"/>
  <cacheFields count="2">
    <cacheField name="[Table1].[income bracket].[income bracket]" caption="income bracket" numFmtId="0" hierarchy="78" level="1">
      <sharedItems count="1">
        <s v="Premium"/>
      </sharedItems>
    </cacheField>
    <cacheField name="[Measures].[Distinct Count of CustomerID 2]" caption="Distinct Count of CustomerID 2" numFmtId="0" hierarchy="150"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oneField="1" hidden="1">
      <fieldsUsage count="1">
        <fieldUsage x="1"/>
      </fieldsUsage>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48148147" backgroundQuery="1" createdVersion="8" refreshedVersion="8" minRefreshableVersion="3" recordCount="0" supportSubquery="1" supportAdvancedDrill="1" xr:uid="{90F4642B-2189-4F98-A9FF-10C7B306928A}">
  <cacheSource type="external" connectionId="10"/>
  <cacheFields count="4">
    <cacheField name="[Measures].[Average of Credit_Score]" caption="Average of Credit_Score" numFmtId="0" hierarchy="135"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2"/>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1"/>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5277778" backgroundQuery="1" createdVersion="8" refreshedVersion="8" minRefreshableVersion="3" recordCount="0" supportSubquery="1" supportAdvancedDrill="1" xr:uid="{315A8CBF-6BDD-49CA-BD28-3D3983ABE8B6}">
  <cacheSource type="external" connectionId="10"/>
  <cacheFields count="6">
    <cacheField name="[accounts].[Account_Type].[Account_Type]" caption="Account_Type" numFmtId="0" hierarchy="2" level="1">
      <sharedItems containsSemiMixedTypes="0" containsNonDate="0" containsString="0"/>
    </cacheField>
    <cacheField name="[accounts].[Open_Date (Year)].[Open_Date (Year)]" caption="Open_Date (Year)" numFmtId="0" hierarchy="10" level="1">
      <sharedItems count="11">
        <s v="2015"/>
        <s v="2016"/>
        <s v="2017"/>
        <s v="2018"/>
        <s v="2019"/>
        <s v="2020"/>
        <s v="2021"/>
        <s v="2022"/>
        <s v="2023"/>
        <s v="2024"/>
        <s v="2025"/>
      </sharedItems>
    </cacheField>
    <cacheField name="[Measures].[Average of Balance]" caption="Average of Balance" numFmtId="0" hierarchy="137"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0"/>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2" memberValueDatatype="130" unbalanced="0">
      <fieldsUsage count="2">
        <fieldUsage x="-1"/>
        <fieldUsage x="1"/>
      </fieldsUsage>
    </cacheHierarchy>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4"/>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5"/>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3"/>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56944445" backgroundQuery="1" createdVersion="8" refreshedVersion="8" minRefreshableVersion="3" recordCount="0" supportSubquery="1" supportAdvancedDrill="1" xr:uid="{5923661C-746B-4425-B837-0507349F25B7}">
  <cacheSource type="external" connectionId="10"/>
  <cacheFields count="4">
    <cacheField name="[Measures].[Sum of Loan_Amount]" caption="Sum of Loan_Amount" numFmtId="0" hierarchy="134"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2"/>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1"/>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60763886" backgroundQuery="1" createdVersion="8" refreshedVersion="8" minRefreshableVersion="3" recordCount="0" supportSubquery="1" supportAdvancedDrill="1" xr:uid="{C89DBCE7-4878-4487-9C1A-4796163B23CE}">
  <cacheSource type="external" connectionId="10"/>
  <cacheFields count="5">
    <cacheField name="[Table1].[Age group].[Age group]" caption="Age group" numFmtId="0" hierarchy="75" level="1">
      <sharedItems count="4">
        <s v="Boomers"/>
        <s v="GenX"/>
        <s v="GenZ"/>
        <s v="Milennials"/>
      </sharedItems>
    </cacheField>
    <cacheField name="[Measures].[Average of Balance]" caption="Average of Balance" numFmtId="0" hierarchy="137"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3"/>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2"/>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64699073" backgroundQuery="1" createdVersion="8" refreshedVersion="8" minRefreshableVersion="3" recordCount="0" supportSubquery="1" supportAdvancedDrill="1" xr:uid="{3DD4922F-7DDD-432B-8000-6FC85732DFF9}">
  <cacheSource type="external" connectionId="10"/>
  <cacheFields count="4">
    <cacheField name="[Measures].[Average of Balance]" caption="Average of Balance" numFmtId="0" hierarchy="137" level="32767"/>
    <cacheField name="[Table1].[Customer_Segment].[Customer_Segment]" caption="Customer_Segment" numFmtId="0" hierarchy="80" level="1">
      <sharedItems count="3">
        <s v="Corporate"/>
        <s v="Private"/>
        <s v="Retail"/>
      </sharedItems>
    </cacheField>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3"/>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1"/>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2"/>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6863426" backgroundQuery="1" createdVersion="8" refreshedVersion="8" minRefreshableVersion="3" recordCount="0" supportSubquery="1" supportAdvancedDrill="1" xr:uid="{CF579418-D1A9-454B-B4A4-2355598621F6}">
  <cacheSource type="external" connectionId="10"/>
  <cacheFields count="5">
    <cacheField name="[accounts].[Open_Date (Year)].[Open_Date (Year)]" caption="Open_Date (Year)" numFmtId="0" hierarchy="10" level="1">
      <sharedItems count="11">
        <s v="2015"/>
        <s v="2016"/>
        <s v="2017"/>
        <s v="2018"/>
        <s v="2019"/>
        <s v="2020"/>
        <s v="2021"/>
        <s v="2022"/>
        <s v="2023"/>
        <s v="2024"/>
        <s v="2025"/>
      </sharedItems>
    </cacheField>
    <cacheField name="[Measures].[Sum of Balance]" caption="Sum of Balance" numFmtId="0" hierarchy="136"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2" memberValueDatatype="130" unbalanced="0">
      <fieldsUsage count="2">
        <fieldUsage x="-1"/>
        <fieldUsage x="0"/>
      </fieldsUsage>
    </cacheHierarchy>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3"/>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2"/>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73032409" backgroundQuery="1" createdVersion="8" refreshedVersion="8" minRefreshableVersion="3" recordCount="0" supportSubquery="1" supportAdvancedDrill="1" xr:uid="{8E19E4E9-6613-409B-B647-B19DC2DABFDD}">
  <cacheSource type="external" connectionId="10"/>
  <cacheFields count="5">
    <cacheField name="[accounts].[Loan_Status].[Loan_Status]" caption="Loan_Status" numFmtId="0" hierarchy="7" level="1">
      <sharedItems count="2">
        <s v="Approved"/>
        <s v="Rejected"/>
      </sharedItems>
    </cacheField>
    <cacheField name="[Measures].[Average of Credit_Score]" caption="Average of Credit_Score" numFmtId="0" hierarchy="135"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3"/>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2"/>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76736112" backgroundQuery="1" createdVersion="8" refreshedVersion="8" minRefreshableVersion="3" recordCount="0" supportSubquery="1" supportAdvancedDrill="1" xr:uid="{EEDF6AFA-4DDA-4493-9C9D-CB38E2308B55}">
  <cacheSource type="external" connectionId="10"/>
  <cacheFields count="6">
    <cacheField name="[accounts].[Loan_Status].[Loan_Status]" caption="Loan_Status" numFmtId="0" hierarchy="7" level="1">
      <sharedItems count="2">
        <s v="Approved"/>
        <s v="Rejected"/>
      </sharedItems>
    </cacheField>
    <cacheField name="[accounts].[Account_Type].[Account_Type]" caption="Account_Type" numFmtId="0" hierarchy="2" level="1">
      <sharedItems count="2">
        <s v="Checking"/>
        <s v="Savings"/>
      </sharedItems>
    </cacheField>
    <cacheField name="[Measures].[Sum of Balance]" caption="Sum of Balance" numFmtId="0" hierarchy="136"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1"/>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4"/>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5"/>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3"/>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80902776" backgroundQuery="1" createdVersion="8" refreshedVersion="8" minRefreshableVersion="3" recordCount="0" supportSubquery="1" supportAdvancedDrill="1" xr:uid="{CFF42725-D89A-491A-8107-8F5E8F754796}">
  <cacheSource type="external" connectionId="10"/>
  <cacheFields count="7">
    <cacheField name="[accounts].[Loan_Status].[Loan_Status]" caption="Loan_Status" numFmtId="0" hierarchy="7" level="1">
      <sharedItems count="2">
        <s v="Approved"/>
        <s v="Rejected"/>
      </sharedItems>
    </cacheField>
    <cacheField name="[accounts].[Account_Type].[Account_Type]" caption="Account_Type" numFmtId="0" hierarchy="2" level="1">
      <sharedItems count="4">
        <s v="Checking"/>
        <s v="CreditCard"/>
        <s v="Loan"/>
        <s v="Savings"/>
      </sharedItems>
    </cacheField>
    <cacheField name="[Measures].[Count of Account_Type]" caption="Count of Account_Type" numFmtId="0" hierarchy="138"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 name="Unsupported0" numFmtId="0" hierarchy="163" level="32767">
      <extLst>
        <ext xmlns:x14="http://schemas.microsoft.com/office/spreadsheetml/2009/9/main" uri="{63CAB8AC-B538-458d-9737-405883B0398D}">
          <x14:cacheField ignore="1"/>
        </ext>
      </extLst>
    </cacheField>
  </cacheFields>
  <cacheHierarchies count="164">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1"/>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4"/>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5"/>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3"/>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oneField="1" hidden="1">
      <fieldsUsage count="1">
        <fieldUsage x="2"/>
      </fieldsUsage>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y uniqueName="Unsupported0" caption="AccountID" measure="1" count="0">
      <extLst>
        <ext xmlns:x14="http://schemas.microsoft.com/office/spreadsheetml/2009/9/main" uri="{8CF416AD-EC4C-4aba-99F5-12A058AE0983}">
          <x14:cacheHierarchy ignore="1"/>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85995372" backgroundQuery="1" createdVersion="8" refreshedVersion="8" minRefreshableVersion="3" recordCount="0" supportSubquery="1" supportAdvancedDrill="1" xr:uid="{EE75C24B-EA78-4348-8CE0-0343DD5808E4}">
  <cacheSource type="external" connectionId="10"/>
  <cacheFields count="7">
    <cacheField name="[accounts].[Loan_Status].[Loan_Status]" caption="Loan_Status" numFmtId="0" hierarchy="7" level="1">
      <sharedItems count="2">
        <s v="Approved"/>
        <s v="Rejected"/>
      </sharedItems>
    </cacheField>
    <cacheField name="[transactions].[Transaction_Type].[Transaction_Type]" caption="Transaction_Type" numFmtId="0" hierarchy="103" level="1">
      <sharedItems count="4">
        <s v="Deposit"/>
        <s v="Payment"/>
        <s v="Transfer"/>
        <s v="Withdrawal"/>
      </sharedItems>
    </cacheField>
    <cacheField name="[accounts].[credit card holder].[credit card holder]" caption="credit card holder" numFmtId="0" hierarchy="8" level="1">
      <sharedItems count="2">
        <s v="no"/>
        <s v="yes"/>
      </sharedItems>
    </cacheField>
    <cacheField name="[Measures].[Count of TransID]" caption="Count of TransID" numFmtId="0" hierarchy="131"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2" memberValueDatatype="130" unbalanced="0">
      <fieldsUsage count="2">
        <fieldUsage x="-1"/>
        <fieldUsage x="2"/>
      </fieldsUsage>
    </cacheHierarchy>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5"/>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6"/>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fieldsUsage count="2">
        <fieldUsage x="-1"/>
        <fieldUsage x="1"/>
      </fieldsUsage>
    </cacheHierarchy>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4"/>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oneField="1" hidden="1">
      <fieldsUsage count="1">
        <fieldUsage x="3"/>
      </fieldsUsage>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9108796" backgroundQuery="1" createdVersion="8" refreshedVersion="8" minRefreshableVersion="3" recordCount="0" supportSubquery="1" supportAdvancedDrill="1" xr:uid="{85A1B769-7944-41DD-949D-4F6938334521}">
  <cacheSource type="external" connectionId="10"/>
  <cacheFields count="7">
    <cacheField name="[accounts].[Loan_Status].[Loan_Status]" caption="Loan_Status" numFmtId="0" hierarchy="7" level="1">
      <sharedItems count="2">
        <s v="Approved"/>
        <s v="Rejected"/>
      </sharedItems>
    </cacheField>
    <cacheField name="[transactions].[Transaction_Type].[Transaction_Type]" caption="Transaction_Type" numFmtId="0" hierarchy="103" level="1">
      <sharedItems count="4">
        <s v="Deposit"/>
        <s v="Payment"/>
        <s v="Transfer"/>
        <s v="Withdrawal"/>
      </sharedItems>
    </cacheField>
    <cacheField name="[accounts].[credit card holder].[credit card holder]" caption="credit card holder" numFmtId="0" hierarchy="8" level="1">
      <sharedItems count="2">
        <s v="no"/>
        <s v="yes"/>
      </sharedItems>
    </cacheField>
    <cacheField name="[Measures].[Count of TransID]" caption="Count of TransID" numFmtId="0" hierarchy="131"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2" memberValueDatatype="130" unbalanced="0">
      <fieldsUsage count="2">
        <fieldUsage x="-1"/>
        <fieldUsage x="2"/>
      </fieldsUsage>
    </cacheHierarchy>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5"/>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6"/>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fieldsUsage count="2">
        <fieldUsage x="-1"/>
        <fieldUsage x="1"/>
      </fieldsUsage>
    </cacheHierarchy>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4"/>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oneField="1" hidden="1">
      <fieldsUsage count="1">
        <fieldUsage x="3"/>
      </fieldsUsage>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95949071" backgroundQuery="1" createdVersion="8" refreshedVersion="8" minRefreshableVersion="3" recordCount="0" supportSubquery="1" supportAdvancedDrill="1" xr:uid="{828208D1-F15A-4A03-8BFE-10A494A2F0FE}">
  <cacheSource type="external" connectionId="10"/>
  <cacheFields count="5">
    <cacheField name="[accounts].[Loan_Status].[Loan_Status]" caption="Loan_Status" numFmtId="0" hierarchy="7" level="1">
      <sharedItems count="2">
        <s v="Approved"/>
        <s v="Rejected"/>
      </sharedItems>
    </cacheField>
    <cacheField name="[Measures].[Average of Credit_Score]" caption="Average of Credit_Score" numFmtId="0" hierarchy="135"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3"/>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2"/>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00925928" backgroundQuery="1" createdVersion="8" refreshedVersion="8" minRefreshableVersion="3" recordCount="0" supportSubquery="1" supportAdvancedDrill="1" xr:uid="{0AEEA787-39CE-4E46-B3DE-AD7A2A10BD48}">
  <cacheSource type="external" connectionId="10"/>
  <cacheFields count="7">
    <cacheField name="[accounts].[Loan_Status].[Loan_Status]" caption="Loan_Status" numFmtId="0" hierarchy="7" level="1">
      <sharedItems count="2">
        <s v="Approved"/>
        <s v="Rejected"/>
      </sharedItems>
    </cacheField>
    <cacheField name="[accounts].[Account_Type].[Account_Type]" caption="Account_Type" numFmtId="0" hierarchy="2" level="1">
      <sharedItems count="2">
        <s v="Checking"/>
        <s v="Savings"/>
      </sharedItems>
    </cacheField>
    <cacheField name="[accounts].[Open_Date (Year)].[Open_Date (Year)]" caption="Open_Date (Year)" numFmtId="0" hierarchy="10" level="1">
      <sharedItems count="11">
        <s v="2015"/>
        <s v="2016"/>
        <s v="2017"/>
        <s v="2018"/>
        <s v="2019"/>
        <s v="2020"/>
        <s v="2021"/>
        <s v="2022"/>
        <s v="2023"/>
        <s v="2024"/>
        <s v="2025"/>
      </sharedItems>
    </cacheField>
    <cacheField name="[Measures].[Average of Credit_Score]" caption="Average of Credit_Score" numFmtId="0" hierarchy="135"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1"/>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2" memberValueDatatype="130" unbalanced="0">
      <fieldsUsage count="2">
        <fieldUsage x="-1"/>
        <fieldUsage x="2"/>
      </fieldsUsage>
    </cacheHierarchy>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5"/>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6"/>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4"/>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05787039" backgroundQuery="1" createdVersion="8" refreshedVersion="8" minRefreshableVersion="3" recordCount="0" supportSubquery="1" supportAdvancedDrill="1" xr:uid="{39823D1B-D10D-4A86-A6B7-20BDE298C868}">
  <cacheSource type="external" connectionId="10"/>
  <cacheFields count="7">
    <cacheField name="[accounts].[Loan_Status].[Loan_Status]" caption="Loan_Status" numFmtId="0" hierarchy="7" level="1">
      <sharedItems count="2">
        <s v="Approved"/>
        <s v="Rejected"/>
      </sharedItems>
    </cacheField>
    <cacheField name="[accounts].[Account_Type].[Account_Type]" caption="Account_Type" numFmtId="0" hierarchy="2" level="1">
      <sharedItems count="2">
        <s v="Checking"/>
        <s v="Savings"/>
      </sharedItems>
    </cacheField>
    <cacheField name="[accounts].[Open_Date (Year)].[Open_Date (Year)]" caption="Open_Date (Year)" numFmtId="0" hierarchy="10" level="1">
      <sharedItems count="11">
        <s v="2015"/>
        <s v="2016"/>
        <s v="2017"/>
        <s v="2018"/>
        <s v="2019"/>
        <s v="2020"/>
        <s v="2021"/>
        <s v="2022"/>
        <s v="2023"/>
        <s v="2024"/>
        <s v="2025"/>
      </sharedItems>
    </cacheField>
    <cacheField name="[Measures].[Average of Loan_Amount]" caption="Average of Loan_Amount" numFmtId="0" hierarchy="139"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1"/>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2" memberValueDatatype="130" unbalanced="0">
      <fieldsUsage count="2">
        <fieldUsage x="-1"/>
        <fieldUsage x="2"/>
      </fieldsUsage>
    </cacheHierarchy>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5"/>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6"/>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4"/>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10300926" backgroundQuery="1" createdVersion="8" refreshedVersion="8" minRefreshableVersion="3" recordCount="0" supportSubquery="1" supportAdvancedDrill="1" xr:uid="{29999A56-A21A-4156-8CB3-A8C28F67BE60}">
  <cacheSource type="external" connectionId="10"/>
  <cacheFields count="8">
    <cacheField name="[accounts].[Loan_Status].[Loan_Status]" caption="Loan_Status" numFmtId="0" hierarchy="7" level="1">
      <sharedItems count="2">
        <s v="Approved"/>
        <s v="Rejected"/>
      </sharedItems>
    </cacheField>
    <cacheField name="[accounts].[Account_Type].[Account_Type]" caption="Account_Type" numFmtId="0" hierarchy="2" level="1">
      <sharedItems count="2">
        <s v="Checking"/>
        <s v="Savings"/>
      </sharedItems>
    </cacheField>
    <cacheField name="[accounts].[Open_Date (Year)].[Open_Date (Year)]" caption="Open_Date (Year)" numFmtId="0" hierarchy="10" level="1">
      <sharedItems count="11">
        <s v="2015"/>
        <s v="2016"/>
        <s v="2017"/>
        <s v="2018"/>
        <s v="2019"/>
        <s v="2020"/>
        <s v="2021"/>
        <s v="2022"/>
        <s v="2023"/>
        <s v="2024"/>
        <s v="2025"/>
      </sharedItems>
    </cacheField>
    <cacheField name="[Measures].[Sum of Balance]" caption="Sum of Balance" numFmtId="0" hierarchy="136" level="32767"/>
    <cacheField name="[Measures].[Count of Account_Type]" caption="Count of Account_Type" numFmtId="0" hierarchy="138"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1"/>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2" memberValueDatatype="130" unbalanced="0">
      <fieldsUsage count="2">
        <fieldUsage x="-1"/>
        <fieldUsage x="2"/>
      </fieldsUsage>
    </cacheHierarchy>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6"/>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7"/>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5"/>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oneField="1" hidden="1">
      <fieldsUsage count="1">
        <fieldUsage x="3"/>
      </fieldsUsage>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oneField="1" hidden="1">
      <fieldsUsage count="1">
        <fieldUsage x="4"/>
      </fieldsUsage>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15162037" backgroundQuery="1" createdVersion="8" refreshedVersion="8" minRefreshableVersion="3" recordCount="0" supportSubquery="1" supportAdvancedDrill="1" xr:uid="{00FBBFFD-9CA1-48AA-9E64-C0301EA767E2}">
  <cacheSource type="external" connectionId="10"/>
  <cacheFields count="7">
    <cacheField name="[accounts].[Loan_Status].[Loan_Status]" caption="Loan_Status" numFmtId="0" hierarchy="7" level="1">
      <sharedItems count="2">
        <s v="Approved"/>
        <s v="Rejected"/>
      </sharedItems>
    </cacheField>
    <cacheField name="[accounts].[Account_Type].[Account_Type]" caption="Account_Type" numFmtId="0" hierarchy="2" level="1">
      <sharedItems count="4">
        <s v="Checking"/>
        <s v="CreditCard"/>
        <s v="Loan"/>
        <s v="Savings"/>
      </sharedItems>
    </cacheField>
    <cacheField name="[Measures].[Count of Account_Type]" caption="Count of Account_Type" numFmtId="0" hierarchy="138" level="32767"/>
    <cacheField name="[transactions].[Merchant].[Merchant]" caption="Merchant" numFmtId="0" hierarchy="106"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 name="Unsupported0" numFmtId="0" hierarchy="163" level="32767">
      <extLst>
        <ext xmlns:x14="http://schemas.microsoft.com/office/spreadsheetml/2009/9/main" uri="{63CAB8AC-B538-458d-9737-405883B0398D}">
          <x14:cacheField ignore="1"/>
        </ext>
      </extLst>
    </cacheField>
  </cacheFields>
  <cacheHierarchies count="164">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1"/>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4"/>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5"/>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3"/>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oneField="1" hidden="1">
      <fieldsUsage count="1">
        <fieldUsage x="2"/>
      </fieldsUsage>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y uniqueName="Unsupported0" caption="AccountID" measure="1" count="0">
      <extLst>
        <ext xmlns:x14="http://schemas.microsoft.com/office/spreadsheetml/2009/9/main" uri="{8CF416AD-EC4C-4aba-99F5-12A058AE0983}">
          <x14:cacheHierarchy ignore="1"/>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19675925" backgroundQuery="1" createdVersion="8" refreshedVersion="8" minRefreshableVersion="3" recordCount="0" supportSubquery="1" supportAdvancedDrill="1" xr:uid="{E059DD91-2932-450A-95DE-45DDEEB900A8}">
  <cacheSource type="external" connectionId="10"/>
  <cacheFields count="5">
    <cacheField name="[Measures].[Sum of Balance]" caption="Sum of Balance" numFmtId="0" hierarchy="136" level="32767"/>
    <cacheField name="[transactions].[Merchant].[Merchant]" caption="Merchant" numFmtId="0" hierarchy="106" level="1">
      <sharedItems containsSemiMixedTypes="0" containsNonDate="0" containsString="0"/>
    </cacheField>
    <cacheField name="[accounts].[Account_Type].[Account_Type]" caption="Account_Type" numFmtId="0" hierarchy="2" level="1">
      <sharedItems containsSemiMixedTypes="0" containsNonDate="0" containsString="0"/>
    </cacheField>
    <cacheField name="[Table1].[income bracket].[income bracket]" caption="income bracket" numFmtId="0" hierarchy="78"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2"/>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3"/>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1"/>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27662038" backgroundQuery="1" createdVersion="8" refreshedVersion="8" minRefreshableVersion="3" recordCount="0" supportSubquery="1" supportAdvancedDrill="1" xr:uid="{67DA0680-D15E-4D66-AF55-C3609375B166}">
  <cacheSource type="external" connectionId="10"/>
  <cacheFields count="3">
    <cacheField name="[transactions].[Merchant].[Merchant]" caption="Merchant" numFmtId="0" hierarchy="106" level="1">
      <sharedItems count="5">
        <s v="Airbnb"/>
        <s v="Apple"/>
        <s v="LocalStore"/>
        <s v="Shell"/>
        <s v="Uber"/>
      </sharedItems>
    </cacheField>
    <cacheField name="[Measures].[Sum of Amount]" caption="Sum of Amount" numFmtId="0" hierarchy="130" level="32767"/>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2"/>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0"/>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31828702" backgroundQuery="1" createdVersion="8" refreshedVersion="8" minRefreshableVersion="3" recordCount="0" supportSubquery="1" supportAdvancedDrill="1" xr:uid="{1192F9EE-F341-4428-953E-F498C510D620}">
  <cacheSource type="external" connectionId="10"/>
  <cacheFields count="6">
    <cacheField name="[accounts].[credit card holder].[credit card holder]" caption="credit card holder" numFmtId="0" hierarchy="8" level="1">
      <sharedItems count="2">
        <s v="no"/>
        <s v="yes"/>
      </sharedItems>
    </cacheField>
    <cacheField name="[Measures].[Count of TransID]" caption="Count of TransID" numFmtId="0" hierarchy="131" level="32767"/>
    <cacheField name="[transactions].[Transaction_Type].[Transaction_Type]" caption="Transaction_Type" numFmtId="0" hierarchy="103" level="1">
      <sharedItems count="4">
        <s v="Deposit"/>
        <s v="Payment"/>
        <s v="Transfer"/>
        <s v="Withdrawal"/>
      </sharedItems>
    </cacheField>
    <cacheField name="[transactions].[Merchant].[Merchant]" caption="Merchant" numFmtId="0" hierarchy="106"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2" memberValueDatatype="130" unbalanced="0">
      <fieldsUsage count="2">
        <fieldUsage x="-1"/>
        <fieldUsage x="0"/>
      </fieldsUsage>
    </cacheHierarchy>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5"/>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fieldsUsage count="2">
        <fieldUsage x="-1"/>
        <fieldUsage x="2"/>
      </fieldsUsage>
    </cacheHierarchy>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3"/>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oneField="1" hidden="1">
      <fieldsUsage count="1">
        <fieldUsage x="1"/>
      </fieldsUsage>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35069443" backgroundQuery="1" createdVersion="8" refreshedVersion="8" minRefreshableVersion="3" recordCount="0" supportSubquery="1" supportAdvancedDrill="1" xr:uid="{3619F229-2A41-4CCB-8E2A-2BB237860528}">
  <cacheSource type="external" connectionId="10"/>
  <cacheFields count="5">
    <cacheField name="[transactions].[Merchant].[Merchant]" caption="Merchant" numFmtId="0" hierarchy="106" level="1">
      <sharedItems containsSemiMixedTypes="0" containsNonDate="0" containsString="0"/>
    </cacheField>
    <cacheField name="[transactions].[Channel].[Channel]" caption="Channel" numFmtId="0" hierarchy="105" level="1">
      <sharedItems count="4">
        <s v="ATM"/>
        <s v="Branch"/>
        <s v="Online"/>
        <s v="POS"/>
      </sharedItems>
    </cacheField>
    <cacheField name="[Measures].[Sum of Amount]" caption="Sum of Amount" numFmtId="0" hierarchy="130" level="32767"/>
    <cacheField name="[Table1].[Customer_Segment].[Customer_Segment]" caption="Customer_Segment" numFmtId="0" hierarchy="80" level="1">
      <sharedItems containsSemiMixedTypes="0" containsNonDate="0" containsString="0"/>
    </cacheField>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4"/>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1"/>
      </fieldsUsage>
    </cacheHierarchy>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0"/>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oneField="1" hidden="1">
      <fieldsUsage count="1">
        <fieldUsage x="2"/>
      </fieldsUsage>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38541668" backgroundQuery="1" createdVersion="8" refreshedVersion="8" minRefreshableVersion="3" recordCount="0" supportSubquery="1" supportAdvancedDrill="1" xr:uid="{D4600D44-6644-48FA-AAFF-91CADF7A5C68}">
  <cacheSource type="external" connectionId="10"/>
  <cacheFields count="4">
    <cacheField name="[accounts].[Year].[Year]" caption="Year" numFmtId="0" hierarchy="9"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accounts].[Year].&amp;[2015]"/>
            <x15:cachedUniqueName index="1" name="[accounts].[Year].&amp;[2016]"/>
            <x15:cachedUniqueName index="2" name="[accounts].[Year].&amp;[2017]"/>
            <x15:cachedUniqueName index="3" name="[accounts].[Year].&amp;[2018]"/>
            <x15:cachedUniqueName index="4" name="[accounts].[Year].&amp;[2019]"/>
            <x15:cachedUniqueName index="5" name="[accounts].[Year].&amp;[2020]"/>
            <x15:cachedUniqueName index="6" name="[accounts].[Year].&amp;[2021]"/>
            <x15:cachedUniqueName index="7" name="[accounts].[Year].&amp;[2022]"/>
            <x15:cachedUniqueName index="8" name="[accounts].[Year].&amp;[2023]"/>
            <x15:cachedUniqueName index="9" name="[accounts].[Year].&amp;[2024]"/>
            <x15:cachedUniqueName index="10" name="[accounts].[Year].&amp;[2025]"/>
          </x15:cachedUniqueNames>
        </ext>
      </extLst>
    </cacheField>
    <cacheField name="[Measures].[Sum of Amount]" caption="Sum of Amount" numFmtId="0" hierarchy="130" level="32767"/>
    <cacheField name="[Table1].[Customer_Segment].[Customer_Segment]" caption="Customer_Segment" numFmtId="0" hierarchy="80" level="1">
      <sharedItems containsSemiMixedTypes="0" containsNonDate="0" containsString="0"/>
    </cacheField>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2" memberValueDatatype="20" unbalanced="0">
      <fieldsUsage count="2">
        <fieldUsage x="-1"/>
        <fieldUsage x="0"/>
      </fieldsUsage>
    </cacheHierarchy>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3"/>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41782409" backgroundQuery="1" createdVersion="8" refreshedVersion="8" minRefreshableVersion="3" recordCount="0" supportSubquery="1" supportAdvancedDrill="1" xr:uid="{414C1C83-4259-4F33-BEA6-347A135AEF77}">
  <cacheSource type="external" connectionId="10"/>
  <cacheFields count="5">
    <cacheField name="[accounts].[Year].[Year]" caption="Year" numFmtId="0" hierarchy="9"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accounts].[Year].&amp;[2015]"/>
            <x15:cachedUniqueName index="1" name="[accounts].[Year].&amp;[2016]"/>
            <x15:cachedUniqueName index="2" name="[accounts].[Year].&amp;[2017]"/>
            <x15:cachedUniqueName index="3" name="[accounts].[Year].&amp;[2018]"/>
            <x15:cachedUniqueName index="4" name="[accounts].[Year].&amp;[2019]"/>
            <x15:cachedUniqueName index="5" name="[accounts].[Year].&amp;[2020]"/>
            <x15:cachedUniqueName index="6" name="[accounts].[Year].&amp;[2021]"/>
            <x15:cachedUniqueName index="7" name="[accounts].[Year].&amp;[2022]"/>
            <x15:cachedUniqueName index="8" name="[accounts].[Year].&amp;[2023]"/>
            <x15:cachedUniqueName index="9" name="[accounts].[Year].&amp;[2024]"/>
            <x15:cachedUniqueName index="10" name="[accounts].[Year].&amp;[2025]"/>
          </x15:cachedUniqueNames>
        </ext>
      </extLst>
    </cacheField>
    <cacheField name="[Measures].[Count of TransID]" caption="Count of TransID" numFmtId="0" hierarchy="131" level="32767"/>
    <cacheField name="[transactions].[Merchant].[Merchant]" caption="Merchant" numFmtId="0" hierarchy="106"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2" memberValueDatatype="20" unbalanced="0">
      <fieldsUsage count="2">
        <fieldUsage x="-1"/>
        <fieldUsage x="0"/>
      </fieldsUsage>
    </cacheHierarchy>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4"/>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2"/>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oneField="1" hidden="1">
      <fieldsUsage count="1">
        <fieldUsage x="1"/>
      </fieldsUsage>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45370373" backgroundQuery="1" createdVersion="8" refreshedVersion="8" minRefreshableVersion="3" recordCount="0" supportSubquery="1" supportAdvancedDrill="1" xr:uid="{36E8D136-B5E1-4E9A-B855-2545AEF620E1}">
  <cacheSource type="external" connectionId="10"/>
  <cacheFields count="5">
    <cacheField name="[accounts].[Year].[Year]" caption="Year" numFmtId="0" hierarchy="9"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accounts].[Year].&amp;[2015]"/>
            <x15:cachedUniqueName index="1" name="[accounts].[Year].&amp;[2016]"/>
            <x15:cachedUniqueName index="2" name="[accounts].[Year].&amp;[2017]"/>
            <x15:cachedUniqueName index="3" name="[accounts].[Year].&amp;[2018]"/>
            <x15:cachedUniqueName index="4" name="[accounts].[Year].&amp;[2019]"/>
            <x15:cachedUniqueName index="5" name="[accounts].[Year].&amp;[2020]"/>
            <x15:cachedUniqueName index="6" name="[accounts].[Year].&amp;[2021]"/>
            <x15:cachedUniqueName index="7" name="[accounts].[Year].&amp;[2022]"/>
            <x15:cachedUniqueName index="8" name="[accounts].[Year].&amp;[2023]"/>
            <x15:cachedUniqueName index="9" name="[accounts].[Year].&amp;[2024]"/>
            <x15:cachedUniqueName index="10" name="[accounts].[Year].&amp;[2025]"/>
          </x15:cachedUniqueNames>
        </ext>
      </extLst>
    </cacheField>
    <cacheField name="[Measures].[Average of Amount]" caption="Average of Amount" numFmtId="0" hierarchy="132" level="32767"/>
    <cacheField name="[transactions].[Merchant].[Merchant]" caption="Merchant" numFmtId="0" hierarchy="106"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2" memberValueDatatype="20" unbalanced="0">
      <fieldsUsage count="2">
        <fieldUsage x="-1"/>
        <fieldUsage x="0"/>
      </fieldsUsage>
    </cacheHierarchy>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4"/>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2"/>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oneField="1" hidden="1">
      <fieldsUsage count="1">
        <fieldUsage x="1"/>
      </fieldsUsage>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49421298" backgroundQuery="1" createdVersion="8" refreshedVersion="8" minRefreshableVersion="3" recordCount="0" supportSubquery="1" supportAdvancedDrill="1" xr:uid="{9E2303CD-23F0-4F4A-B47C-99964BB9F15E}">
  <cacheSource type="external" connectionId="10"/>
  <cacheFields count="7">
    <cacheField name="[accounts].[Year].[Year]" caption="Year" numFmtId="0" hierarchy="9"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accounts].[Year].&amp;[2015]"/>
            <x15:cachedUniqueName index="1" name="[accounts].[Year].&amp;[2016]"/>
            <x15:cachedUniqueName index="2" name="[accounts].[Year].&amp;[2017]"/>
            <x15:cachedUniqueName index="3" name="[accounts].[Year].&amp;[2018]"/>
            <x15:cachedUniqueName index="4" name="[accounts].[Year].&amp;[2019]"/>
            <x15:cachedUniqueName index="5" name="[accounts].[Year].&amp;[2020]"/>
            <x15:cachedUniqueName index="6" name="[accounts].[Year].&amp;[2021]"/>
            <x15:cachedUniqueName index="7" name="[accounts].[Year].&amp;[2022]"/>
            <x15:cachedUniqueName index="8" name="[accounts].[Year].&amp;[2023]"/>
            <x15:cachedUniqueName index="9" name="[accounts].[Year].&amp;[2024]"/>
            <x15:cachedUniqueName index="10" name="[accounts].[Year].&amp;[2025]"/>
          </x15:cachedUniqueNames>
        </ext>
      </extLst>
    </cacheField>
    <cacheField name="[Measures].[Sum of Amount]" caption="Sum of Amount" numFmtId="0" hierarchy="130" level="32767"/>
    <cacheField name="[Measures].[Average of Amount]" caption="Average of Amount" numFmtId="0" hierarchy="132" level="32767"/>
    <cacheField name="[Measures].[Count of TransID]" caption="Count of TransID" numFmtId="0" hierarchy="131" level="32767"/>
    <cacheField name="[transactions].[Merchant].[Merchant]" caption="Merchant" numFmtId="0" hierarchy="106"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2" memberValueDatatype="20" unbalanced="0">
      <fieldsUsage count="2">
        <fieldUsage x="-1"/>
        <fieldUsage x="0"/>
      </fieldsUsage>
    </cacheHierarchy>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6"/>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5"/>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4"/>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oneField="1" hidden="1">
      <fieldsUsage count="1">
        <fieldUsage x="3"/>
      </fieldsUsage>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oneField="1" hidden="1">
      <fieldsUsage count="1">
        <fieldUsage x="2"/>
      </fieldsUsage>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53703702" backgroundQuery="1" createdVersion="8" refreshedVersion="8" minRefreshableVersion="3" recordCount="0" supportSubquery="1" supportAdvancedDrill="1" xr:uid="{539F9676-11D0-4206-92EC-2170CB82015E}">
  <cacheSource type="external" connectionId="10"/>
  <cacheFields count="4">
    <cacheField name="[transactions].[Merchant].[Merchant]" caption="Merchant" numFmtId="0" hierarchy="106" level="1">
      <sharedItems count="5">
        <s v="Airbnb"/>
        <s v="Apple"/>
        <s v="LocalStore"/>
        <s v="Shell"/>
        <s v="Uber"/>
      </sharedItems>
    </cacheField>
    <cacheField name="[Measures].[Count of TransID]" caption="Count of TransID" numFmtId="0" hierarchy="131" level="32767"/>
    <cacheField name="[Table1].[Customer_Segment].[Customer_Segment]" caption="Customer_Segment" numFmtId="0" hierarchy="80" level="1">
      <sharedItems containsSemiMixedTypes="0" containsNonDate="0" containsString="0"/>
    </cacheField>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3"/>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0"/>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oneField="1" hidden="1">
      <fieldsUsage count="1">
        <fieldUsage x="1"/>
      </fieldsUsage>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57870373" backgroundQuery="1" createdVersion="8" refreshedVersion="8" minRefreshableVersion="3" recordCount="0" supportSubquery="1" supportAdvancedDrill="1" xr:uid="{4DF7929C-8815-4F1C-B5D2-9D818B6B118F}">
  <cacheSource type="external" connectionId="10"/>
  <cacheFields count="5">
    <cacheField name="[transactions].[Merchant].[Merchant]" caption="Merchant" numFmtId="0" hierarchy="106" level="1">
      <sharedItems containsSemiMixedTypes="0" containsNonDate="0" containsString="0"/>
    </cacheField>
    <cacheField name="[transactions].[Transaction_Type].[Transaction_Type]" caption="Transaction_Type" numFmtId="0" hierarchy="103" level="1">
      <sharedItems count="4">
        <s v="Deposit"/>
        <s v="Payment"/>
        <s v="Transfer"/>
        <s v="Withdrawal"/>
      </sharedItems>
    </cacheField>
    <cacheField name="[Measures].[Sum of Amount]" caption="Sum of Amount" numFmtId="0" hierarchy="130" level="32767"/>
    <cacheField name="[Table1].[Customer_Segment].[Customer_Segment]" caption="Customer_Segment" numFmtId="0" hierarchy="80" level="1">
      <sharedItems containsSemiMixedTypes="0" containsNonDate="0" containsString="0"/>
    </cacheField>
    <cacheField name="[Table1].[income bracket].[income bracket]" caption="income bracket" numFmtId="0" hierarchy="78"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4"/>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fieldsUsage count="2">
        <fieldUsage x="-1"/>
        <fieldUsage x="1"/>
      </fieldsUsage>
    </cacheHierarchy>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0"/>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oneField="1" hidden="1">
      <fieldsUsage count="1">
        <fieldUsage x="2"/>
      </fieldsUsage>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61805553" backgroundQuery="1" createdVersion="8" refreshedVersion="8" minRefreshableVersion="3" recordCount="0" supportSubquery="1" supportAdvancedDrill="1" xr:uid="{99D8CBB3-E08A-41AC-A7A4-4DE3128B52BE}">
  <cacheSource type="external" connectionId="10"/>
  <cacheFields count="5">
    <cacheField name="[Table1].[income bracket].[income bracket]" caption="income bracket" numFmtId="0" hierarchy="78" level="1">
      <sharedItems count="4">
        <s v="High"/>
        <s v="Low"/>
        <s v="Medium"/>
        <s v="Premium"/>
      </sharedItems>
    </cacheField>
    <cacheField name="[transactions].[Channel].[Channel]" caption="Channel" numFmtId="0" hierarchy="105" level="1">
      <sharedItems count="4">
        <s v="ATM"/>
        <s v="Branch"/>
        <s v="Online"/>
        <s v="POS"/>
      </sharedItems>
    </cacheField>
    <cacheField name="[Measures].[Count of TransID]" caption="Count of TransID" numFmtId="0" hierarchy="131" level="32767"/>
    <cacheField name="[transactions].[Merchant].[Merchant]" caption="Merchant" numFmtId="0" hierarchy="106"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1"/>
      </fieldsUsage>
    </cacheHierarchy>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3"/>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oneField="1" hidden="1">
      <fieldsUsage count="1">
        <fieldUsage x="2"/>
      </fieldsUsage>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68518519" backgroundQuery="1" createdVersion="8" refreshedVersion="8" minRefreshableVersion="3" recordCount="0" supportSubquery="1" supportAdvancedDrill="1" xr:uid="{0AC51300-B010-471D-BA39-C7E89C491DA1}">
  <cacheSource type="external" connectionId="10"/>
  <cacheFields count="3">
    <cacheField name="[transactions].[Merchant].[Merchant]" caption="Merchant" numFmtId="0" hierarchy="106" level="1">
      <sharedItems count="5">
        <s v="Airbnb"/>
        <s v="Apple"/>
        <s v="LocalStore"/>
        <s v="Shell"/>
        <s v="Uber"/>
      </sharedItems>
    </cacheField>
    <cacheField name="[transactions].[Channel].[Channel]" caption="Channel" numFmtId="0" hierarchy="105" level="1">
      <sharedItems count="4">
        <s v="ATM"/>
        <s v="Branch"/>
        <s v="Online"/>
        <s v="POS"/>
      </sharedItems>
    </cacheField>
    <cacheField name="[Measures].[Count of TransID]" caption="Count of TransID" numFmtId="0" hierarchy="131"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1"/>
      </fieldsUsage>
    </cacheHierarchy>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0"/>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oneField="1" hidden="1">
      <fieldsUsage count="1">
        <fieldUsage x="2"/>
      </fieldsUsage>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7233796" backgroundQuery="1" createdVersion="8" refreshedVersion="8" minRefreshableVersion="3" recordCount="0" supportSubquery="1" supportAdvancedDrill="1" xr:uid="{4862A4E1-D348-4E95-9F76-909D90E0C7C5}">
  <cacheSource type="external" connectionId="10"/>
  <cacheFields count="3">
    <cacheField name="[Table1].[income bracket].[income bracket]" caption="income bracket" numFmtId="0" hierarchy="78" level="1">
      <sharedItems count="1">
        <s v="Premium"/>
      </sharedItems>
    </cacheField>
    <cacheField name="[Measures].[Count of TransID]" caption="Count of TransID" numFmtId="0" hierarchy="131" level="32767"/>
    <cacheField name="[transactions].[Merchant].[Merchant]" caption="Merchant" numFmtId="0" hierarchy="106" level="1">
      <sharedItems count="10">
        <s v="Airbnb"/>
        <s v="Amazon"/>
        <s v="Apple"/>
        <s v="Hospital"/>
        <s v="LocalStore"/>
        <s v="Netflix"/>
        <s v="Shell"/>
        <s v="Target"/>
        <s v="Uber"/>
        <s v="Walmart"/>
      </sharedItems>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fieldsUsage count="2">
        <fieldUsage x="-1"/>
        <fieldUsage x="2"/>
      </fieldsUsage>
    </cacheHierarchy>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oneField="1" hidden="1">
      <fieldsUsage count="1">
        <fieldUsage x="1"/>
      </fieldsUsage>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39803241" backgroundQuery="1" createdVersion="8" refreshedVersion="8" minRefreshableVersion="3" recordCount="0" supportSubquery="1" supportAdvancedDrill="1" xr:uid="{5D1734DE-E46E-4A99-9993-EE5F2FA3784D}">
  <cacheSource type="external" connectionId="10"/>
  <cacheFields count="3">
    <cacheField name="[branches].[City].[City]" caption="City" numFmtId="0" hierarchy="13" level="1">
      <sharedItems count="20">
        <s v="Brittanyland"/>
        <s v="Caldwellburgh"/>
        <s v="Carterstad"/>
        <s v="Hurleyview"/>
        <s v="Javiertown"/>
        <s v="Lake Lynnton"/>
        <s v="Leahtown"/>
        <s v="Lisaville"/>
        <s v="Michaeltown"/>
        <s v="New Adrienne"/>
        <s v="North Daniel"/>
        <s v="Petersonport"/>
        <s v="Port Michaelhaven"/>
        <s v="Robertaport"/>
        <s v="Simonland"/>
        <s v="South Andrew"/>
        <s v="Stevenfurt"/>
        <s v="West Linda"/>
        <s v="West Loganmouth"/>
        <s v="West Robert"/>
      </sharedItems>
    </cacheField>
    <cacheField name="[Measures].[Sum of Operating_Cost]" caption="Sum of Operating_Cost" numFmtId="0" hierarchy="145" level="32767"/>
    <cacheField name="[Measures].[Total Profit]" caption="Total Profit" numFmtId="0" hierarchy="108"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oneField="1">
      <fieldsUsage count="1">
        <fieldUsage x="2"/>
      </fieldsUsage>
    </cacheHierarchy>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01388889" backgroundQuery="1" createdVersion="8" refreshedVersion="8" minRefreshableVersion="3" recordCount="0" supportSubquery="1" supportAdvancedDrill="1" xr:uid="{393DAE7E-5325-4110-ACD8-45C417108B7C}">
  <cacheSource type="external" connectionId="10"/>
  <cacheFields count="2">
    <cacheField name="[branches].[City].[City]" caption="City" numFmtId="0" hierarchy="13" level="1">
      <sharedItems count="5">
        <s v="Caldwellburgh"/>
        <s v="Lisaville"/>
        <s v="Michaeltown"/>
        <s v="North Daniel"/>
        <s v="Robertaport"/>
      </sharedItems>
    </cacheField>
    <cacheField name="[Measures].[Ag revenue per staff]" caption="Ag revenue per staff" numFmtId="0" hierarchy="112"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oneField="1">
      <fieldsUsage count="1">
        <fieldUsage x="1"/>
      </fieldsUsage>
    </cacheHierarchy>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06597224" backgroundQuery="1" createdVersion="8" refreshedVersion="8" minRefreshableVersion="3" recordCount="0" supportSubquery="1" supportAdvancedDrill="1" xr:uid="{7DB1E013-7C7C-422C-BCB7-D817DD727292}">
  <cacheSource type="external" connectionId="10"/>
  <cacheFields count="3">
    <cacheField name="[branches].[City].[City]" caption="City" numFmtId="0" hierarchy="13" level="1">
      <sharedItems count="5">
        <s v="Caldwellburgh"/>
        <s v="Javiertown"/>
        <s v="North Daniel"/>
        <s v="Simonland"/>
        <s v="West Linda"/>
      </sharedItems>
    </cacheField>
    <cacheField name="[Measures].[revenue per staff]" caption="revenue per staff" numFmtId="0" hierarchy="110" level="32767"/>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oneField="1">
      <fieldsUsage count="1">
        <fieldUsage x="1"/>
      </fieldsUsage>
    </cacheHierarchy>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10069441" backgroundQuery="1" createdVersion="8" refreshedVersion="8" minRefreshableVersion="3" recordCount="0" supportSubquery="1" supportAdvancedDrill="1" xr:uid="{68CA5FF0-4CA5-474C-BF7E-915892C0EE37}">
  <cacheSource type="external" connectionId="10"/>
  <cacheFields count="3">
    <cacheField name="[branches].[City].[City]" caption="City" numFmtId="0" hierarchy="13" level="1">
      <sharedItems count="5">
        <s v="Caldwellburgh"/>
        <s v="Lisaville"/>
        <s v="Michaeltown"/>
        <s v="North Daniel"/>
        <s v="Robertaport"/>
      </sharedItems>
    </cacheField>
    <cacheField name="[Measures].[Sum of Staff_Count]" caption="Sum of Staff_Count" numFmtId="0" hierarchy="147" level="32767"/>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13310182" backgroundQuery="1" createdVersion="8" refreshedVersion="8" minRefreshableVersion="3" recordCount="0" supportSubquery="1" supportAdvancedDrill="1" xr:uid="{639E8C22-7BB2-42F9-8DCD-DF8134B9887B}">
  <cacheSource type="external" connectionId="10"/>
  <cacheFields count="4">
    <cacheField name="[branches].[City].[City]" caption="City" numFmtId="0" hierarchy="13" level="1">
      <sharedItems count="5">
        <s v="Caldwellburgh"/>
        <s v="Lisaville"/>
        <s v="Michaeltown"/>
        <s v="North Daniel"/>
        <s v="Robertaport"/>
      </sharedItems>
    </cacheField>
    <cacheField name="[branches].[Index].[Index]" caption="Index" numFmtId="0" hierarchy="17"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branches].[Index].&amp;[1]"/>
            <x15:cachedUniqueName index="1" name="[branches].[Index].&amp;[2]"/>
            <x15:cachedUniqueName index="2" name="[branches].[Index].&amp;[3]"/>
            <x15:cachedUniqueName index="3" name="[branches].[Index].&amp;[4]"/>
            <x15:cachedUniqueName index="4" name="[branches].[Index].&amp;[5]"/>
            <x15:cachedUniqueName index="5" name="[branches].[Index].&amp;[6]"/>
            <x15:cachedUniqueName index="6" name="[branches].[Index].&amp;[7]"/>
            <x15:cachedUniqueName index="7" name="[branches].[Index].&amp;[8]"/>
            <x15:cachedUniqueName index="8" name="[branches].[Index].&amp;[9]"/>
            <x15:cachedUniqueName index="9" name="[branches].[Index].&amp;[10]"/>
            <x15:cachedUniqueName index="10" name="[branches].[Index].&amp;[11]"/>
            <x15:cachedUniqueName index="11" name="[branches].[Index].&amp;[12]"/>
            <x15:cachedUniqueName index="12" name="[branches].[Index].&amp;[13]"/>
            <x15:cachedUniqueName index="13" name="[branches].[Index].&amp;[14]"/>
            <x15:cachedUniqueName index="14" name="[branches].[Index].&amp;[15]"/>
            <x15:cachedUniqueName index="15" name="[branches].[Index].&amp;[16]"/>
            <x15:cachedUniqueName index="16" name="[branches].[Index].&amp;[17]"/>
            <x15:cachedUniqueName index="17" name="[branches].[Index].&amp;[18]"/>
            <x15:cachedUniqueName index="18" name="[branches].[Index].&amp;[19]"/>
            <x15:cachedUniqueName index="19" name="[branches].[Index].&amp;[20]"/>
          </x15:cachedUniqueNames>
        </ext>
      </extLst>
    </cacheField>
    <cacheField name="[Measures].[operating cost ratio]" caption="operating cost ratio" numFmtId="0" hierarchy="111" level="32767"/>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3"/>
      </fieldsUsage>
    </cacheHierarchy>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2" memberValueDatatype="20" unbalanced="0">
      <fieldsUsage count="2">
        <fieldUsage x="-1"/>
        <fieldUsage x="1"/>
      </fieldsUsage>
    </cacheHierarchy>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oneField="1">
      <fieldsUsage count="1">
        <fieldUsage x="2"/>
      </fieldsUsage>
    </cacheHierarchy>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16898146" backgroundQuery="1" createdVersion="8" refreshedVersion="8" minRefreshableVersion="3" recordCount="0" supportSubquery="1" supportAdvancedDrill="1" xr:uid="{F15F2B9C-9008-49DB-B1E0-A8380863B2BD}">
  <cacheSource type="external" connectionId="10"/>
  <cacheFields count="2">
    <cacheField name="[Measures].[Count of BranchID]" caption="Count of BranchID" numFmtId="0" hierarchy="144" level="32767"/>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19675925" backgroundQuery="1" createdVersion="8" refreshedVersion="8" minRefreshableVersion="3" recordCount="0" supportSubquery="1" supportAdvancedDrill="1" xr:uid="{C65BDB12-3086-4E8D-836F-899F282EA854}">
  <cacheSource type="external" connectionId="10"/>
  <cacheFields count="2">
    <cacheField name="[Measures].[Sum of Operating_Cost]" caption="Sum of Operating_Cost" numFmtId="0" hierarchy="145" level="32767"/>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22569442" backgroundQuery="1" createdVersion="8" refreshedVersion="8" minRefreshableVersion="3" recordCount="0" supportSubquery="1" supportAdvancedDrill="1" xr:uid="{07731E57-E554-4E60-BEB2-F39221356810}">
  <cacheSource type="external" connectionId="10"/>
  <cacheFields count="2">
    <cacheField name="[Measures].[Sum of Revenue]" caption="Sum of Revenue" numFmtId="0" hierarchy="146" level="32767"/>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26157406" backgroundQuery="1" createdVersion="8" refreshedVersion="8" minRefreshableVersion="3" recordCount="0" supportSubquery="1" supportAdvancedDrill="1" xr:uid="{9BB82D35-D511-4A5F-BA07-E06ECE87C9A7}">
  <cacheSource type="external" connectionId="10"/>
  <cacheFields count="2">
    <cacheField name="[Measures].[Total Profit]" caption="Total Profit" numFmtId="0" hierarchy="108" level="32767"/>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oneField="1">
      <fieldsUsage count="1">
        <fieldUsage x="0"/>
      </fieldsUsage>
    </cacheHierarchy>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29629631" backgroundQuery="1" createdVersion="8" refreshedVersion="8" minRefreshableVersion="3" recordCount="0" supportSubquery="1" supportAdvancedDrill="1" xr:uid="{1D1B0BEB-7C4B-4EFD-80D9-1F2D92160D75}">
  <cacheSource type="external" connectionId="10"/>
  <cacheFields count="2">
    <cacheField name="[Measures].[Profit Margin]" caption="Profit Margin" numFmtId="0" hierarchy="109" level="32767"/>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oneField="1">
      <fieldsUsage count="1">
        <fieldUsage x="0"/>
      </fieldsUsage>
    </cacheHierarchy>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34259258" backgroundQuery="1" createdVersion="8" refreshedVersion="8" minRefreshableVersion="3" recordCount="0" supportSubquery="1" supportAdvancedDrill="1" xr:uid="{5BD9B0C8-49EE-4FA7-9F73-349529F1E510}">
  <cacheSource type="external" connectionId="10"/>
  <cacheFields count="3">
    <cacheField name="[Measures].[Total Profit]" caption="Total Profit" numFmtId="0" hierarchy="108" level="32767"/>
    <cacheField name="[branches].[City].[City]" caption="City" numFmtId="0" hierarchy="13" level="1">
      <sharedItems count="5">
        <s v="Caldwellburgh"/>
        <s v="Lisaville"/>
        <s v="Michaeltown"/>
        <s v="North Daniel"/>
        <s v="Robertaport"/>
      </sharedItems>
    </cacheField>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2" memberValueDatatype="130" unbalanced="0">
      <fieldsUsage count="2">
        <fieldUsage x="-1"/>
        <fieldUsage x="1"/>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oneField="1">
      <fieldsUsage count="1">
        <fieldUsage x="0"/>
      </fieldsUsage>
    </cacheHierarchy>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39467592" backgroundQuery="1" createdVersion="8" refreshedVersion="8" minRefreshableVersion="3" recordCount="0" supportSubquery="1" supportAdvancedDrill="1" xr:uid="{8C6BA8E2-76DC-4978-8D25-18814BDAF7B2}">
  <cacheSource type="external" connectionId="10"/>
  <cacheFields count="4">
    <cacheField name="[branches].[City].[City]" caption="City" numFmtId="0" hierarchy="13" level="1">
      <sharedItems count="20">
        <s v="Brittanyland"/>
        <s v="Caldwellburgh"/>
        <s v="Carterstad"/>
        <s v="Hurleyview"/>
        <s v="Javiertown"/>
        <s v="Lake Lynnton"/>
        <s v="Leahtown"/>
        <s v="Lisaville"/>
        <s v="Michaeltown"/>
        <s v="New Adrienne"/>
        <s v="North Daniel"/>
        <s v="Petersonport"/>
        <s v="Port Michaelhaven"/>
        <s v="Robertaport"/>
        <s v="Simonland"/>
        <s v="South Andrew"/>
        <s v="Stevenfurt"/>
        <s v="West Linda"/>
        <s v="West Loganmouth"/>
        <s v="West Robert"/>
      </sharedItems>
    </cacheField>
    <cacheField name="[Measures].[revenue per staff]" caption="revenue per staff" numFmtId="0" hierarchy="110" level="32767"/>
    <cacheField name="[Measures].[Sum of Staff_Count]" caption="Sum of Staff_Count" numFmtId="0" hierarchy="147" level="32767"/>
    <cacheField name="[branches].[Region].[Region]" caption="Region" numFmtId="0" hierarchy="12"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3"/>
      </fieldsUsage>
    </cacheHierarchy>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oneField="1">
      <fieldsUsage count="1">
        <fieldUsage x="1"/>
      </fieldsUsage>
    </cacheHierarchy>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30324075" backgroundQuery="1" createdVersion="8" refreshedVersion="8" minRefreshableVersion="3" recordCount="0" supportSubquery="1" supportAdvancedDrill="1" xr:uid="{73409604-4A0A-483E-A306-DC39F718D4E9}">
  <cacheSource type="external" connectionId="10"/>
  <cacheFields count="4">
    <cacheField name="[Table1].[income bracket].[income bracket]" caption="income bracket" numFmtId="0" hierarchy="78" level="1">
      <sharedItems count="1">
        <s v="Premium"/>
      </sharedItems>
    </cacheField>
    <cacheField name="[Copy of complaints].[Status].[Status]" caption="Status" numFmtId="0" hierarchy="50" level="1">
      <sharedItems count="1">
        <s v="Resolved"/>
      </sharedItems>
    </cacheField>
    <cacheField name="[Measures].[Average of Resolution_Time(days)]" caption="Average of Resolution_Time(days)" numFmtId="0" hierarchy="155" level="32767"/>
    <cacheField name="[Copy of complaints].[Complaint_Type].[Complaint_Type]" caption="Complaint_Type" numFmtId="0" hierarchy="49" level="1">
      <sharedItems count="4">
        <s v="Charges Dispute"/>
        <s v="Fraud"/>
        <s v="Service Delay"/>
        <s v="Technical Issue"/>
      </sharedItems>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2" memberValueDatatype="130" unbalanced="0">
      <fieldsUsage count="2">
        <fieldUsage x="-1"/>
        <fieldUsage x="3"/>
      </fieldsUsage>
    </cacheHierarchy>
    <cacheHierarchy uniqueName="[Copy of complaints].[Status]" caption="Status" attribute="1" defaultMemberUniqueName="[Copy of complaints].[Status].[All]" allUniqueName="[Copy of complaints].[Status].[All]" dimensionUniqueName="[Copy of complaints]" displayFolder="" count="2" memberValueDatatype="130" unbalanced="0">
      <fieldsUsage count="2">
        <fieldUsage x="-1"/>
        <fieldUsage x="1"/>
      </fieldsUsage>
    </cacheHierarchy>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oneField="1" hidden="1">
      <fieldsUsage count="1">
        <fieldUsage x="2"/>
      </fieldsUsage>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34143516" backgroundQuery="1" createdVersion="8" refreshedVersion="8" minRefreshableVersion="3" recordCount="0" supportSubquery="1" supportAdvancedDrill="1" xr:uid="{392FF723-7794-49EE-AC9F-58DF8E9B5164}">
  <cacheSource type="external" connectionId="10"/>
  <cacheFields count="2">
    <cacheField name="[Copy of complaints].[Status].[Status]" caption="Status" numFmtId="0" hierarchy="50" level="1">
      <sharedItems count="3">
        <s v="In Progress"/>
        <s v="Open"/>
        <s v="Resolved"/>
      </sharedItems>
    </cacheField>
    <cacheField name="[Measures].[Distinct Count of ComplaintID]" caption="Distinct Count of ComplaintID" numFmtId="0" hierarchy="149"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2" memberValueDatatype="130" unbalanced="0">
      <fieldsUsage count="2">
        <fieldUsage x="-1"/>
        <fieldUsage x="0"/>
      </fieldsUsage>
    </cacheHierarchy>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oneField="1" hidden="1">
      <fieldsUsage count="1">
        <fieldUsage x="1"/>
      </fieldsUsage>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38078703" backgroundQuery="1" createdVersion="8" refreshedVersion="8" minRefreshableVersion="3" recordCount="0" supportSubquery="1" supportAdvancedDrill="1" xr:uid="{DB93EEF6-8BE7-4549-B527-876189938E30}">
  <cacheSource type="external" connectionId="10"/>
  <cacheFields count="2">
    <cacheField name="[Copy of complaints].[Status].[Status]" caption="Status" numFmtId="0" hierarchy="50" level="1">
      <sharedItems count="3">
        <s v="In Progress"/>
        <s v="Open"/>
        <s v="Resolved"/>
      </sharedItems>
    </cacheField>
    <cacheField name="[Measures].[Distinct Count of ComplaintID]" caption="Distinct Count of ComplaintID" numFmtId="0" hierarchy="149"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2" memberValueDatatype="130" unbalanced="0">
      <fieldsUsage count="2">
        <fieldUsage x="-1"/>
        <fieldUsage x="0"/>
      </fieldsUsage>
    </cacheHierarchy>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oneField="1" hidden="1">
      <fieldsUsage count="1">
        <fieldUsage x="1"/>
      </fieldsUsage>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42592591" backgroundQuery="1" createdVersion="8" refreshedVersion="8" minRefreshableVersion="3" recordCount="0" supportSubquery="1" supportAdvancedDrill="1" xr:uid="{29FE7399-1D7B-4C57-8B96-A6117DA7FD37}">
  <cacheSource type="external" connectionId="10"/>
  <cacheFields count="2">
    <cacheField name="[Copy of complaints].[Status].[Status]" caption="Status" numFmtId="0" hierarchy="50" level="1">
      <sharedItems count="3">
        <s v="In Progress"/>
        <s v="Open"/>
        <s v="Resolved"/>
      </sharedItems>
    </cacheField>
    <cacheField name="[Measures].[Count of ComplaintID]" caption="Count of ComplaintID" numFmtId="0" hierarchy="148"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2" memberValueDatatype="130" unbalanced="0">
      <fieldsUsage count="2">
        <fieldUsage x="-1"/>
        <fieldUsage x="0"/>
      </fieldsUsage>
    </cacheHierarchy>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1"/>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46759263" backgroundQuery="1" createdVersion="8" refreshedVersion="8" minRefreshableVersion="3" recordCount="0" supportSubquery="1" supportAdvancedDrill="1" xr:uid="{89B96617-F182-4B2C-8945-223262037DB0}">
  <cacheSource type="external" connectionId="10"/>
  <cacheFields count="2">
    <cacheField name="[Table1].[income bracket].[income bracket]" caption="income bracket" numFmtId="0" hierarchy="78" level="1">
      <sharedItems count="1">
        <s v="Premium"/>
      </sharedItems>
    </cacheField>
    <cacheField name="[Measures].[prem customer with complaint]" caption="prem customer with complaint" numFmtId="0" hierarchy="114"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oneField="1">
      <fieldsUsage count="1">
        <fieldUsage x="1"/>
      </fieldsUsage>
    </cacheHierarchy>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50810188" backgroundQuery="1" createdVersion="8" refreshedVersion="8" minRefreshableVersion="3" recordCount="0" supportSubquery="1" supportAdvancedDrill="1" xr:uid="{D8142D12-8EA7-497C-953A-1B9511B47B21}">
  <cacheSource type="external" connectionId="10"/>
  <cacheFields count="2">
    <cacheField name="[Table1].[income bracket].[income bracket]" caption="income bracket" numFmtId="0" hierarchy="78" level="1">
      <sharedItems count="1">
        <s v="Premium"/>
      </sharedItems>
    </cacheField>
    <cacheField name="[Measures].[Distinct Count of CustomerID 3]" caption="Distinct Count of CustomerID 3" numFmtId="0" hierarchy="152"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54398145" backgroundQuery="1" createdVersion="8" refreshedVersion="8" minRefreshableVersion="3" recordCount="0" supportSubquery="1" supportAdvancedDrill="1" xr:uid="{AC7E6DDF-D940-484A-AF6E-583141A9CA8C}">
  <cacheSource type="external" connectionId="10"/>
  <cacheFields count="2">
    <cacheField name="[Table1].[income bracket].[income bracket]" caption="income bracket" numFmtId="0" hierarchy="78" level="1">
      <sharedItems count="1">
        <s v="Premium"/>
      </sharedItems>
    </cacheField>
    <cacheField name="[Measures].[Count of ComplaintID]" caption="Count of ComplaintID" numFmtId="0" hierarchy="148"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1"/>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5787037" backgroundQuery="1" createdVersion="8" refreshedVersion="8" minRefreshableVersion="3" recordCount="0" supportSubquery="1" supportAdvancedDrill="1" xr:uid="{D1E5BD2E-AAE4-4104-B755-EED9424B0D3E}">
  <cacheSource type="external" connectionId="10"/>
  <cacheFields count="2">
    <cacheField name="[Table1].[income bracket].[income bracket]" caption="income bracket" numFmtId="0" hierarchy="78" level="1">
      <sharedItems count="1">
        <s v="Premium"/>
      </sharedItems>
    </cacheField>
    <cacheField name="[Measures].[Count of ComplaintID]" caption="Count of ComplaintID" numFmtId="0" hierarchy="148"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1"/>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61226849" backgroundQuery="1" createdVersion="8" refreshedVersion="8" minRefreshableVersion="3" recordCount="0" supportSubquery="1" supportAdvancedDrill="1" xr:uid="{2FD0104E-7125-4275-8D49-784AFF1EE13E}">
  <cacheSource type="external" connectionId="10"/>
  <cacheFields count="2">
    <cacheField name="[branches].[City].[City]" caption="City" numFmtId="0" hierarchy="13" level="1">
      <sharedItems count="5">
        <s v="Caldwellburgh"/>
        <s v="Lisaville"/>
        <s v="Michaeltown"/>
        <s v="North Daniel"/>
        <s v="Robertaport"/>
      </sharedItems>
    </cacheField>
    <cacheField name="[Measures].[Count of ComplaintID]" caption="Count of ComplaintID" numFmtId="0" hierarchy="148" level="32767"/>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1"/>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65740737" backgroundQuery="1" createdVersion="8" refreshedVersion="8" minRefreshableVersion="3" recordCount="0" supportSubquery="1" supportAdvancedDrill="1" xr:uid="{2BCD9BA6-42E7-4D7D-AC5E-A7282949EE24}">
  <cacheSource type="external" connectionId="10"/>
  <cacheFields count="5">
    <cacheField name="[branches].[City].[City]" caption="City" numFmtId="0" hierarchy="13" level="1">
      <sharedItems count="5">
        <s v="Caldwellburgh"/>
        <s v="Lisaville"/>
        <s v="Michaeltown"/>
        <s v="North Daniel"/>
        <s v="Robertaport"/>
      </sharedItems>
    </cacheField>
    <cacheField name="[Copy of complaints].[Complaint_Type].[Complaint_Type]" caption="Complaint_Type" numFmtId="0" hierarchy="49" level="1">
      <sharedItems count="5">
        <s v="Charges Dispute"/>
        <s v="Fraud"/>
        <s v="Others"/>
        <s v="Service Delay"/>
        <s v="Technical Issue"/>
      </sharedItems>
    </cacheField>
    <cacheField name="[Measures].[Count of ComplaintID]" caption="Count of ComplaintID" numFmtId="0" hierarchy="148" level="32767"/>
    <cacheField name="[Table1].[Region].[Region]" caption="Region" numFmtId="0" hierarchy="77" level="1">
      <sharedItems count="4">
        <s v="East"/>
        <s v="North"/>
        <s v="South"/>
        <s v="West"/>
      </sharedItems>
    </cacheField>
    <cacheField name="[Merge1].[accounts.Account_Type].[accounts.Account_Type]" caption="accounts.Account_Type" numFmtId="0" hierarchy="7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2" memberValueDatatype="130" unbalanced="0">
      <fieldsUsage count="2">
        <fieldUsage x="-1"/>
        <fieldUsage x="1"/>
      </fieldsUsage>
    </cacheHierarchy>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2" memberValueDatatype="130" unbalanced="0">
      <fieldsUsage count="2">
        <fieldUsage x="-1"/>
        <fieldUsage x="4"/>
      </fieldsUsage>
    </cacheHierarchy>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2"/>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72453703" backgroundQuery="1" createdVersion="8" refreshedVersion="8" minRefreshableVersion="3" recordCount="0" supportSubquery="1" supportAdvancedDrill="1" xr:uid="{22BF10E1-05F1-4A33-8C47-BC84755C46CE}">
  <cacheSource type="external" connectionId="10"/>
  <cacheFields count="7">
    <cacheField name="[Measures].[Count of ComplaintID 3]" caption="Count of ComplaintID 3" numFmtId="0" hierarchy="159" level="32767"/>
    <cacheField name="[Merge1].[Complaint_Type].[Complaint_Type]" caption="Complaint_Type" numFmtId="0" hierarchy="64" level="1">
      <sharedItems count="5">
        <s v="Charges Dispute"/>
        <s v="Fraud"/>
        <s v="Others"/>
        <s v="Service Delay"/>
        <s v="Technical Issue"/>
      </sharedItems>
    </cacheField>
    <cacheField name="[Merge1].[accounts.Account_Type].[accounts.Account_Type]" caption="accounts.Account_Type" numFmtId="0" hierarchy="70" level="1">
      <sharedItems containsBlank="1" count="5">
        <s v="Checking"/>
        <s v="CreditCard"/>
        <s v="Loan"/>
        <s v="Savings"/>
        <m u="1"/>
      </sharedItems>
    </cacheField>
    <cacheField name="[branches].[BranchID].[BranchID]" caption="BranchID" numFmtId="0" hierarchy="11" level="1">
      <sharedItems containsSemiMixedTypes="0" containsNonDate="0" containsString="0"/>
    </cacheField>
    <cacheField name="[accounts].[Loan_Amount].[Loan_Amount]" caption="Loan_Amount" numFmtId="0" hierarchy="6"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 name="[Copy of complaints].[Date (Year)].[Date (Year)]" caption="Date (Year)" numFmtId="0" hierarchy="54"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2" memberValueDatatype="20" unbalanced="0">
      <fieldsUsage count="2">
        <fieldUsage x="-1"/>
        <fieldUsage x="4"/>
      </fieldsUsage>
    </cacheHierarchy>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2" memberValueDatatype="130" unbalanced="0">
      <fieldsUsage count="2">
        <fieldUsage x="-1"/>
        <fieldUsage x="3"/>
      </fieldsUsage>
    </cacheHierarchy>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2" memberValueDatatype="130" unbalanced="0">
      <fieldsUsage count="2">
        <fieldUsage x="-1"/>
        <fieldUsage x="6"/>
      </fieldsUsage>
    </cacheHierarchy>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2" memberValueDatatype="130" unbalanced="0">
      <fieldsUsage count="2">
        <fieldUsage x="-1"/>
        <fieldUsage x="1"/>
      </fieldsUsage>
    </cacheHierarchy>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2" memberValueDatatype="130" unbalanced="0">
      <fieldsUsage count="2">
        <fieldUsage x="-1"/>
        <fieldUsage x="2"/>
      </fieldsUsage>
    </cacheHierarchy>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5"/>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oneField="1" hidden="1">
      <fieldsUsage count="1">
        <fieldUsage x="0"/>
      </fieldsUsage>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76157405" backgroundQuery="1" createdVersion="8" refreshedVersion="8" minRefreshableVersion="3" recordCount="0" supportSubquery="1" supportAdvancedDrill="1" xr:uid="{F524892A-FEF0-4604-93B0-80549359944B}">
  <cacheSource type="external" connectionId="10"/>
  <cacheFields count="3">
    <cacheField name="[Copy of complaints].[Complaint_Type].[Complaint_Type]" caption="Complaint_Type" numFmtId="0" hierarchy="49" level="1">
      <sharedItems count="5">
        <s v="Charges Dispute"/>
        <s v="Fraud"/>
        <s v="Others"/>
        <s v="Service Delay"/>
        <s v="Technical Issue"/>
      </sharedItems>
    </cacheField>
    <cacheField name="[Measures].[Count of ComplaintID]" caption="Count of ComplaintID" numFmtId="0" hierarchy="148" level="32767"/>
    <cacheField name="[Table1].[Customer_Segment].[Customer_Segment]" caption="Customer_Segment" numFmtId="0" hierarchy="80" level="1">
      <sharedItems count="3">
        <s v="Corporate"/>
        <s v="Private"/>
        <s v="Retail"/>
      </sharedItems>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2" memberValueDatatype="130" unbalanced="0">
      <fieldsUsage count="2">
        <fieldUsage x="-1"/>
        <fieldUsage x="0"/>
      </fieldsUsage>
    </cacheHierarchy>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1"/>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79861108" backgroundQuery="1" createdVersion="8" refreshedVersion="8" minRefreshableVersion="3" recordCount="0" supportSubquery="1" supportAdvancedDrill="1" xr:uid="{64F600DF-E40D-4AC5-AFCA-602D548A593C}">
  <cacheSource type="external" connectionId="10"/>
  <cacheFields count="3">
    <cacheField name="[Table1].[income bracket].[income bracket]" caption="income bracket" numFmtId="0" hierarchy="78" level="1">
      <sharedItems count="1">
        <s v="Premium"/>
      </sharedItems>
    </cacheField>
    <cacheField name="[Measures].[% premium users affected]" caption="% premium users affected" numFmtId="0" hierarchy="115" level="32767"/>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83912034" backgroundQuery="1" createdVersion="8" refreshedVersion="8" minRefreshableVersion="3" recordCount="0" supportSubquery="1" supportAdvancedDrill="1" xr:uid="{8D82DF49-96F4-4CEF-8986-CE05C524CF59}">
  <cacheSource type="external" connectionId="10"/>
  <cacheFields count="4">
    <cacheField name="[branches].[City].[City]" caption="City" numFmtId="0" hierarchy="13" level="1">
      <sharedItems count="5">
        <s v="Caldwellburgh"/>
        <s v="Lisaville"/>
        <s v="Michaeltown"/>
        <s v="North Daniel"/>
        <s v="Robertaport"/>
      </sharedItems>
    </cacheField>
    <cacheField name="[Measures].[Count of ComplaintID]" caption="Count of ComplaintID" numFmtId="0" hierarchy="148" level="32767"/>
    <cacheField name="[Copy of complaints].[Urgency Flag].[Urgency Flag]" caption="Urgency Flag" numFmtId="0" hierarchy="52" level="1">
      <sharedItems count="2">
        <s v="Not Urgent"/>
        <s v="Urgent Fraud"/>
      </sharedItems>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2" memberValueDatatype="130" unbalanced="0">
      <fieldsUsage count="2">
        <fieldUsage x="-1"/>
        <fieldUsage x="2"/>
      </fieldsUsage>
    </cacheHierarchy>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1"/>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87384259" backgroundQuery="1" createdVersion="8" refreshedVersion="8" minRefreshableVersion="3" recordCount="0" supportSubquery="1" supportAdvancedDrill="1" xr:uid="{CCE22C99-90BC-47C9-8C5F-BB43C20589E5}">
  <cacheSource type="external" connectionId="10"/>
  <cacheFields count="5">
    <cacheField name="[Table1].[income bracket].[income bracket]" caption="income bracket" numFmtId="0" hierarchy="78" level="1">
      <sharedItems count="1">
        <s v="Premium"/>
      </sharedItems>
    </cacheField>
    <cacheField name="[Copy of complaints].[Status].[Status]" caption="Status" numFmtId="0" hierarchy="50" level="1">
      <sharedItems containsSemiMixedTypes="0" containsNonDate="0" containsString="0"/>
    </cacheField>
    <cacheField name="[Measures].[Count of ComplaintID]" caption="Count of ComplaintID" numFmtId="0" hierarchy="148" level="32767"/>
    <cacheField name="[Measures].[Average of Backlog]" caption="Average of Backlog" numFmtId="0" hierarchy="157" level="32767"/>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2" memberValueDatatype="130" unbalanced="0">
      <fieldsUsage count="2">
        <fieldUsage x="-1"/>
        <fieldUsage x="1"/>
      </fieldsUsage>
    </cacheHierarchy>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2"/>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oneField="1" hidden="1">
      <fieldsUsage count="1">
        <fieldUsage x="3"/>
      </fieldsUsage>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91319446" backgroundQuery="1" createdVersion="8" refreshedVersion="8" minRefreshableVersion="3" recordCount="0" supportSubquery="1" supportAdvancedDrill="1" xr:uid="{9A6B66A9-486B-42C8-8D5A-10EF447D2137}">
  <cacheSource type="external" connectionId="10"/>
  <cacheFields count="3">
    <cacheField name="[Measures].[Count of ComplaintID]" caption="Count of ComplaintID" numFmtId="0" hierarchy="148" level="32767"/>
    <cacheField name="[Copy of complaints].[Date (Month)].[Date (Month)]" caption="Date (Month)" numFmtId="0" hierarchy="56" level="1">
      <sharedItems count="12">
        <s v="Jan"/>
        <s v="Feb"/>
        <s v="Mar"/>
        <s v="Apr"/>
        <s v="May"/>
        <s v="Jun"/>
        <s v="Jul"/>
        <s v="Aug"/>
        <s v="Sep"/>
        <s v="Oct"/>
        <s v="Nov"/>
        <s v="Dec"/>
      </sharedItems>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2" memberValueDatatype="130" unbalanced="0">
      <fieldsUsage count="2">
        <fieldUsage x="-1"/>
        <fieldUsage x="1"/>
      </fieldsUsage>
    </cacheHierarchy>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0"/>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95833334" backgroundQuery="1" createdVersion="8" refreshedVersion="8" minRefreshableVersion="3" recordCount="0" supportSubquery="1" supportAdvancedDrill="1" xr:uid="{F9A9F92B-FCFB-417F-B369-E675BB41452C}">
  <cacheSource type="external" connectionId="10"/>
  <cacheFields count="3">
    <cacheField name="[Copy of complaints].[Status].[Status]" caption="Status" numFmtId="0" hierarchy="50" level="1">
      <sharedItems count="3">
        <s v="In Progress"/>
        <s v="Open"/>
        <s v="Resolved"/>
      </sharedItems>
    </cacheField>
    <cacheField name="[Measures].[Average of Resolution_Time(days)]" caption="Average of Resolution_Time(days)" numFmtId="0" hierarchy="155" level="32767"/>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2" memberValueDatatype="130" unbalanced="0">
      <fieldsUsage count="2">
        <fieldUsage x="-1"/>
        <fieldUsage x="0"/>
      </fieldsUsage>
    </cacheHierarchy>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900578706" backgroundQuery="1" createdVersion="8" refreshedVersion="8" minRefreshableVersion="3" recordCount="0" supportSubquery="1" supportAdvancedDrill="1" xr:uid="{E71CED47-1C51-426C-80F1-66F342E30C32}">
  <cacheSource type="external" connectionId="10"/>
  <cacheFields count="6">
    <cacheField name="[Table1].[income bracket].[income bracket]" caption="income bracket" numFmtId="0" hierarchy="78" level="1">
      <sharedItems count="1">
        <s v="Premium"/>
      </sharedItems>
    </cacheField>
    <cacheField name="[Copy of complaints].[Complaint_Type].[Complaint_Type]" caption="Complaint_Type" numFmtId="0" hierarchy="49" level="1">
      <sharedItems count="1">
        <s v="Fraud"/>
      </sharedItems>
    </cacheField>
    <cacheField name="[Copy of complaints].[Status].[Status]" caption="Status" numFmtId="0" hierarchy="50" level="1">
      <sharedItems containsSemiMixedTypes="0" containsNonDate="0" containsString="0"/>
    </cacheField>
    <cacheField name="[Measures].[Count of ComplaintID]" caption="Count of ComplaintID" numFmtId="0" hierarchy="148" level="32767"/>
    <cacheField name="[Table1].[Customer_Segment].[Customer_Segment]" caption="Customer_Segment" numFmtId="0" hierarchy="80" level="1">
      <sharedItems containsSemiMixedTypes="0" containsNonDate="0" containsString="0"/>
    </cacheField>
    <cacheField name="[Table1].[Region].[Region]" caption="Region" numFmtId="0" hierarchy="77"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2" memberValueDatatype="130" unbalanced="0">
      <fieldsUsage count="2">
        <fieldUsage x="-1"/>
        <fieldUsage x="1"/>
      </fieldsUsage>
    </cacheHierarchy>
    <cacheHierarchy uniqueName="[Copy of complaints].[Status]" caption="Status" attribute="1" defaultMemberUniqueName="[Copy of complaints].[Status].[All]" allUniqueName="[Copy of complaints].[Status].[All]" dimensionUniqueName="[Copy of complaints]" displayFolder="" count="2" memberValueDatatype="130" unbalanced="0">
      <fieldsUsage count="2">
        <fieldUsage x="-1"/>
        <fieldUsage x="2"/>
      </fieldsUsage>
    </cacheHierarchy>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5"/>
      </fieldsUsage>
    </cacheHierarchy>
    <cacheHierarchy uniqueName="[Table1].[income bracket]" caption="income bracket" attribute="1" defaultMemberUniqueName="[Table1].[income bracket].[All]" allUniqueName="[Table1].[income bracket].[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3"/>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904513886" backgroundQuery="1" createdVersion="8" refreshedVersion="8" minRefreshableVersion="3" recordCount="0" supportSubquery="1" supportAdvancedDrill="1" xr:uid="{94B3296E-7F98-4DA5-B24E-E1C9EF1328DD}">
  <cacheSource type="external" connectionId="10"/>
  <cacheFields count="3">
    <cacheField name="[Measures].[Count of ComplaintID]" caption="Count of ComplaintID" numFmtId="0" hierarchy="148" level="32767"/>
    <cacheField name="[Copy of complaints].[reslved bracket].[reslved bracket]" caption="reslved bracket" numFmtId="0" hierarchy="53" level="1">
      <sharedItems count="2">
        <s v="No"/>
        <s v="yes"/>
      </sharedItems>
    </cacheField>
    <cacheField name="[Table1].[Customer_Segment].[Customer_Segment]" caption="Customer_Segment" numFmtId="0" hierarchy="80"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2" memberValueDatatype="130" unbalanced="0">
      <fieldsUsage count="2">
        <fieldUsage x="-1"/>
        <fieldUsage x="1"/>
      </fieldsUsage>
    </cacheHierarchy>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0"/>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908796296" backgroundQuery="1" createdVersion="8" refreshedVersion="8" minRefreshableVersion="3" recordCount="0" supportSubquery="1" supportAdvancedDrill="1" xr:uid="{AE2A2C90-276F-4BA8-A8DB-03FFAE770B88}">
  <cacheSource type="external" connectionId="10"/>
  <cacheFields count="6">
    <cacheField name="[branches].[City].[City]" caption="City" numFmtId="0" hierarchy="13" level="1">
      <sharedItems count="5">
        <s v="Caldwellburgh"/>
        <s v="Lisaville"/>
        <s v="Michaeltown"/>
        <s v="North Daniel"/>
        <s v="Robertaport"/>
      </sharedItems>
    </cacheField>
    <cacheField name="[Copy of complaints].[Complaint_Type].[Complaint_Type]" caption="Complaint_Type" numFmtId="0" hierarchy="49" level="1">
      <sharedItems count="5">
        <s v="Charges Dispute"/>
        <s v="Fraud"/>
        <s v="Others"/>
        <s v="Service Delay"/>
        <s v="Technical Issue"/>
      </sharedItems>
    </cacheField>
    <cacheField name="[Measures].[Count of ComplaintID]" caption="Count of ComplaintID" numFmtId="0" hierarchy="148" level="32767"/>
    <cacheField name="[Merge1].[accounts.Account_Type].[accounts.Account_Type]" caption="accounts.Account_Type" numFmtId="0" hierarchy="70" level="1">
      <sharedItems containsSemiMixedTypes="0" containsNonDate="0" containsString="0"/>
    </cacheField>
    <cacheField name="[Table1].[Customer_Segment].[Customer_Segment]" caption="Customer_Segment" numFmtId="0" hierarchy="80" level="1">
      <sharedItems containsSemiMixedTypes="0" containsNonDate="0" containsString="0"/>
    </cacheField>
    <cacheField name="[Copy of complaints].[Date (Year)].[Date (Year)]" caption="Date (Year)" numFmtId="0" hierarchy="54" level="1">
      <sharedItems containsSemiMixedTypes="0" containsNonDate="0" containsString="0"/>
    </cacheField>
  </cacheFields>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2" memberValueDatatype="130" unbalanced="0">
      <fieldsUsage count="2">
        <fieldUsage x="-1"/>
        <fieldUsage x="1"/>
      </fieldsUsage>
    </cacheHierarchy>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2" memberValueDatatype="130" unbalanced="0">
      <fieldsUsage count="2">
        <fieldUsage x="-1"/>
        <fieldUsage x="5"/>
      </fieldsUsage>
    </cacheHierarchy>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2" memberValueDatatype="130" unbalanced="0">
      <fieldsUsage count="2">
        <fieldUsage x="-1"/>
        <fieldUsage x="3"/>
      </fieldsUsage>
    </cacheHierarchy>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4"/>
      </fieldsUsage>
    </cacheHierarchy>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oneField="1" hidden="1">
      <fieldsUsage count="1">
        <fieldUsage x="2"/>
      </fieldsUsage>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dimensions count="11">
    <dimension name="accounts" uniqueName="[accounts]" caption="accounts"/>
    <dimension name="branches" uniqueName="[branches]" caption="branches"/>
    <dimension name="CLEAN ACC" uniqueName="[CLEAN ACC]" caption="CLEAN ACC"/>
    <dimension name="CLEAN COMPLAIN" uniqueName="[CLEAN COMPLAIN]" caption="CLEAN COMPLAIN"/>
    <dimension name="COMPLAINT ACCOUNT MERGE" uniqueName="[COMPLAINT ACCOUNT MERGE]" caption="COMPLAINT ACCOUNT MERGE"/>
    <dimension name="Copy of complaints" uniqueName="[Copy of complaints]" caption="Copy of complaints"/>
    <dimension measure="1" name="Measures" uniqueName="[Measures]" caption="Measures"/>
    <dimension name="Merge1" uniqueName="[Merge1]" caption="Merge1"/>
    <dimension name="Table1" uniqueName="[Table1]" caption="Table1"/>
    <dimension name="Table1 1" uniqueName="[Table1 1]" caption="Table1 1"/>
    <dimension name="transactions" uniqueName="[transactions]" caption="transactions"/>
  </dimensions>
  <measureGroups count="10">
    <measureGroup name="accounts" caption="accounts"/>
    <measureGroup name="branches" caption="branches"/>
    <measureGroup name="CLEAN ACC" caption="CLEAN ACC"/>
    <measureGroup name="CLEAN COMPLAIN" caption="CLEAN COMPLAIN"/>
    <measureGroup name="COMPLAINT ACCOUNT MERGE" caption="COMPLAINT ACCOUNT MERGE"/>
    <measureGroup name="Copy of complaints" caption="Copy of complaints"/>
    <measureGroup name="Merge1" caption="Merge1"/>
    <measureGroup name="Table1" caption="Table1"/>
    <measureGroup name="Table1 1" caption="Table1 1"/>
    <measureGroup name="transactions" caption="transactions"/>
  </measureGroups>
  <maps count="15">
    <map measureGroup="0" dimension="0"/>
    <map measureGroup="0" dimension="8"/>
    <map measureGroup="1" dimension="1"/>
    <map measureGroup="2" dimension="2"/>
    <map measureGroup="3" dimension="3"/>
    <map measureGroup="4" dimension="4"/>
    <map measureGroup="5" dimension="5"/>
    <map measureGroup="5" dimension="8"/>
    <map measureGroup="6" dimension="7"/>
    <map measureGroup="6" dimension="8"/>
    <map measureGroup="7" dimension="8"/>
    <map measureGroup="8" dimension="9"/>
    <map measureGroup="9" dimension="0"/>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045601853" backgroundQuery="1" createdVersion="3" refreshedVersion="8" minRefreshableVersion="3" recordCount="0" supportSubquery="1" supportAdvancedDrill="1" xr:uid="{B6DB3514-7F19-432E-B476-1B686E37FBC7}">
  <cacheSource type="external" connectionId="10">
    <extLst>
      <ext xmlns:x14="http://schemas.microsoft.com/office/spreadsheetml/2009/9/main" uri="{F057638F-6D5F-4e77-A914-E7F072B9BCA8}">
        <x14:sourceConnection name="ThisWorkbookDataModel"/>
      </ext>
    </extLst>
  </cacheSource>
  <cacheFields count="0"/>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36725233" supportSubqueryNonVisual="1" supportSubqueryCalcMem="1" supportAddCalcMems="1"/>
    </ext>
  </extLst>
</pivotCacheDefinition>
</file>

<file path=xl/pivotCache/pivotCacheDefinition6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12546296" backgroundQuery="1" createdVersion="3" refreshedVersion="8" minRefreshableVersion="3" recordCount="0" supportSubquery="1" supportAdvancedDrill="1" xr:uid="{3CF3EF77-F40E-4002-96BA-F4C570903B18}">
  <cacheSource type="external" connectionId="10">
    <extLst>
      <ext xmlns:x14="http://schemas.microsoft.com/office/spreadsheetml/2009/9/main" uri="{F057638F-6D5F-4e77-A914-E7F072B9BCA8}">
        <x14:sourceConnection name="ThisWorkbookDataModel"/>
      </ext>
    </extLst>
  </cacheSource>
  <cacheFields count="0"/>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2"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5795286" supportSubqueryNonVisual="1" supportSubqueryCalcMem="1" supportAddCalcMems="1"/>
    </ext>
  </extLst>
</pivotCacheDefinition>
</file>

<file path=xl/pivotCache/pivotCacheDefinition6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404050929" backgroundQuery="1" createdVersion="3" refreshedVersion="8" minRefreshableVersion="3" recordCount="0" supportSubquery="1" supportAdvancedDrill="1" xr:uid="{FFEC30E5-A749-47A3-8946-728FFE688622}">
  <cacheSource type="external" connectionId="10">
    <extLst>
      <ext xmlns:x14="http://schemas.microsoft.com/office/spreadsheetml/2009/9/main" uri="{F057638F-6D5F-4e77-A914-E7F072B9BCA8}">
        <x14:sourceConnection name="ThisWorkbookDataModel"/>
      </ext>
    </extLst>
  </cacheSource>
  <cacheFields count="0"/>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0"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0"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581568339" supportSubqueryNonVisual="1" supportSubqueryCalcMem="1" supportAddCalcMems="1"/>
    </ext>
  </extLst>
</pivotCacheDefinition>
</file>

<file path=xl/pivotCache/pivotCacheDefinition6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watimileyin Adeyemo" refreshedDate="45967.496869560186" backgroundQuery="1" createdVersion="3" refreshedVersion="8" minRefreshableVersion="3" recordCount="0" supportSubquery="1" supportAdvancedDrill="1" xr:uid="{A38ED307-AD87-4A7C-9828-332DAB2F04B9}">
  <cacheSource type="external" connectionId="10">
    <extLst>
      <ext xmlns:x14="http://schemas.microsoft.com/office/spreadsheetml/2009/9/main" uri="{F057638F-6D5F-4e77-A914-E7F072B9BCA8}">
        <x14:sourceConnection name="ThisWorkbookDataModel"/>
      </ext>
    </extLst>
  </cacheSource>
  <cacheFields count="0"/>
  <cacheHierarchies count="163">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credit card holder]" caption="credit card holder" attribute="1" defaultMemberUniqueName="[accounts].[credit card holder].[All]" allUniqueName="[accounts].[credit card holder].[All]" dimensionUniqueName="[accounts]" displayFolder="" count="0" memberValueDatatype="130" unbalanced="0"/>
    <cacheHierarchy uniqueName="[accounts].[Year]" caption="Year" attribute="1" defaultMemberUniqueName="[accounts].[Year].[All]" allUniqueName="[accounts].[Year].[All]" dimensionUniqueName="[accounts]" displayFolder="" count="0" memberValueDatatype="2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20" unbalanced="0"/>
    <cacheHierarchy uniqueName="[branches].[Revenue]" caption="Revenue" attribute="1" defaultMemberUniqueName="[branches].[Revenue].[All]" allUniqueName="[branches].[Revenue].[All]" dimensionUniqueName="[branches]" displayFolder="" count="0" memberValueDatatype="20" unbalanced="0"/>
    <cacheHierarchy uniqueName="[branches].[Index]" caption="Index" attribute="1" defaultMemberUniqueName="[branches].[Index].[All]" allUniqueName="[branches].[Index].[All]" dimensionUniqueName="[branches]" displayFolder="" count="0" memberValueDatatype="20" unbalanced="0"/>
    <cacheHierarchy uniqueName="[CLEAN ACC].[AccountID]" caption="AccountID" attribute="1" defaultMemberUniqueName="[CLEAN ACC].[AccountID].[All]" allUniqueName="[CLEAN ACC].[AccountID].[All]" dimensionUniqueName="[CLEAN ACC]" displayFolder="" count="0" memberValueDatatype="130" unbalanced="0"/>
    <cacheHierarchy uniqueName="[CLEAN ACC].[CustomerID]" caption="CustomerID" attribute="1" defaultMemberUniqueName="[CLEAN ACC].[CustomerID].[All]" allUniqueName="[CLEAN ACC].[CustomerID].[All]" dimensionUniqueName="[CLEAN ACC]" displayFolder="" count="0" memberValueDatatype="130" unbalanced="0"/>
    <cacheHierarchy uniqueName="[CLEAN ACC].[Account_Type]" caption="Account_Type" attribute="1" defaultMemberUniqueName="[CLEAN ACC].[Account_Type].[All]" allUniqueName="[CLEAN ACC].[Account_Type].[All]" dimensionUniqueName="[CLEAN ACC]" displayFolder="" count="0" memberValueDatatype="130" unbalanced="0"/>
    <cacheHierarchy uniqueName="[CLEAN ACC].[Open_Date]" caption="Open_Date" attribute="1" time="1" defaultMemberUniqueName="[CLEAN ACC].[Open_Date].[All]" allUniqueName="[CLEAN ACC].[Open_Date].[All]" dimensionUniqueName="[CLEAN ACC]" displayFolder="" count="0" memberValueDatatype="7" unbalanced="0"/>
    <cacheHierarchy uniqueName="[CLEAN ACC].[Balance]" caption="Balance" attribute="1" defaultMemberUniqueName="[CLEAN ACC].[Balance].[All]" allUniqueName="[CLEAN ACC].[Balance].[All]" dimensionUniqueName="[CLEAN ACC]" displayFolder="" count="0" memberValueDatatype="20" unbalanced="0"/>
    <cacheHierarchy uniqueName="[CLEAN ACC].[Credit_Score]" caption="Credit_Score" attribute="1" defaultMemberUniqueName="[CLEAN ACC].[Credit_Score].[All]" allUniqueName="[CLEAN ACC].[Credit_Score].[All]" dimensionUniqueName="[CLEAN ACC]" displayFolder="" count="0" memberValueDatatype="20" unbalanced="0"/>
    <cacheHierarchy uniqueName="[CLEAN ACC].[Loan_Amount]" caption="Loan_Amount" attribute="1" defaultMemberUniqueName="[CLEAN ACC].[Loan_Amount].[All]" allUniqueName="[CLEAN ACC].[Loan_Amount].[All]" dimensionUniqueName="[CLEAN ACC]" displayFolder="" count="0" memberValueDatatype="20" unbalanced="0"/>
    <cacheHierarchy uniqueName="[CLEAN ACC].[Loan_Status]" caption="Loan_Status" attribute="1" defaultMemberUniqueName="[CLEAN ACC].[Loan_Status].[All]" allUniqueName="[CLEAN ACC].[Loan_Status].[All]" dimensionUniqueName="[CLEAN ACC]" displayFolder="" count="0" memberValueDatatype="130" unbalanced="0"/>
    <cacheHierarchy uniqueName="[CLEAN ACC].[credit card holder]" caption="credit card holder" attribute="1" defaultMemberUniqueName="[CLEAN ACC].[credit card holder].[All]" allUniqueName="[CLEAN ACC].[credit card holder].[All]" dimensionUniqueName="[CLEAN ACC]" displayFolder="" count="0" memberValueDatatype="130" unbalanced="0"/>
    <cacheHierarchy uniqueName="[CLEAN ACC].[Year]" caption="Year" attribute="1" defaultMemberUniqueName="[CLEAN ACC].[Year].[All]" allUniqueName="[CLEAN ACC].[Year].[All]" dimensionUniqueName="[CLEAN ACC]" displayFolder="" count="0" memberValueDatatype="20" unbalanced="0"/>
    <cacheHierarchy uniqueName="[CLEAN COMPLAIN].[ComplaintID]" caption="ComplaintID" attribute="1" defaultMemberUniqueName="[CLEAN COMPLAIN].[ComplaintID].[All]" allUniqueName="[CLEAN COMPLAIN].[ComplaintID].[All]" dimensionUniqueName="[CLEAN COMPLAIN]" displayFolder="" count="0" memberValueDatatype="130" unbalanced="0"/>
    <cacheHierarchy uniqueName="[CLEAN COMPLAIN].[CustomerID]" caption="CustomerID" attribute="1" defaultMemberUniqueName="[CLEAN COMPLAIN].[CustomerID].[All]" allUniqueName="[CLEAN COMPLAIN].[CustomerID].[All]" dimensionUniqueName="[CLEAN COMPLAIN]" displayFolder="" count="0" memberValueDatatype="130" unbalanced="0"/>
    <cacheHierarchy uniqueName="[CLEAN COMPLAIN].[Date]" caption="Date" attribute="1" time="1" defaultMemberUniqueName="[CLEAN COMPLAIN].[Date].[All]" allUniqueName="[CLEAN COMPLAIN].[Date].[All]" dimensionUniqueName="[CLEAN COMPLAIN]" displayFolder="" count="0" memberValueDatatype="7" unbalanced="0"/>
    <cacheHierarchy uniqueName="[CLEAN COMPLAIN].[Complaint_Type]" caption="Complaint_Type" attribute="1" defaultMemberUniqueName="[CLEAN COMPLAIN].[Complaint_Type].[All]" allUniqueName="[CLEAN COMPLAIN].[Complaint_Type].[All]" dimensionUniqueName="[CLEAN COMPLAIN]" displayFolder="" count="0" memberValueDatatype="130" unbalanced="0"/>
    <cacheHierarchy uniqueName="[CLEAN COMPLAIN].[Status]" caption="Status" attribute="1" defaultMemberUniqueName="[CLEAN COMPLAIN].[Status].[All]" allUniqueName="[CLEAN COMPLAIN].[Status].[All]" dimensionUniqueName="[CLEAN COMPLAIN]" displayFolder="" count="0" memberValueDatatype="130" unbalanced="0"/>
    <cacheHierarchy uniqueName="[CLEAN COMPLAIN].[Resolution_Time(days)]" caption="Resolution_Time(days)" attribute="1" defaultMemberUniqueName="[CLEAN COMPLAIN].[Resolution_Time(days)].[All]" allUniqueName="[CLEAN COMPLAIN].[Resolution_Time(days)].[All]" dimensionUniqueName="[CLEAN COMPLAIN]" displayFolder="" count="0" memberValueDatatype="20" unbalanced="0"/>
    <cacheHierarchy uniqueName="[CLEAN COMPLAIN].[Urgency Flag]" caption="Urgency Flag" attribute="1" defaultMemberUniqueName="[CLEAN COMPLAIN].[Urgency Flag].[All]" allUniqueName="[CLEAN COMPLAIN].[Urgency Flag].[All]" dimensionUniqueName="[CLEAN COMPLAIN]" displayFolder="" count="0" memberValueDatatype="130" unbalanced="0"/>
    <cacheHierarchy uniqueName="[CLEAN COMPLAIN].[monthyear]" caption="monthyear" attribute="1" defaultMemberUniqueName="[CLEAN COMPLAIN].[monthyear].[All]" allUniqueName="[CLEAN COMPLAIN].[monthyear].[All]" dimensionUniqueName="[CLEAN COMPLAIN]" displayFolder="" count="0" memberValueDatatype="130" unbalanced="0"/>
    <cacheHierarchy uniqueName="[CLEAN COMPLAIN].[reslved bracket]" caption="reslved bracket" attribute="1" defaultMemberUniqueName="[CLEAN COMPLAIN].[reslved bracket].[All]" allUniqueName="[CLEAN COMPLAIN].[reslved bracket].[All]" dimensionUniqueName="[CLEAN COMPLAIN]" displayFolder="" count="0" memberValueDatatype="130" unbalanced="0"/>
    <cacheHierarchy uniqueName="[COMPLAINT ACCOUNT MERGE].[ComplaintID]" caption="ComplaintID" attribute="1" defaultMemberUniqueName="[COMPLAINT ACCOUNT MERGE].[ComplaintID].[All]" allUniqueName="[COMPLAINT ACCOUNT MERGE].[ComplaintID].[All]" dimensionUniqueName="[COMPLAINT ACCOUNT MERGE]" displayFolder="" count="0" memberValueDatatype="130" unbalanced="0"/>
    <cacheHierarchy uniqueName="[COMPLAINT ACCOUNT MERGE].[CustomerID]" caption="CustomerID" attribute="1" defaultMemberUniqueName="[COMPLAINT ACCOUNT MERGE].[CustomerID].[All]" allUniqueName="[COMPLAINT ACCOUNT MERGE].[CustomerID].[All]" dimensionUniqueName="[COMPLAINT ACCOUNT MERGE]" displayFolder="" count="0" memberValueDatatype="130" unbalanced="0"/>
    <cacheHierarchy uniqueName="[COMPLAINT ACCOUNT MERGE].[Date]" caption="Date" attribute="1" time="1" defaultMemberUniqueName="[COMPLAINT ACCOUNT MERGE].[Date].[All]" allUniqueName="[COMPLAINT ACCOUNT MERGE].[Date].[All]" dimensionUniqueName="[COMPLAINT ACCOUNT MERGE]" displayFolder="" count="0" memberValueDatatype="7" unbalanced="0"/>
    <cacheHierarchy uniqueName="[COMPLAINT ACCOUNT MERGE].[Complaint_Type]" caption="Complaint_Type" attribute="1" defaultMemberUniqueName="[COMPLAINT ACCOUNT MERGE].[Complaint_Type].[All]" allUniqueName="[COMPLAINT ACCOUNT MERGE].[Complaint_Type].[All]" dimensionUniqueName="[COMPLAINT ACCOUNT MERGE]" displayFolder="" count="0" memberValueDatatype="130" unbalanced="0"/>
    <cacheHierarchy uniqueName="[COMPLAINT ACCOUNT MERGE].[Status]" caption="Status" attribute="1" defaultMemberUniqueName="[COMPLAINT ACCOUNT MERGE].[Status].[All]" allUniqueName="[COMPLAINT ACCOUNT MERGE].[Status].[All]" dimensionUniqueName="[COMPLAINT ACCOUNT MERGE]" displayFolder="" count="0" memberValueDatatype="130" unbalanced="0"/>
    <cacheHierarchy uniqueName="[COMPLAINT ACCOUNT MERGE].[Resolution_Time(days)]" caption="Resolution_Time(days)" attribute="1" defaultMemberUniqueName="[COMPLAINT ACCOUNT MERGE].[Resolution_Time(days)].[All]" allUniqueName="[COMPLAINT ACCOUNT MERGE].[Resolution_Time(days)].[All]" dimensionUniqueName="[COMPLAINT ACCOUNT MERGE]" displayFolder="" count="0" memberValueDatatype="20" unbalanced="0"/>
    <cacheHierarchy uniqueName="[COMPLAINT ACCOUNT MERGE].[Urgency Flag]" caption="Urgency Flag" attribute="1" defaultMemberUniqueName="[COMPLAINT ACCOUNT MERGE].[Urgency Flag].[All]" allUniqueName="[COMPLAINT ACCOUNT MERGE].[Urgency Flag].[All]" dimensionUniqueName="[COMPLAINT ACCOUNT MERGE]" displayFolder="" count="0" memberValueDatatype="130" unbalanced="0"/>
    <cacheHierarchy uniqueName="[COMPLAINT ACCOUNT MERGE].[monthyear]" caption="monthyear" attribute="1" defaultMemberUniqueName="[COMPLAINT ACCOUNT MERGE].[monthyear].[All]" allUniqueName="[COMPLAINT ACCOUNT MERGE].[monthyear].[All]" dimensionUniqueName="[COMPLAINT ACCOUNT MERGE]" displayFolder="" count="0" memberValueDatatype="130" unbalanced="0"/>
    <cacheHierarchy uniqueName="[COMPLAINT ACCOUNT MERGE].[reslved bracket]" caption="reslved bracket" attribute="1" defaultMemberUniqueName="[COMPLAINT ACCOUNT MERGE].[reslved bracket].[All]" allUniqueName="[COMPLAINT ACCOUNT MERGE].[reslved bracket].[All]" dimensionUniqueName="[COMPLAINT ACCOUNT MERGE]" displayFolder="" count="0" memberValueDatatype="130" unbalanced="0"/>
    <cacheHierarchy uniqueName="[Copy of complaints].[ComplaintID]" caption="ComplaintID" attribute="1" defaultMemberUniqueName="[Copy of complaints].[ComplaintID].[All]" allUniqueName="[Copy of complaints].[ComplaintID].[All]" dimensionUniqueName="[Copy of complaints]" displayFolder="" count="0" memberValueDatatype="130" unbalanced="0"/>
    <cacheHierarchy uniqueName="[Copy of complaints].[CustomerID]" caption="CustomerID" attribute="1" defaultMemberUniqueName="[Copy of complaints].[CustomerID].[All]" allUniqueName="[Copy of complaints].[CustomerID].[All]" dimensionUniqueName="[Copy of complaints]" displayFolder="" count="0" memberValueDatatype="130" unbalanced="0"/>
    <cacheHierarchy uniqueName="[Copy of complaints].[Date]" caption="Date" attribute="1" time="1" defaultMemberUniqueName="[Copy of complaints].[Date].[All]" allUniqueName="[Copy of complaints].[Date].[All]" dimensionUniqueName="[Copy of complaints]" displayFolder="" count="0" memberValueDatatype="7" unbalanced="0"/>
    <cacheHierarchy uniqueName="[Copy of complaints].[Complaint_Type]" caption="Complaint_Type" attribute="1" defaultMemberUniqueName="[Copy of complaints].[Complaint_Type].[All]" allUniqueName="[Copy of complaints].[Complaint_Type].[All]" dimensionUniqueName="[Copy of complaints]" displayFolder="" count="2" memberValueDatatype="130" unbalanced="0"/>
    <cacheHierarchy uniqueName="[Copy of complaints].[Status]" caption="Status" attribute="1" defaultMemberUniqueName="[Copy of complaints].[Status].[All]" allUniqueName="[Copy of complaints].[Status].[All]" dimensionUniqueName="[Copy of complaints]" displayFolder="" count="0" memberValueDatatype="130" unbalanced="0"/>
    <cacheHierarchy uniqueName="[Copy of complaints].[Resolution_Time(days)]" caption="Resolution_Time(days)" attribute="1" defaultMemberUniqueName="[Copy of complaints].[Resolution_Time(days)].[All]" allUniqueName="[Copy of complaints].[Resolution_Time(days)].[All]" dimensionUniqueName="[Copy of complaints]" displayFolder="" count="0" memberValueDatatype="20" unbalanced="0"/>
    <cacheHierarchy uniqueName="[Copy of complaints].[Urgency Flag]" caption="Urgency Flag" attribute="1" defaultMemberUniqueName="[Copy of complaints].[Urgency Flag].[All]" allUniqueName="[Copy of complaints].[Urgency Flag].[All]" dimensionUniqueName="[Copy of complaints]" displayFolder="" count="0" memberValueDatatype="130" unbalanced="0"/>
    <cacheHierarchy uniqueName="[Copy of complaints].[reslved bracket]" caption="reslved bracket" attribute="1" defaultMemberUniqueName="[Copy of complaints].[reslved bracket].[All]" allUniqueName="[Copy of complaints].[reslved bracket].[All]" dimensionUniqueName="[Copy of complaints]" displayFolder="" count="0" memberValueDatatype="130" unbalanced="0"/>
    <cacheHierarchy uniqueName="[Copy of complaints].[Date (Year)]" caption="Date (Year)" attribute="1" defaultMemberUniqueName="[Copy of complaints].[Date (Year)].[All]" allUniqueName="[Copy of complaints].[Date (Year)].[All]" dimensionUniqueName="[Copy of complaints]" displayFolder="" count="2" memberValueDatatype="130" unbalanced="0"/>
    <cacheHierarchy uniqueName="[Copy of complaints].[Date (Quarter)]" caption="Date (Quarter)" attribute="1" defaultMemberUniqueName="[Copy of complaints].[Date (Quarter)].[All]" allUniqueName="[Copy of complaints].[Date (Quarter)].[All]" dimensionUniqueName="[Copy of complaints]" displayFolder="" count="0" memberValueDatatype="130" unbalanced="0"/>
    <cacheHierarchy uniqueName="[Copy of complaints].[Date (Month)]" caption="Date (Month)" attribute="1" defaultMemberUniqueName="[Copy of complaints].[Date (Month)].[All]" allUniqueName="[Copy of complaints].[Date (Month)].[All]" dimensionUniqueName="[Copy of complaints]" displayFolder="" count="0" memberValueDatatype="130" unbalanced="0"/>
    <cacheHierarchy uniqueName="[Copy of complaints].[Backlog]" caption="Backlog" attribute="1" defaultMemberUniqueName="[Copy of complaints].[Backlog].[All]" allUniqueName="[Copy of complaints].[Backlog].[All]" dimensionUniqueName="[Copy of complaints]" displayFolder="" count="0" memberValueDatatype="5" unbalanced="0"/>
    <cacheHierarchy uniqueName="[Copy of complaints].[backlog bucket]" caption="backlog bucket" attribute="1" defaultMemberUniqueName="[Copy of complaints].[backlog bucket].[All]" allUniqueName="[Copy of complaints].[backlog bucket].[All]" dimensionUniqueName="[Copy of complaints]" displayFolder="" count="0" memberValueDatatype="130" unbalanced="0"/>
    <cacheHierarchy uniqueName="[Copy of complaints].[monthyearsort]" caption="monthyearsort" attribute="1" defaultMemberUniqueName="[Copy of complaints].[monthyearsort].[All]" allUniqueName="[Copy of complaints].[monthyearsort].[All]" dimensionUniqueName="[Copy of complaints]" displayFolder="" count="0" memberValueDatatype="20" unbalanced="0"/>
    <cacheHierarchy uniqueName="[Copy of complaints].[month_year]" caption="month_year" attribute="1" defaultMemberUniqueName="[Copy of complaints].[month_year].[All]" allUniqueName="[Copy of complaints].[month_year].[All]" dimensionUniqueName="[Copy of complaints]" displayFolder="" count="0" memberValueDatatype="130" unbalanced="0"/>
    <cacheHierarchy uniqueName="[Merge1].[ComplaintID]" caption="ComplaintID" attribute="1" defaultMemberUniqueName="[Merge1].[ComplaintID].[All]" allUniqueName="[Merge1].[ComplaintID].[All]" dimensionUniqueName="[Merge1]" displayFolder="" count="0" memberValueDatatype="130" unbalanced="0"/>
    <cacheHierarchy uniqueName="[Merge1].[CustomerID]" caption="CustomerID" attribute="1" defaultMemberUniqueName="[Merge1].[CustomerID].[All]" allUniqueName="[Merge1].[CustomerID].[All]" dimensionUniqueName="[Merge1]" displayFolder="" count="0" memberValueDatatype="130" unbalanced="0"/>
    <cacheHierarchy uniqueName="[Merge1].[Date]" caption="Date" attribute="1" time="1" defaultMemberUniqueName="[Merge1].[Date].[All]" allUniqueName="[Merge1].[Date].[All]" dimensionUniqueName="[Merge1]" displayFolder="" count="0" memberValueDatatype="7" unbalanced="0"/>
    <cacheHierarchy uniqueName="[Merge1].[Complaint_Type]" caption="Complaint_Type" attribute="1" defaultMemberUniqueName="[Merge1].[Complaint_Type].[All]" allUniqueName="[Merge1].[Complaint_Type].[All]" dimensionUniqueName="[Merge1]" displayFolder="" count="0" memberValueDatatype="130" unbalanced="0"/>
    <cacheHierarchy uniqueName="[Merge1].[Status]" caption="Status" attribute="1" defaultMemberUniqueName="[Merge1].[Status].[All]" allUniqueName="[Merge1].[Status].[All]" dimensionUniqueName="[Merge1]" displayFolder="" count="0" memberValueDatatype="130" unbalanced="0"/>
    <cacheHierarchy uniqueName="[Merge1].[Resolution_Time(days)]" caption="Resolution_Time(days)" attribute="1" defaultMemberUniqueName="[Merge1].[Resolution_Time(days)].[All]" allUniqueName="[Merge1].[Resolution_Time(days)].[All]" dimensionUniqueName="[Merge1]" displayFolder="" count="0" memberValueDatatype="20" unbalanced="0"/>
    <cacheHierarchy uniqueName="[Merge1].[Urgency Flag]" caption="Urgency Flag" attribute="1" defaultMemberUniqueName="[Merge1].[Urgency Flag].[All]" allUniqueName="[Merge1].[Urgency Flag].[All]" dimensionUniqueName="[Merge1]" displayFolder="" count="0" memberValueDatatype="130" unbalanced="0"/>
    <cacheHierarchy uniqueName="[Merge1].[monthyear]" caption="monthyear" attribute="1" defaultMemberUniqueName="[Merge1].[monthyear].[All]" allUniqueName="[Merge1].[monthyear].[All]" dimensionUniqueName="[Merge1]" displayFolder="" count="0" memberValueDatatype="130" unbalanced="0"/>
    <cacheHierarchy uniqueName="[Merge1].[reslved bracket]" caption="reslved bracket" attribute="1" defaultMemberUniqueName="[Merge1].[reslved bracket].[All]" allUniqueName="[Merge1].[reslved bracket].[All]" dimensionUniqueName="[Merge1]" displayFolder="" count="0" memberValueDatatype="130" unbalanced="0"/>
    <cacheHierarchy uniqueName="[Merge1].[accounts.Account_Type]" caption="accounts.Account_Type" attribute="1" defaultMemberUniqueName="[Merge1].[accounts.Account_Type].[All]" allUniqueName="[Merge1].[accounts.Account_Type].[All]" dimensionUniqueName="[Merge1]" displayFolder="" count="0" memberValueDatatype="130" unbalanced="0"/>
    <cacheHierarchy uniqueName="[Merge1].[Custom]" caption="Custom" attribute="1" defaultMemberUniqueName="[Merge1].[Custom].[All]" allUniqueName="[Merge1].[Custom].[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tenure bracket]" caption="tenure bracket" attribute="1" defaultMemberUniqueName="[Table1].[tenure bracket].[All]" allUniqueName="[Table1].[tenure bracket].[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 1].[CustomerID]" caption="CustomerID" attribute="1" defaultMemberUniqueName="[Table1 1].[CustomerID].[All]" allUniqueName="[Table1 1].[CustomerID].[All]" dimensionUniqueName="[Table1 1]" displayFolder="" count="0" memberValueDatatype="130" unbalanced="0"/>
    <cacheHierarchy uniqueName="[Table1 1].[Name]" caption="Name" attribute="1" defaultMemberUniqueName="[Table1 1].[Name].[All]" allUniqueName="[Table1 1].[Name].[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Region]" caption="Region" attribute="1" defaultMemberUniqueName="[Table1 1].[Region].[All]" allUniqueName="[Table1 1].[Region].[All]" dimensionUniqueName="[Table1 1]" displayFolder="" count="0" memberValueDatatype="130" unbalanced="0"/>
    <cacheHierarchy uniqueName="[Table1 1].[Occupation]" caption="Occupation" attribute="1" defaultMemberUniqueName="[Table1 1].[Occupation].[All]" allUniqueName="[Table1 1].[Occupation].[All]" dimensionUniqueName="[Table1 1]" displayFolder="" count="0" memberValueDatatype="130" unbalanced="0"/>
    <cacheHierarchy uniqueName="[Table1 1].[income bracket]" caption="income bracket" attribute="1" defaultMemberUniqueName="[Table1 1].[income bracket].[All]" allUniqueName="[Table1 1].[income bracket].[All]" dimensionUniqueName="[Table1 1]" displayFolder="" count="0" memberValueDatatype="130" unbalanced="0"/>
    <cacheHierarchy uniqueName="[Table1 1].[Income]" caption="Income" attribute="1" defaultMemberUniqueName="[Table1 1].[Income].[All]" allUniqueName="[Table1 1].[Income].[All]" dimensionUniqueName="[Table1 1]" displayFolder="" count="0" memberValueDatatype="20" unbalanced="0"/>
    <cacheHierarchy uniqueName="[Table1 1].[Customer_Segment]" caption="Customer_Segment" attribute="1" defaultMemberUniqueName="[Table1 1].[Customer_Segment].[All]" allUniqueName="[Table1 1].[Customer_Segment].[All]" dimensionUniqueName="[Table1 1]" displayFolder="" count="0" memberValueDatatype="130" unbalanced="0"/>
    <cacheHierarchy uniqueName="[Table1 1].[tenure bracket]" caption="tenure bracket" attribute="1" defaultMemberUniqueName="[Table1 1].[tenure bracket].[All]" allUniqueName="[Table1 1].[tenure bracket].[All]" dimensionUniqueName="[Table1 1]" displayFolder="" count="0" memberValueDatatype="130" unbalanced="0"/>
    <cacheHierarchy uniqueName="[Table1 1].[MONTH YEAR]" caption="MONTH YEAR" attribute="1" defaultMemberUniqueName="[Table1 1].[MONTH YEAR].[All]" allUniqueName="[Table1 1].[MONTH YEAR].[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YEAR]" caption="YEAR" attribute="1" defaultMemberUniqueName="[Table1 1].[YEAR].[All]" allUniqueName="[Table1 1].[YEAR].[All]" dimensionUniqueName="[Table1 1]" displayFolder="" count="0" memberValueDatatype="20" unbalanced="0"/>
    <cacheHierarchy uniqueName="[Table1 1].[Join_Date]" caption="Join_Date" attribute="1" time="1" defaultMemberUniqueName="[Table1 1].[Join_Date].[All]" allUniqueName="[Table1 1].[Join_Date].[All]" dimensionUniqueName="[Table1 1]" displayFolder="" count="0" memberValueDatatype="7"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Copy of complaints].[Date (Month Index)]" caption="Date (Month Index)" attribute="1" defaultMemberUniqueName="[Copy of complaints].[Date (Month Index)].[All]" allUniqueName="[Copy of complaints].[Date (Month Index)].[All]" dimensionUniqueName="[Copy of complaints]" displayFolder="" count="0" memberValueDatatype="20" unbalanced="0" hidden="1"/>
    <cacheHierarchy uniqueName="[Measures].[Total Profit]" caption="Total Profit" measure="1" displayFolder="" measureGroup="Table1" count="0"/>
    <cacheHierarchy uniqueName="[Measures].[Profit Margin]" caption="Profit Margin" measure="1" displayFolder="" measureGroup="Table1" count="0"/>
    <cacheHierarchy uniqueName="[Measures].[revenue per staff]" caption="revenue per staff" measure="1" displayFolder="" measureGroup="Table1" count="0"/>
    <cacheHierarchy uniqueName="[Measures].[operating cost ratio]" caption="operating cost ratio" measure="1" displayFolder="" measureGroup="Table1" count="0"/>
    <cacheHierarchy uniqueName="[Measures].[Ag revenue per staff]" caption="Ag revenue per staff" measure="1" displayFolder="" measureGroup="Table1" count="0"/>
    <cacheHierarchy uniqueName="[Measures].[prem customers]" caption="prem customers" measure="1" displayFolder="" measureGroup="Table1" count="0"/>
    <cacheHierarchy uniqueName="[Measures].[prem customer with complaint]" caption="prem customer with complaint" measure="1" displayFolder="" measureGroup="Table1" count="0"/>
    <cacheHierarchy uniqueName="[Measures].[% premium users affected]" caption="% premium users affected" measure="1" displayFolder="" measureGroup="Table1" count="0"/>
    <cacheHierarchy uniqueName="[Measures].[__XL_Count Table1]" caption="__XL_Count Table1" measure="1" displayFolder="" measureGroup="Table1"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branches]" caption="__XL_Count branches" measure="1" displayFolder="" measureGroup="branches" count="0" hidden="1"/>
    <cacheHierarchy uniqueName="[Measures].[__XL_Count Copy of complaints]" caption="__XL_Count Copy of complaints" measure="1" displayFolder="" measureGroup="Copy of complaints" count="0" hidden="1"/>
    <cacheHierarchy uniqueName="[Measures].[__XL_Count CLEAN COMPLAIN]" caption="__XL_Count CLEAN COMPLAIN" measure="1" displayFolder="" measureGroup="CLEAN COMPLAIN" count="0" hidden="1"/>
    <cacheHierarchy uniqueName="[Measures].[__XL_Count CLEAN ACC]" caption="__XL_Count CLEAN ACC" measure="1" displayFolder="" measureGroup="CLEAN ACC" count="0" hidden="1"/>
    <cacheHierarchy uniqueName="[Measures].[__XL_Count COMPLAINT ACCOUNT MERGE]" caption="__XL_Count COMPLAINT ACCOUNT MERGE" measure="1" displayFolder="" measureGroup="COMPLAINT ACCOUNT MERGE" count="0" hidden="1"/>
    <cacheHierarchy uniqueName="[Measures].[__XL_Count Merge1]" caption="__XL_Count Merge1" measure="1" displayFolder="" measureGroup="Merg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CustomerID]" caption="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accounts" count="0" hidden="1">
      <extLst>
        <ext xmlns:x15="http://schemas.microsoft.com/office/spreadsheetml/2010/11/main" uri="{B97F6D7D-B522-45F9-BDA1-12C45D357490}">
          <x15:cacheHierarchy aggregatedColumn="1"/>
        </ext>
      </extLst>
    </cacheHierarchy>
    <cacheHierarchy uniqueName="[Measures].[Count of Customer_Segment]" caption="Count of Customer_Segment" measure="1" displayFolder="" measureGroup="Table1" count="0" hidden="1">
      <extLst>
        <ext xmlns:x15="http://schemas.microsoft.com/office/spreadsheetml/2010/11/main" uri="{B97F6D7D-B522-45F9-BDA1-12C45D357490}">
          <x15:cacheHierarchy aggregatedColumn="8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104"/>
        </ext>
      </extLst>
    </cacheHierarchy>
    <cacheHierarchy uniqueName="[Measures].[Count of TransID]" caption="Count of TransID" measure="1" displayFolder="" measureGroup="transactions" count="0" hidden="1">
      <extLst>
        <ext xmlns:x15="http://schemas.microsoft.com/office/spreadsheetml/2010/11/main" uri="{B97F6D7D-B522-45F9-BDA1-12C45D357490}">
          <x15:cacheHierarchy aggregatedColumn="100"/>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104"/>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accounts"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Average of Balance]" caption="Average of Balance" measure="1" displayFolder="" measureGroup="accounts" count="0" hidden="1">
      <extLst>
        <ext xmlns:x15="http://schemas.microsoft.com/office/spreadsheetml/2010/11/main" uri="{B97F6D7D-B522-45F9-BDA1-12C45D357490}">
          <x15:cacheHierarchy aggregatedColumn="4"/>
        </ext>
      </extLst>
    </cacheHierarchy>
    <cacheHierarchy uniqueName="[Measures].[Count of Account_Type]" caption="Count of Account_Type" measure="1" displayFolder="" measureGroup="accounts" count="0" hidden="1">
      <extLst>
        <ext xmlns:x15="http://schemas.microsoft.com/office/spreadsheetml/2010/11/main" uri="{B97F6D7D-B522-45F9-BDA1-12C45D357490}">
          <x15:cacheHierarchy aggregatedColumn="2"/>
        </ext>
      </extLst>
    </cacheHierarchy>
    <cacheHierarchy uniqueName="[Measures].[Average of Loan_Amount]" caption="Average of Loan_Amount" measure="1" displayFolder="" measureGroup="accounts" count="0" hidden="1">
      <extLst>
        <ext xmlns:x15="http://schemas.microsoft.com/office/spreadsheetml/2010/11/main" uri="{B97F6D7D-B522-45F9-BDA1-12C45D357490}">
          <x15:cacheHierarchy aggregatedColumn="6"/>
        </ext>
      </extLst>
    </cacheHierarchy>
    <cacheHierarchy uniqueName="[Measures].[Count of Open_Date (Year)]" caption="Count of Open_Date (Year)" measure="1" displayFolder="" measureGroup="accounts" count="0" hidden="1">
      <extLst>
        <ext xmlns:x15="http://schemas.microsoft.com/office/spreadsheetml/2010/11/main" uri="{B97F6D7D-B522-45F9-BDA1-12C45D357490}">
          <x15:cacheHierarchy aggregatedColumn="10"/>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Distinct Count of AccountID]" caption="Distinct 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BranchID]" caption="Count of BranchID" measure="1" displayFolder="" measureGroup="branches" count="0" hidden="1">
      <extLst>
        <ext xmlns:x15="http://schemas.microsoft.com/office/spreadsheetml/2010/11/main" uri="{B97F6D7D-B522-45F9-BDA1-12C45D357490}">
          <x15:cacheHierarchy aggregatedColumn="11"/>
        </ext>
      </extLst>
    </cacheHierarchy>
    <cacheHierarchy uniqueName="[Measures].[Sum of Operating_Cost]" caption="Sum of Operating_Cost" measure="1" displayFolder="" measureGroup="branche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branches" count="0" hidden="1">
      <extLst>
        <ext xmlns:x15="http://schemas.microsoft.com/office/spreadsheetml/2010/11/main" uri="{B97F6D7D-B522-45F9-BDA1-12C45D357490}">
          <x15:cacheHierarchy aggregatedColumn="16"/>
        </ext>
      </extLst>
    </cacheHierarchy>
    <cacheHierarchy uniqueName="[Measures].[Sum of Staff_Count]" caption="Sum of Staff_Count" measure="1" displayFolder="" measureGroup="branches" count="0" hidden="1">
      <extLst>
        <ext xmlns:x15="http://schemas.microsoft.com/office/spreadsheetml/2010/11/main" uri="{B97F6D7D-B522-45F9-BDA1-12C45D357490}">
          <x15:cacheHierarchy aggregatedColumn="14"/>
        </ext>
      </extLst>
    </cacheHierarchy>
    <cacheHierarchy uniqueName="[Measures].[Count of ComplaintID]" caption="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omplaintID]" caption="Distinct Count of ComplaintID" measure="1" displayFolder="" measureGroup="Copy of complaints" count="0" hidden="1">
      <extLst>
        <ext xmlns:x15="http://schemas.microsoft.com/office/spreadsheetml/2010/11/main" uri="{B97F6D7D-B522-45F9-BDA1-12C45D357490}">
          <x15:cacheHierarchy aggregatedColumn="46"/>
        </ext>
      </extLst>
    </cacheHierarchy>
    <cacheHierarchy uniqueName="[Measures].[Distinct Count of CustomerID 2]" caption="Distinct Count of CustomerID 2" measure="1" displayFolder="" measureGroup="Table1" count="0" hidden="1">
      <extLst>
        <ext xmlns:x15="http://schemas.microsoft.com/office/spreadsheetml/2010/11/main" uri="{B97F6D7D-B522-45F9-BDA1-12C45D357490}">
          <x15:cacheHierarchy aggregatedColumn="73"/>
        </ext>
      </extLst>
    </cacheHierarchy>
    <cacheHierarchy uniqueName="[Measures].[Count of CustomerID 3]" caption="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Distinct Count of CustomerID 3]" caption="Distinct Count of CustomerID 3" measure="1" displayFolder="" measureGroup="Copy of complaints" count="0" hidden="1">
      <extLst>
        <ext xmlns:x15="http://schemas.microsoft.com/office/spreadsheetml/2010/11/main" uri="{B97F6D7D-B522-45F9-BDA1-12C45D357490}">
          <x15:cacheHierarchy aggregatedColumn="47"/>
        </ext>
      </extLst>
    </cacheHierarchy>
    <cacheHierarchy uniqueName="[Measures].[Count of Status]" caption="Count of Status" measure="1" displayFolder="" measureGroup="Copy of complaints" count="0" hidden="1">
      <extLst>
        <ext xmlns:x15="http://schemas.microsoft.com/office/spreadsheetml/2010/11/main" uri="{B97F6D7D-B522-45F9-BDA1-12C45D357490}">
          <x15:cacheHierarchy aggregatedColumn="50"/>
        </ext>
      </extLst>
    </cacheHierarchy>
    <cacheHierarchy uniqueName="[Measures].[Sum of Resolution_Time(days)]" caption="Sum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Average of Resolution_Time(days)]" caption="Average of Resolution_Time(days)" measure="1" displayFolder="" measureGroup="Copy of complaints" count="0" hidden="1">
      <extLst>
        <ext xmlns:x15="http://schemas.microsoft.com/office/spreadsheetml/2010/11/main" uri="{B97F6D7D-B522-45F9-BDA1-12C45D357490}">
          <x15:cacheHierarchy aggregatedColumn="51"/>
        </ext>
      </extLst>
    </cacheHierarchy>
    <cacheHierarchy uniqueName="[Measures].[Sum of Backlog]" caption="Sum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Average of Backlog]" caption="Average of Backlog" measure="1" displayFolder="" measureGroup="Copy of complaints" count="0" hidden="1">
      <extLst>
        <ext xmlns:x15="http://schemas.microsoft.com/office/spreadsheetml/2010/11/main" uri="{B97F6D7D-B522-45F9-BDA1-12C45D357490}">
          <x15:cacheHierarchy aggregatedColumn="57"/>
        </ext>
      </extLst>
    </cacheHierarchy>
    <cacheHierarchy uniqueName="[Measures].[Count of ComplaintID 2]" caption="Count of ComplaintID 2" measure="1" displayFolder="" measureGroup="COMPLAINT ACCOUNT MERGE" count="0" hidden="1">
      <extLst>
        <ext xmlns:x15="http://schemas.microsoft.com/office/spreadsheetml/2010/11/main" uri="{B97F6D7D-B522-45F9-BDA1-12C45D357490}">
          <x15:cacheHierarchy aggregatedColumn="37"/>
        </ext>
      </extLst>
    </cacheHierarchy>
    <cacheHierarchy uniqueName="[Measures].[Count of ComplaintID 3]" caption="Count of ComplaintID 3" measure="1" displayFolder="" measureGroup="Merge1" count="0" hidden="1">
      <extLst>
        <ext xmlns:x15="http://schemas.microsoft.com/office/spreadsheetml/2010/11/main" uri="{B97F6D7D-B522-45F9-BDA1-12C45D357490}">
          <x15:cacheHierarchy aggregatedColumn="61"/>
        </ext>
      </extLst>
    </cacheHierarchy>
    <cacheHierarchy uniqueName="[Measures].[Count of accounts.Account_Type]" caption="Count of accounts.Account_Type" measure="1" displayFolder="" measureGroup="Merge1" count="0" hidden="1">
      <extLst>
        <ext xmlns:x15="http://schemas.microsoft.com/office/spreadsheetml/2010/11/main" uri="{B97F6D7D-B522-45F9-BDA1-12C45D357490}">
          <x15:cacheHierarchy aggregatedColumn="70"/>
        </ext>
      </extLst>
    </cacheHierarchy>
    <cacheHierarchy uniqueName="[Measures].[Count of ComplaintID 4]" caption="Count of ComplaintID 4" measure="1" displayFolder="" measureGroup="CLEAN COMPLAIN"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account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5561599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Mrs. Deborah Dominguez MD"/>
    <x v="0"/>
    <x v="0"/>
    <n v="38"/>
    <x v="0"/>
    <s v="Doctor"/>
    <x v="0"/>
    <n v="191672"/>
    <x v="0"/>
    <x v="0"/>
    <s v="Apr-2023"/>
    <n v="2"/>
    <x v="0"/>
    <x v="0"/>
  </r>
  <r>
    <s v="CUST0002"/>
    <s v="Erin Martinez"/>
    <x v="1"/>
    <x v="1"/>
    <n v="49"/>
    <x v="1"/>
    <s v="Trader"/>
    <x v="0"/>
    <n v="186472"/>
    <x v="1"/>
    <x v="1"/>
    <s v="May-2021"/>
    <n v="4"/>
    <x v="1"/>
    <x v="1"/>
  </r>
  <r>
    <s v="CUST0003"/>
    <s v="Amanda Harris"/>
    <x v="0"/>
    <x v="0"/>
    <n v="40"/>
    <x v="0"/>
    <s v="Teacher"/>
    <x v="0"/>
    <n v="155566"/>
    <x v="2"/>
    <x v="2"/>
    <s v="Dec-2018"/>
    <n v="7"/>
    <x v="2"/>
    <x v="2"/>
  </r>
  <r>
    <s v="CUST0004"/>
    <s v="Candice Palmer"/>
    <x v="0"/>
    <x v="1"/>
    <n v="50"/>
    <x v="0"/>
    <s v="Banker"/>
    <x v="0"/>
    <n v="142744"/>
    <x v="0"/>
    <x v="1"/>
    <s v="Oct-2021"/>
    <n v="4"/>
    <x v="1"/>
    <x v="3"/>
  </r>
  <r>
    <s v="CUST0005"/>
    <s v="Sandra Davis"/>
    <x v="0"/>
    <x v="2"/>
    <n v="20"/>
    <x v="2"/>
    <s v="Student"/>
    <x v="0"/>
    <n v="109431"/>
    <x v="1"/>
    <x v="2"/>
    <s v="Jul-2018"/>
    <n v="7"/>
    <x v="2"/>
    <x v="4"/>
  </r>
  <r>
    <s v="CUST0006"/>
    <s v="Vanessa Peterson"/>
    <x v="1"/>
    <x v="0"/>
    <n v="35"/>
    <x v="3"/>
    <s v="Teacher"/>
    <x v="1"/>
    <n v="63001"/>
    <x v="0"/>
    <x v="3"/>
    <s v="May-2016"/>
    <n v="9"/>
    <x v="3"/>
    <x v="5"/>
  </r>
  <r>
    <s v="CUST0007"/>
    <s v="Tyler Fischer"/>
    <x v="0"/>
    <x v="0"/>
    <n v="42"/>
    <x v="0"/>
    <s v="Engineer"/>
    <x v="1"/>
    <n v="87364"/>
    <x v="1"/>
    <x v="2"/>
    <s v="Oct-2017"/>
    <n v="8"/>
    <x v="4"/>
    <x v="6"/>
  </r>
  <r>
    <s v="CUST0008"/>
    <s v="William Horton"/>
    <x v="0"/>
    <x v="1"/>
    <n v="59"/>
    <x v="0"/>
    <s v="Engineer"/>
    <x v="0"/>
    <n v="144988"/>
    <x v="0"/>
    <x v="0"/>
    <s v="Jun-2024"/>
    <n v="1"/>
    <x v="5"/>
    <x v="7"/>
  </r>
  <r>
    <s v="CUST0009"/>
    <s v="Donna Williams"/>
    <x v="0"/>
    <x v="1"/>
    <n v="48"/>
    <x v="2"/>
    <s v="Retired"/>
    <x v="1"/>
    <n v="65028"/>
    <x v="1"/>
    <x v="2"/>
    <s v="Feb-2019"/>
    <n v="7"/>
    <x v="6"/>
    <x v="8"/>
  </r>
  <r>
    <s v="CUST0010"/>
    <s v="Mary Casey"/>
    <x v="1"/>
    <x v="3"/>
    <n v="71"/>
    <x v="2"/>
    <s v="Trader"/>
    <x v="0"/>
    <n v="188645"/>
    <x v="1"/>
    <x v="3"/>
    <s v="Feb-2016"/>
    <n v="10"/>
    <x v="3"/>
    <x v="9"/>
  </r>
  <r>
    <s v="CUST0011"/>
    <s v="Kevin Phillips"/>
    <x v="0"/>
    <x v="2"/>
    <n v="20"/>
    <x v="3"/>
    <s v="Doctor"/>
    <x v="0"/>
    <n v="151878"/>
    <x v="2"/>
    <x v="3"/>
    <s v="Feb-2017"/>
    <n v="9"/>
    <x v="4"/>
    <x v="10"/>
  </r>
  <r>
    <s v="CUST0012"/>
    <s v="Michael Richard"/>
    <x v="0"/>
    <x v="1"/>
    <n v="57"/>
    <x v="2"/>
    <s v="Trader"/>
    <x v="0"/>
    <n v="144343"/>
    <x v="1"/>
    <x v="0"/>
    <s v="Dec-2023"/>
    <n v="2"/>
    <x v="0"/>
    <x v="11"/>
  </r>
  <r>
    <s v="CUST0013"/>
    <s v="Jaime Davis MD"/>
    <x v="0"/>
    <x v="3"/>
    <n v="63"/>
    <x v="1"/>
    <s v="Trader"/>
    <x v="0"/>
    <n v="148301"/>
    <x v="0"/>
    <x v="0"/>
    <s v="Apr-2023"/>
    <n v="2"/>
    <x v="0"/>
    <x v="12"/>
  </r>
  <r>
    <s v="CUST0014"/>
    <s v="Eric Peterson"/>
    <x v="0"/>
    <x v="0"/>
    <n v="41"/>
    <x v="2"/>
    <s v="Trader"/>
    <x v="0"/>
    <n v="146295"/>
    <x v="1"/>
    <x v="2"/>
    <s v="Aug-2017"/>
    <n v="8"/>
    <x v="4"/>
    <x v="13"/>
  </r>
  <r>
    <s v="CUST0015"/>
    <s v="Ms. Renee Cardenas PhD"/>
    <x v="1"/>
    <x v="3"/>
    <n v="67"/>
    <x v="1"/>
    <s v="Trader"/>
    <x v="0"/>
    <n v="180829"/>
    <x v="1"/>
    <x v="2"/>
    <s v="Jul-2019"/>
    <n v="6"/>
    <x v="6"/>
    <x v="14"/>
  </r>
  <r>
    <s v="CUST0016"/>
    <s v="Ashlee Baird"/>
    <x v="0"/>
    <x v="1"/>
    <n v="49"/>
    <x v="3"/>
    <s v="Banker"/>
    <x v="2"/>
    <n v="54636"/>
    <x v="0"/>
    <x v="2"/>
    <s v="Jun-2019"/>
    <n v="6"/>
    <x v="6"/>
    <x v="15"/>
  </r>
  <r>
    <s v="CUST0017"/>
    <s v="Michael Conner"/>
    <x v="1"/>
    <x v="3"/>
    <n v="64"/>
    <x v="3"/>
    <s v="Banker"/>
    <x v="0"/>
    <n v="199352"/>
    <x v="0"/>
    <x v="1"/>
    <s v="Jun-2021"/>
    <n v="4"/>
    <x v="1"/>
    <x v="16"/>
  </r>
  <r>
    <s v="CUST0018"/>
    <s v="Jeff Koch"/>
    <x v="1"/>
    <x v="0"/>
    <n v="39"/>
    <x v="3"/>
    <s v="Retired"/>
    <x v="2"/>
    <n v="44262"/>
    <x v="2"/>
    <x v="0"/>
    <s v="Mar-2025"/>
    <n v="1"/>
    <x v="7"/>
    <x v="17"/>
  </r>
  <r>
    <s v="CUST0019"/>
    <s v="Melissa Clark"/>
    <x v="1"/>
    <x v="0"/>
    <n v="40"/>
    <x v="3"/>
    <s v="Teacher"/>
    <x v="0"/>
    <n v="100435"/>
    <x v="1"/>
    <x v="1"/>
    <s v="Sep-2021"/>
    <n v="4"/>
    <x v="1"/>
    <x v="18"/>
  </r>
  <r>
    <s v="CUST0020"/>
    <s v="Janice Scott"/>
    <x v="0"/>
    <x v="2"/>
    <n v="19"/>
    <x v="3"/>
    <s v="Engineer"/>
    <x v="0"/>
    <n v="148583"/>
    <x v="1"/>
    <x v="0"/>
    <s v="May-2023"/>
    <n v="2"/>
    <x v="0"/>
    <x v="19"/>
  </r>
  <r>
    <s v="CUST0021"/>
    <s v="Elizabeth Smith"/>
    <x v="1"/>
    <x v="0"/>
    <n v="44"/>
    <x v="1"/>
    <s v="Trader"/>
    <x v="0"/>
    <n v="189269"/>
    <x v="0"/>
    <x v="0"/>
    <s v="May-2024"/>
    <n v="1"/>
    <x v="5"/>
    <x v="20"/>
  </r>
  <r>
    <s v="CUST0022"/>
    <s v="Jodi Burns"/>
    <x v="0"/>
    <x v="1"/>
    <n v="59"/>
    <x v="1"/>
    <s v="Retired"/>
    <x v="1"/>
    <n v="61844"/>
    <x v="1"/>
    <x v="0"/>
    <s v="Jul-2023"/>
    <n v="2"/>
    <x v="0"/>
    <x v="21"/>
  </r>
  <r>
    <s v="CUST0023"/>
    <s v="Robert Robertson"/>
    <x v="1"/>
    <x v="2"/>
    <n v="19"/>
    <x v="3"/>
    <s v="Teacher"/>
    <x v="1"/>
    <n v="84754"/>
    <x v="0"/>
    <x v="1"/>
    <s v="Jul-2022"/>
    <n v="3"/>
    <x v="8"/>
    <x v="22"/>
  </r>
  <r>
    <s v="CUST0024"/>
    <s v="Curtis Scott"/>
    <x v="1"/>
    <x v="0"/>
    <n v="43"/>
    <x v="2"/>
    <s v="Engineer"/>
    <x v="0"/>
    <n v="185229"/>
    <x v="1"/>
    <x v="3"/>
    <s v="Jan-2017"/>
    <n v="9"/>
    <x v="4"/>
    <x v="23"/>
  </r>
  <r>
    <s v="CUST0025"/>
    <s v="Cindy Parks"/>
    <x v="1"/>
    <x v="0"/>
    <n v="34"/>
    <x v="0"/>
    <s v="Student"/>
    <x v="1"/>
    <n v="97129"/>
    <x v="0"/>
    <x v="2"/>
    <s v="Sep-2019"/>
    <n v="6"/>
    <x v="6"/>
    <x v="24"/>
  </r>
  <r>
    <s v="CUST0026"/>
    <s v="Charles Fields"/>
    <x v="1"/>
    <x v="1"/>
    <n v="57"/>
    <x v="3"/>
    <s v="Doctor"/>
    <x v="1"/>
    <n v="60042"/>
    <x v="1"/>
    <x v="1"/>
    <s v="Sep-2021"/>
    <n v="4"/>
    <x v="1"/>
    <x v="25"/>
  </r>
  <r>
    <s v="CUST0027"/>
    <s v="Michael Murray MD"/>
    <x v="1"/>
    <x v="1"/>
    <n v="50"/>
    <x v="2"/>
    <s v="Banker"/>
    <x v="1"/>
    <n v="81665"/>
    <x v="2"/>
    <x v="3"/>
    <s v="Aug-2016"/>
    <n v="9"/>
    <x v="3"/>
    <x v="26"/>
  </r>
  <r>
    <s v="CUST0028"/>
    <s v="Edward Haynes"/>
    <x v="1"/>
    <x v="2"/>
    <n v="26"/>
    <x v="0"/>
    <s v="Student"/>
    <x v="0"/>
    <n v="136953"/>
    <x v="0"/>
    <x v="2"/>
    <s v="Aug-2019"/>
    <n v="6"/>
    <x v="6"/>
    <x v="27"/>
  </r>
  <r>
    <s v="CUST0029"/>
    <s v="James Allen"/>
    <x v="1"/>
    <x v="1"/>
    <n v="60"/>
    <x v="3"/>
    <s v="Engineer"/>
    <x v="0"/>
    <n v="178448"/>
    <x v="2"/>
    <x v="1"/>
    <s v="Sep-2022"/>
    <n v="3"/>
    <x v="8"/>
    <x v="28"/>
  </r>
  <r>
    <s v="CUST0030"/>
    <s v="Angela Robinson"/>
    <x v="1"/>
    <x v="3"/>
    <n v="71"/>
    <x v="3"/>
    <s v="Student"/>
    <x v="0"/>
    <n v="165271"/>
    <x v="0"/>
    <x v="1"/>
    <s v="Oct-2020"/>
    <n v="5"/>
    <x v="9"/>
    <x v="29"/>
  </r>
  <r>
    <s v="CUST0031"/>
    <s v="Michelle Day"/>
    <x v="0"/>
    <x v="3"/>
    <n v="65"/>
    <x v="1"/>
    <s v="Doctor"/>
    <x v="0"/>
    <n v="138533"/>
    <x v="1"/>
    <x v="3"/>
    <s v="Jan-2017"/>
    <n v="9"/>
    <x v="4"/>
    <x v="30"/>
  </r>
  <r>
    <s v="CUST0032"/>
    <s v="Steven Walker"/>
    <x v="0"/>
    <x v="1"/>
    <n v="56"/>
    <x v="0"/>
    <s v="Retired"/>
    <x v="1"/>
    <n v="93781"/>
    <x v="1"/>
    <x v="3"/>
    <s v="Jul-2016"/>
    <n v="9"/>
    <x v="3"/>
    <x v="31"/>
  </r>
  <r>
    <s v="CUST0033"/>
    <s v="Lindsey Christensen"/>
    <x v="1"/>
    <x v="1"/>
    <n v="46"/>
    <x v="0"/>
    <s v="Engineer"/>
    <x v="1"/>
    <n v="86262"/>
    <x v="0"/>
    <x v="2"/>
    <s v="Aug-2019"/>
    <n v="6"/>
    <x v="6"/>
    <x v="27"/>
  </r>
  <r>
    <s v="CUST0034"/>
    <s v="Brooke Carlson"/>
    <x v="1"/>
    <x v="1"/>
    <n v="59"/>
    <x v="2"/>
    <s v="Student"/>
    <x v="1"/>
    <n v="66600"/>
    <x v="1"/>
    <x v="1"/>
    <s v="Nov-2021"/>
    <n v="4"/>
    <x v="1"/>
    <x v="32"/>
  </r>
  <r>
    <s v="CUST0035"/>
    <s v="Kevin Marshall"/>
    <x v="1"/>
    <x v="3"/>
    <n v="72"/>
    <x v="1"/>
    <s v="Banker"/>
    <x v="1"/>
    <n v="96898"/>
    <x v="1"/>
    <x v="3"/>
    <s v="Jun-2016"/>
    <n v="9"/>
    <x v="3"/>
    <x v="33"/>
  </r>
  <r>
    <s v="CUST0036"/>
    <s v="Bradley Moore"/>
    <x v="0"/>
    <x v="0"/>
    <n v="43"/>
    <x v="1"/>
    <s v="Banker"/>
    <x v="0"/>
    <n v="169369"/>
    <x v="0"/>
    <x v="2"/>
    <s v="Jun-2017"/>
    <n v="8"/>
    <x v="4"/>
    <x v="34"/>
  </r>
  <r>
    <s v="CUST0037"/>
    <s v="Dawn Navarro"/>
    <x v="1"/>
    <x v="1"/>
    <n v="52"/>
    <x v="1"/>
    <s v="Teacher"/>
    <x v="2"/>
    <n v="50448"/>
    <x v="0"/>
    <x v="2"/>
    <s v="Jul-2017"/>
    <n v="8"/>
    <x v="4"/>
    <x v="35"/>
  </r>
  <r>
    <s v="CUST0038"/>
    <s v="Adam Garcia"/>
    <x v="0"/>
    <x v="3"/>
    <n v="67"/>
    <x v="1"/>
    <s v="Student"/>
    <x v="2"/>
    <n v="46172"/>
    <x v="1"/>
    <x v="1"/>
    <s v="Nov-2021"/>
    <n v="4"/>
    <x v="1"/>
    <x v="36"/>
  </r>
  <r>
    <s v="CUST0039"/>
    <s v="Jorge James"/>
    <x v="0"/>
    <x v="0"/>
    <n v="42"/>
    <x v="0"/>
    <s v="Trader"/>
    <x v="0"/>
    <n v="193946"/>
    <x v="1"/>
    <x v="1"/>
    <s v="Aug-2020"/>
    <n v="5"/>
    <x v="9"/>
    <x v="37"/>
  </r>
  <r>
    <s v="CUST0040"/>
    <s v="Adam Montgomery"/>
    <x v="0"/>
    <x v="0"/>
    <n v="41"/>
    <x v="0"/>
    <s v="Student"/>
    <x v="3"/>
    <n v="27657"/>
    <x v="1"/>
    <x v="3"/>
    <s v="Oct-2015"/>
    <n v="10"/>
    <x v="10"/>
    <x v="38"/>
  </r>
  <r>
    <s v="CUST0041"/>
    <s v="Dr. Nicole Mendez"/>
    <x v="0"/>
    <x v="0"/>
    <n v="30"/>
    <x v="3"/>
    <s v="Retired"/>
    <x v="0"/>
    <n v="176497"/>
    <x v="1"/>
    <x v="2"/>
    <s v="Apr-2017"/>
    <n v="8"/>
    <x v="4"/>
    <x v="39"/>
  </r>
  <r>
    <s v="CUST0042"/>
    <s v="Joseph Owens"/>
    <x v="0"/>
    <x v="2"/>
    <n v="24"/>
    <x v="3"/>
    <s v="Engineer"/>
    <x v="0"/>
    <n v="177757"/>
    <x v="0"/>
    <x v="3"/>
    <s v="Jul-2016"/>
    <n v="9"/>
    <x v="3"/>
    <x v="40"/>
  </r>
  <r>
    <s v="CUST0043"/>
    <s v="Stephanie Ashley"/>
    <x v="1"/>
    <x v="3"/>
    <n v="74"/>
    <x v="1"/>
    <s v="Engineer"/>
    <x v="0"/>
    <n v="132855"/>
    <x v="1"/>
    <x v="1"/>
    <s v="Jul-2022"/>
    <n v="3"/>
    <x v="8"/>
    <x v="41"/>
  </r>
  <r>
    <s v="CUST0044"/>
    <s v="Regina Harris"/>
    <x v="1"/>
    <x v="1"/>
    <n v="53"/>
    <x v="1"/>
    <s v="Retired"/>
    <x v="0"/>
    <n v="175650"/>
    <x v="0"/>
    <x v="1"/>
    <s v="Aug-2021"/>
    <n v="4"/>
    <x v="1"/>
    <x v="42"/>
  </r>
  <r>
    <s v="CUST0045"/>
    <s v="Ashley Miller"/>
    <x v="1"/>
    <x v="3"/>
    <n v="62"/>
    <x v="1"/>
    <s v="Student"/>
    <x v="0"/>
    <n v="179903"/>
    <x v="0"/>
    <x v="2"/>
    <s v="Jun-2019"/>
    <n v="6"/>
    <x v="6"/>
    <x v="43"/>
  </r>
  <r>
    <s v="CUST0046"/>
    <s v="Keith Watson"/>
    <x v="1"/>
    <x v="0"/>
    <n v="37"/>
    <x v="3"/>
    <s v="Retired"/>
    <x v="3"/>
    <n v="27906"/>
    <x v="0"/>
    <x v="1"/>
    <s v="May-2021"/>
    <n v="4"/>
    <x v="1"/>
    <x v="44"/>
  </r>
  <r>
    <s v="CUST0047"/>
    <s v="Patricia Schneider"/>
    <x v="1"/>
    <x v="2"/>
    <n v="18"/>
    <x v="2"/>
    <s v="Doctor"/>
    <x v="1"/>
    <n v="81413"/>
    <x v="0"/>
    <x v="2"/>
    <s v="Apr-2017"/>
    <n v="8"/>
    <x v="4"/>
    <x v="45"/>
  </r>
  <r>
    <s v="CUST0048"/>
    <s v="Deanna Watson"/>
    <x v="0"/>
    <x v="2"/>
    <n v="25"/>
    <x v="2"/>
    <s v="Retired"/>
    <x v="1"/>
    <n v="74028"/>
    <x v="0"/>
    <x v="0"/>
    <s v="Jul-2024"/>
    <n v="1"/>
    <x v="5"/>
    <x v="46"/>
  </r>
  <r>
    <s v="CUST0049"/>
    <s v="Samantha Davis"/>
    <x v="1"/>
    <x v="3"/>
    <n v="63"/>
    <x v="3"/>
    <s v="Banker"/>
    <x v="3"/>
    <n v="27287"/>
    <x v="0"/>
    <x v="3"/>
    <s v="Jan-2017"/>
    <n v="9"/>
    <x v="4"/>
    <x v="47"/>
  </r>
  <r>
    <s v="CUST0050"/>
    <s v="Michele Kim"/>
    <x v="1"/>
    <x v="0"/>
    <n v="33"/>
    <x v="3"/>
    <s v="Retired"/>
    <x v="2"/>
    <n v="53660"/>
    <x v="1"/>
    <x v="1"/>
    <s v="Mar-2023"/>
    <n v="3"/>
    <x v="0"/>
    <x v="48"/>
  </r>
  <r>
    <s v="CUST0051"/>
    <s v="Daniel Logan"/>
    <x v="0"/>
    <x v="0"/>
    <n v="31"/>
    <x v="3"/>
    <s v="Engineer"/>
    <x v="1"/>
    <n v="80504"/>
    <x v="0"/>
    <x v="3"/>
    <s v="Sep-2016"/>
    <n v="9"/>
    <x v="3"/>
    <x v="49"/>
  </r>
  <r>
    <s v="CUST0052"/>
    <s v="Kimberly Valencia"/>
    <x v="1"/>
    <x v="0"/>
    <n v="29"/>
    <x v="3"/>
    <s v="Banker"/>
    <x v="0"/>
    <n v="122979"/>
    <x v="0"/>
    <x v="0"/>
    <s v="May-2023"/>
    <n v="2"/>
    <x v="0"/>
    <x v="50"/>
  </r>
  <r>
    <s v="CUST0053"/>
    <s v="Mrs. Nicole Fitzpatrick"/>
    <x v="0"/>
    <x v="3"/>
    <n v="68"/>
    <x v="3"/>
    <s v="Engineer"/>
    <x v="2"/>
    <n v="54701"/>
    <x v="0"/>
    <x v="1"/>
    <s v="Jun-2022"/>
    <n v="3"/>
    <x v="8"/>
    <x v="51"/>
  </r>
  <r>
    <s v="CUST0054"/>
    <s v="Carmen Thomas"/>
    <x v="1"/>
    <x v="0"/>
    <n v="40"/>
    <x v="3"/>
    <s v="Teacher"/>
    <x v="0"/>
    <n v="103300"/>
    <x v="0"/>
    <x v="1"/>
    <s v="Oct-2020"/>
    <n v="5"/>
    <x v="9"/>
    <x v="52"/>
  </r>
  <r>
    <s v="CUST0055"/>
    <s v="Darius Garcia"/>
    <x v="0"/>
    <x v="0"/>
    <n v="32"/>
    <x v="1"/>
    <s v="Trader"/>
    <x v="0"/>
    <n v="168746"/>
    <x v="0"/>
    <x v="1"/>
    <s v="Dec-2022"/>
    <n v="3"/>
    <x v="8"/>
    <x v="53"/>
  </r>
  <r>
    <s v="CUST0056"/>
    <s v="Jackie West"/>
    <x v="1"/>
    <x v="1"/>
    <n v="45"/>
    <x v="1"/>
    <s v="Engineer"/>
    <x v="0"/>
    <n v="103560"/>
    <x v="0"/>
    <x v="1"/>
    <s v="May-2022"/>
    <n v="3"/>
    <x v="8"/>
    <x v="54"/>
  </r>
  <r>
    <s v="CUST0057"/>
    <s v="Brandy Murphy"/>
    <x v="1"/>
    <x v="1"/>
    <n v="51"/>
    <x v="1"/>
    <s v="Banker"/>
    <x v="0"/>
    <n v="174946"/>
    <x v="1"/>
    <x v="2"/>
    <s v="Jul-2019"/>
    <n v="6"/>
    <x v="6"/>
    <x v="55"/>
  </r>
  <r>
    <s v="CUST0058"/>
    <s v="Rhonda Charles"/>
    <x v="0"/>
    <x v="2"/>
    <n v="19"/>
    <x v="1"/>
    <s v="Teacher"/>
    <x v="1"/>
    <n v="63642"/>
    <x v="1"/>
    <x v="2"/>
    <s v="Jun-2019"/>
    <n v="6"/>
    <x v="6"/>
    <x v="56"/>
  </r>
  <r>
    <s v="CUST0059"/>
    <s v="Matthew Sanchez"/>
    <x v="0"/>
    <x v="1"/>
    <n v="49"/>
    <x v="3"/>
    <s v="Engineer"/>
    <x v="1"/>
    <n v="85160"/>
    <x v="1"/>
    <x v="0"/>
    <s v="Mar-2024"/>
    <n v="2"/>
    <x v="5"/>
    <x v="57"/>
  </r>
  <r>
    <s v="CUST0060"/>
    <s v="Meghan Le"/>
    <x v="0"/>
    <x v="0"/>
    <n v="40"/>
    <x v="2"/>
    <s v="Doctor"/>
    <x v="2"/>
    <n v="37602"/>
    <x v="0"/>
    <x v="2"/>
    <s v="Nov-2018"/>
    <n v="7"/>
    <x v="2"/>
    <x v="58"/>
  </r>
  <r>
    <s v="CUST0061"/>
    <s v="Ricky Fisher"/>
    <x v="0"/>
    <x v="0"/>
    <n v="39"/>
    <x v="0"/>
    <s v="Retired"/>
    <x v="0"/>
    <n v="123320"/>
    <x v="0"/>
    <x v="1"/>
    <s v="Nov-2022"/>
    <n v="3"/>
    <x v="8"/>
    <x v="59"/>
  </r>
  <r>
    <s v="CUST0062"/>
    <s v="Tony Bell"/>
    <x v="0"/>
    <x v="3"/>
    <n v="68"/>
    <x v="3"/>
    <s v="Trader"/>
    <x v="0"/>
    <n v="108801"/>
    <x v="1"/>
    <x v="0"/>
    <s v="Nov-2024"/>
    <n v="1"/>
    <x v="5"/>
    <x v="60"/>
  </r>
  <r>
    <s v="CUST0063"/>
    <s v="Matthew Ruiz"/>
    <x v="0"/>
    <x v="0"/>
    <n v="42"/>
    <x v="0"/>
    <s v="Engineer"/>
    <x v="2"/>
    <n v="45931"/>
    <x v="0"/>
    <x v="0"/>
    <s v="Apr-2023"/>
    <n v="2"/>
    <x v="0"/>
    <x v="61"/>
  </r>
  <r>
    <s v="CUST0064"/>
    <s v="Joshua White"/>
    <x v="0"/>
    <x v="0"/>
    <n v="39"/>
    <x v="2"/>
    <s v="Teacher"/>
    <x v="0"/>
    <n v="114377"/>
    <x v="0"/>
    <x v="1"/>
    <s v="Mar-2023"/>
    <n v="3"/>
    <x v="0"/>
    <x v="62"/>
  </r>
  <r>
    <s v="CUST0065"/>
    <s v="Crystal Smith"/>
    <x v="0"/>
    <x v="0"/>
    <n v="39"/>
    <x v="1"/>
    <s v="Doctor"/>
    <x v="2"/>
    <n v="49192"/>
    <x v="0"/>
    <x v="1"/>
    <s v="Oct-2020"/>
    <n v="5"/>
    <x v="9"/>
    <x v="63"/>
  </r>
  <r>
    <s v="CUST0066"/>
    <s v="Felicia Nelson"/>
    <x v="1"/>
    <x v="3"/>
    <n v="66"/>
    <x v="2"/>
    <s v="Student"/>
    <x v="1"/>
    <n v="66542"/>
    <x v="0"/>
    <x v="2"/>
    <s v="Dec-2017"/>
    <n v="8"/>
    <x v="4"/>
    <x v="64"/>
  </r>
  <r>
    <s v="CUST0067"/>
    <s v="Jessica Williams"/>
    <x v="1"/>
    <x v="3"/>
    <n v="69"/>
    <x v="3"/>
    <s v="Teacher"/>
    <x v="0"/>
    <n v="147015"/>
    <x v="0"/>
    <x v="1"/>
    <s v="Mar-2023"/>
    <n v="3"/>
    <x v="0"/>
    <x v="65"/>
  </r>
  <r>
    <s v="CUST0068"/>
    <s v="Barbara Gonzalez"/>
    <x v="0"/>
    <x v="1"/>
    <n v="59"/>
    <x v="1"/>
    <s v="Retired"/>
    <x v="1"/>
    <n v="62520"/>
    <x v="0"/>
    <x v="2"/>
    <s v="Nov-2017"/>
    <n v="8"/>
    <x v="4"/>
    <x v="66"/>
  </r>
  <r>
    <s v="CUST0069"/>
    <s v="Amanda Beck"/>
    <x v="1"/>
    <x v="2"/>
    <n v="23"/>
    <x v="3"/>
    <s v="Teacher"/>
    <x v="1"/>
    <n v="84772"/>
    <x v="0"/>
    <x v="2"/>
    <s v="Aug-2018"/>
    <n v="7"/>
    <x v="2"/>
    <x v="67"/>
  </r>
  <r>
    <s v="CUST0070"/>
    <s v="Bob Stout"/>
    <x v="1"/>
    <x v="0"/>
    <n v="32"/>
    <x v="1"/>
    <s v="Doctor"/>
    <x v="1"/>
    <n v="70106"/>
    <x v="0"/>
    <x v="0"/>
    <s v="Jul-2024"/>
    <n v="1"/>
    <x v="5"/>
    <x v="68"/>
  </r>
  <r>
    <s v="CUST0071"/>
    <s v="Ashley Johnson"/>
    <x v="1"/>
    <x v="3"/>
    <n v="71"/>
    <x v="0"/>
    <s v="Teacher"/>
    <x v="0"/>
    <n v="101121"/>
    <x v="1"/>
    <x v="0"/>
    <s v="Jun-2025"/>
    <n v="0"/>
    <x v="7"/>
    <x v="69"/>
  </r>
  <r>
    <s v="CUST0072"/>
    <s v="Billy Hendrix Jr."/>
    <x v="1"/>
    <x v="1"/>
    <n v="60"/>
    <x v="0"/>
    <s v="Doctor"/>
    <x v="2"/>
    <n v="45559"/>
    <x v="1"/>
    <x v="3"/>
    <s v="Mar-2016"/>
    <n v="9"/>
    <x v="3"/>
    <x v="70"/>
  </r>
  <r>
    <s v="CUST0073"/>
    <s v="Sarah Brown"/>
    <x v="0"/>
    <x v="1"/>
    <n v="54"/>
    <x v="0"/>
    <s v="Engineer"/>
    <x v="0"/>
    <n v="125595"/>
    <x v="1"/>
    <x v="1"/>
    <s v="Apr-2020"/>
    <n v="5"/>
    <x v="9"/>
    <x v="71"/>
  </r>
  <r>
    <s v="CUST0074"/>
    <s v="Christopher Chapman"/>
    <x v="1"/>
    <x v="1"/>
    <n v="50"/>
    <x v="2"/>
    <s v="Doctor"/>
    <x v="2"/>
    <n v="53742"/>
    <x v="1"/>
    <x v="0"/>
    <s v="Jan-2025"/>
    <n v="1"/>
    <x v="7"/>
    <x v="72"/>
  </r>
  <r>
    <s v="CUST0075"/>
    <s v="Stephen Jacobs"/>
    <x v="0"/>
    <x v="2"/>
    <n v="25"/>
    <x v="3"/>
    <s v="Doctor"/>
    <x v="1"/>
    <n v="89669"/>
    <x v="2"/>
    <x v="2"/>
    <s v="Jul-2018"/>
    <n v="7"/>
    <x v="2"/>
    <x v="4"/>
  </r>
  <r>
    <s v="CUST0076"/>
    <s v="Pamela Johnson"/>
    <x v="1"/>
    <x v="3"/>
    <n v="70"/>
    <x v="2"/>
    <s v="Trader"/>
    <x v="0"/>
    <n v="172826"/>
    <x v="0"/>
    <x v="2"/>
    <s v="Jul-2017"/>
    <n v="8"/>
    <x v="4"/>
    <x v="73"/>
  </r>
  <r>
    <s v="CUST0077"/>
    <s v="Bryan Butler"/>
    <x v="1"/>
    <x v="3"/>
    <n v="61"/>
    <x v="0"/>
    <s v="Doctor"/>
    <x v="0"/>
    <n v="155044"/>
    <x v="0"/>
    <x v="1"/>
    <s v="Jan-2022"/>
    <n v="4"/>
    <x v="8"/>
    <x v="74"/>
  </r>
  <r>
    <s v="CUST0078"/>
    <s v="Jenna Butler"/>
    <x v="1"/>
    <x v="3"/>
    <n v="61"/>
    <x v="3"/>
    <s v="Doctor"/>
    <x v="1"/>
    <n v="90831"/>
    <x v="0"/>
    <x v="2"/>
    <s v="Jul-2018"/>
    <n v="7"/>
    <x v="2"/>
    <x v="75"/>
  </r>
  <r>
    <s v="CUST0079"/>
    <s v="Richard Bennett"/>
    <x v="0"/>
    <x v="2"/>
    <n v="22"/>
    <x v="0"/>
    <s v="Student"/>
    <x v="0"/>
    <n v="132217"/>
    <x v="1"/>
    <x v="1"/>
    <s v="Jan-2022"/>
    <n v="4"/>
    <x v="8"/>
    <x v="76"/>
  </r>
  <r>
    <s v="CUST0080"/>
    <s v="Kevin Young"/>
    <x v="1"/>
    <x v="1"/>
    <n v="56"/>
    <x v="2"/>
    <s v="Engineer"/>
    <x v="1"/>
    <n v="61873"/>
    <x v="1"/>
    <x v="2"/>
    <s v="Apr-2018"/>
    <n v="7"/>
    <x v="2"/>
    <x v="77"/>
  </r>
  <r>
    <s v="CUST0081"/>
    <s v="Taylor Perkins"/>
    <x v="0"/>
    <x v="2"/>
    <n v="21"/>
    <x v="2"/>
    <s v="Retired"/>
    <x v="0"/>
    <n v="126532"/>
    <x v="0"/>
    <x v="0"/>
    <s v="Mar-2023"/>
    <n v="2"/>
    <x v="0"/>
    <x v="78"/>
  </r>
  <r>
    <s v="CUST0082"/>
    <s v="Marcus Miller"/>
    <x v="1"/>
    <x v="2"/>
    <n v="23"/>
    <x v="2"/>
    <s v="Trader"/>
    <x v="0"/>
    <n v="146267"/>
    <x v="2"/>
    <x v="0"/>
    <s v="May-2025"/>
    <n v="0"/>
    <x v="7"/>
    <x v="79"/>
  </r>
  <r>
    <s v="CUST0083"/>
    <s v="Joseph Burns"/>
    <x v="0"/>
    <x v="3"/>
    <n v="62"/>
    <x v="0"/>
    <s v="Student"/>
    <x v="0"/>
    <n v="160975"/>
    <x v="0"/>
    <x v="1"/>
    <s v="Apr-2021"/>
    <n v="4"/>
    <x v="1"/>
    <x v="80"/>
  </r>
  <r>
    <s v="CUST0084"/>
    <s v="Carlos Watson"/>
    <x v="1"/>
    <x v="1"/>
    <n v="49"/>
    <x v="3"/>
    <s v="Banker"/>
    <x v="0"/>
    <n v="154092"/>
    <x v="2"/>
    <x v="1"/>
    <s v="Apr-2021"/>
    <n v="4"/>
    <x v="1"/>
    <x v="81"/>
  </r>
  <r>
    <s v="CUST0085"/>
    <s v="John Ruiz"/>
    <x v="0"/>
    <x v="3"/>
    <n v="69"/>
    <x v="3"/>
    <s v="Engineer"/>
    <x v="1"/>
    <n v="61755"/>
    <x v="0"/>
    <x v="2"/>
    <s v="Jan-2020"/>
    <n v="6"/>
    <x v="9"/>
    <x v="82"/>
  </r>
  <r>
    <s v="CUST0086"/>
    <s v="Ashley Lewis"/>
    <x v="0"/>
    <x v="1"/>
    <n v="47"/>
    <x v="0"/>
    <s v="Engineer"/>
    <x v="0"/>
    <n v="105956"/>
    <x v="0"/>
    <x v="1"/>
    <s v="Mar-2021"/>
    <n v="4"/>
    <x v="1"/>
    <x v="83"/>
  </r>
  <r>
    <s v="CUST0087"/>
    <s v="Jack Coleman"/>
    <x v="1"/>
    <x v="3"/>
    <n v="64"/>
    <x v="3"/>
    <s v="Banker"/>
    <x v="0"/>
    <n v="106988"/>
    <x v="0"/>
    <x v="0"/>
    <s v="Jun-2025"/>
    <n v="0"/>
    <x v="7"/>
    <x v="84"/>
  </r>
  <r>
    <s v="CUST0088"/>
    <s v="Amanda Hall"/>
    <x v="0"/>
    <x v="1"/>
    <n v="52"/>
    <x v="0"/>
    <s v="Retired"/>
    <x v="1"/>
    <n v="65648"/>
    <x v="0"/>
    <x v="2"/>
    <s v="Oct-2019"/>
    <n v="6"/>
    <x v="6"/>
    <x v="85"/>
  </r>
  <r>
    <s v="CUST0089"/>
    <s v="Elizabeth Brown"/>
    <x v="1"/>
    <x v="3"/>
    <n v="72"/>
    <x v="3"/>
    <s v="Doctor"/>
    <x v="0"/>
    <n v="145991"/>
    <x v="0"/>
    <x v="1"/>
    <s v="Jan-2021"/>
    <n v="5"/>
    <x v="1"/>
    <x v="86"/>
  </r>
  <r>
    <s v="CUST0090"/>
    <s v="Edward Ramirez"/>
    <x v="1"/>
    <x v="1"/>
    <n v="57"/>
    <x v="1"/>
    <s v="Student"/>
    <x v="0"/>
    <n v="160588"/>
    <x v="0"/>
    <x v="3"/>
    <s v="Aug-2015"/>
    <n v="10"/>
    <x v="10"/>
    <x v="87"/>
  </r>
  <r>
    <s v="CUST0091"/>
    <s v="Christopher Smith"/>
    <x v="1"/>
    <x v="3"/>
    <n v="69"/>
    <x v="1"/>
    <s v="Teacher"/>
    <x v="0"/>
    <n v="135005"/>
    <x v="1"/>
    <x v="1"/>
    <s v="Aug-2022"/>
    <n v="3"/>
    <x v="8"/>
    <x v="88"/>
  </r>
  <r>
    <s v="CUST0092"/>
    <s v="Amanda Nelson"/>
    <x v="1"/>
    <x v="0"/>
    <n v="33"/>
    <x v="2"/>
    <s v="Trader"/>
    <x v="3"/>
    <n v="22396"/>
    <x v="0"/>
    <x v="3"/>
    <s v="Jun-2016"/>
    <n v="9"/>
    <x v="3"/>
    <x v="89"/>
  </r>
  <r>
    <s v="CUST0093"/>
    <s v="Miguel Rodriguez"/>
    <x v="1"/>
    <x v="0"/>
    <n v="30"/>
    <x v="1"/>
    <s v="Teacher"/>
    <x v="0"/>
    <n v="104082"/>
    <x v="0"/>
    <x v="2"/>
    <s v="Jan-2018"/>
    <n v="8"/>
    <x v="2"/>
    <x v="90"/>
  </r>
  <r>
    <s v="CUST0094"/>
    <s v="Timothy Gutierrez"/>
    <x v="1"/>
    <x v="3"/>
    <n v="67"/>
    <x v="1"/>
    <s v="Banker"/>
    <x v="0"/>
    <n v="170201"/>
    <x v="1"/>
    <x v="0"/>
    <s v="Nov-2023"/>
    <n v="2"/>
    <x v="0"/>
    <x v="91"/>
  </r>
  <r>
    <s v="CUST0095"/>
    <s v="Christopher Miller"/>
    <x v="1"/>
    <x v="1"/>
    <n v="59"/>
    <x v="1"/>
    <s v="Engineer"/>
    <x v="0"/>
    <n v="148322"/>
    <x v="1"/>
    <x v="1"/>
    <s v="Jul-2021"/>
    <n v="4"/>
    <x v="1"/>
    <x v="92"/>
  </r>
  <r>
    <s v="CUST0096"/>
    <s v="Scott Bailey"/>
    <x v="1"/>
    <x v="1"/>
    <n v="47"/>
    <x v="0"/>
    <s v="Retired"/>
    <x v="0"/>
    <n v="152663"/>
    <x v="0"/>
    <x v="2"/>
    <s v="Aug-2017"/>
    <n v="8"/>
    <x v="4"/>
    <x v="93"/>
  </r>
  <r>
    <s v="CUST0097"/>
    <s v="Danielle Newman"/>
    <x v="1"/>
    <x v="0"/>
    <n v="36"/>
    <x v="1"/>
    <s v="Engineer"/>
    <x v="2"/>
    <n v="31303"/>
    <x v="0"/>
    <x v="2"/>
    <s v="Dec-2017"/>
    <n v="8"/>
    <x v="4"/>
    <x v="64"/>
  </r>
  <r>
    <s v="CUST0098"/>
    <s v="Jeremy Jones"/>
    <x v="1"/>
    <x v="0"/>
    <n v="34"/>
    <x v="1"/>
    <s v="Trader"/>
    <x v="0"/>
    <n v="181633"/>
    <x v="0"/>
    <x v="0"/>
    <s v="Jun-2023"/>
    <n v="2"/>
    <x v="0"/>
    <x v="94"/>
  </r>
  <r>
    <s v="CUST0099"/>
    <s v="Alexis Avila"/>
    <x v="1"/>
    <x v="3"/>
    <n v="73"/>
    <x v="2"/>
    <s v="Engineer"/>
    <x v="1"/>
    <n v="91719"/>
    <x v="0"/>
    <x v="1"/>
    <s v="Nov-2020"/>
    <n v="5"/>
    <x v="9"/>
    <x v="95"/>
  </r>
  <r>
    <s v="CUST0100"/>
    <s v="Leslie Buchanan"/>
    <x v="0"/>
    <x v="0"/>
    <n v="36"/>
    <x v="1"/>
    <s v="Engineer"/>
    <x v="0"/>
    <n v="119616"/>
    <x v="1"/>
    <x v="1"/>
    <s v="Jan-2023"/>
    <n v="3"/>
    <x v="0"/>
    <x v="96"/>
  </r>
  <r>
    <s v="CUST0101"/>
    <s v="Robert Wright"/>
    <x v="0"/>
    <x v="1"/>
    <n v="45"/>
    <x v="1"/>
    <s v="Trader"/>
    <x v="0"/>
    <n v="144165"/>
    <x v="0"/>
    <x v="1"/>
    <s v="Jul-2020"/>
    <n v="5"/>
    <x v="9"/>
    <x v="97"/>
  </r>
  <r>
    <s v="CUST0102"/>
    <s v="Patrick Moore"/>
    <x v="1"/>
    <x v="3"/>
    <n v="72"/>
    <x v="3"/>
    <s v="Student"/>
    <x v="0"/>
    <n v="106231"/>
    <x v="0"/>
    <x v="1"/>
    <s v="Dec-2021"/>
    <n v="4"/>
    <x v="1"/>
    <x v="98"/>
  </r>
  <r>
    <s v="CUST0103"/>
    <s v="Donna Perkins"/>
    <x v="1"/>
    <x v="0"/>
    <n v="43"/>
    <x v="2"/>
    <s v="Student"/>
    <x v="3"/>
    <n v="27314"/>
    <x v="1"/>
    <x v="1"/>
    <s v="May-2022"/>
    <n v="3"/>
    <x v="8"/>
    <x v="99"/>
  </r>
  <r>
    <s v="CUST0104"/>
    <s v="Matthew Palmer"/>
    <x v="1"/>
    <x v="1"/>
    <n v="54"/>
    <x v="2"/>
    <s v="Trader"/>
    <x v="2"/>
    <n v="39623"/>
    <x v="0"/>
    <x v="3"/>
    <s v="Oct-2016"/>
    <n v="9"/>
    <x v="3"/>
    <x v="100"/>
  </r>
  <r>
    <s v="CUST0105"/>
    <s v="Eric Mayer"/>
    <x v="1"/>
    <x v="0"/>
    <n v="43"/>
    <x v="2"/>
    <s v="Retired"/>
    <x v="0"/>
    <n v="125228"/>
    <x v="0"/>
    <x v="0"/>
    <s v="Apr-2025"/>
    <n v="0"/>
    <x v="7"/>
    <x v="101"/>
  </r>
  <r>
    <s v="CUST0106"/>
    <s v="Linda Lopez"/>
    <x v="1"/>
    <x v="3"/>
    <n v="70"/>
    <x v="2"/>
    <s v="Banker"/>
    <x v="0"/>
    <n v="184202"/>
    <x v="0"/>
    <x v="2"/>
    <s v="Jul-2017"/>
    <n v="8"/>
    <x v="4"/>
    <x v="102"/>
  </r>
  <r>
    <s v="CUST0107"/>
    <s v="Andrew Flynn"/>
    <x v="1"/>
    <x v="0"/>
    <n v="40"/>
    <x v="2"/>
    <s v="Engineer"/>
    <x v="0"/>
    <n v="117624"/>
    <x v="2"/>
    <x v="0"/>
    <s v="Mar-2025"/>
    <n v="1"/>
    <x v="7"/>
    <x v="103"/>
  </r>
  <r>
    <s v="CUST0108"/>
    <s v="Carmen Graham"/>
    <x v="1"/>
    <x v="2"/>
    <n v="26"/>
    <x v="2"/>
    <s v="Retired"/>
    <x v="0"/>
    <n v="177364"/>
    <x v="0"/>
    <x v="1"/>
    <s v="Jan-2021"/>
    <n v="5"/>
    <x v="1"/>
    <x v="104"/>
  </r>
  <r>
    <s v="CUST0109"/>
    <s v="Emily Scott"/>
    <x v="1"/>
    <x v="0"/>
    <n v="29"/>
    <x v="0"/>
    <s v="Engineer"/>
    <x v="0"/>
    <n v="131785"/>
    <x v="1"/>
    <x v="1"/>
    <s v="Sep-2020"/>
    <n v="5"/>
    <x v="9"/>
    <x v="105"/>
  </r>
  <r>
    <s v="CUST0110"/>
    <s v="Jose Decker"/>
    <x v="0"/>
    <x v="3"/>
    <n v="70"/>
    <x v="1"/>
    <s v="Banker"/>
    <x v="0"/>
    <n v="106206"/>
    <x v="0"/>
    <x v="2"/>
    <s v="Jun-2018"/>
    <n v="7"/>
    <x v="2"/>
    <x v="106"/>
  </r>
  <r>
    <s v="CUST0111"/>
    <s v="Anita White"/>
    <x v="1"/>
    <x v="2"/>
    <n v="18"/>
    <x v="2"/>
    <s v="Student"/>
    <x v="1"/>
    <n v="89274"/>
    <x v="0"/>
    <x v="2"/>
    <s v="Jul-2019"/>
    <n v="6"/>
    <x v="6"/>
    <x v="107"/>
  </r>
  <r>
    <s v="CUST0112"/>
    <s v="Daniel Adams"/>
    <x v="0"/>
    <x v="2"/>
    <n v="18"/>
    <x v="1"/>
    <s v="Retired"/>
    <x v="0"/>
    <n v="153541"/>
    <x v="1"/>
    <x v="1"/>
    <s v="Apr-2020"/>
    <n v="5"/>
    <x v="9"/>
    <x v="108"/>
  </r>
  <r>
    <s v="CUST0113"/>
    <s v="Anthony Ramos"/>
    <x v="1"/>
    <x v="3"/>
    <n v="64"/>
    <x v="1"/>
    <s v="Doctor"/>
    <x v="1"/>
    <n v="73947"/>
    <x v="2"/>
    <x v="3"/>
    <s v="Mar-2016"/>
    <n v="9"/>
    <x v="3"/>
    <x v="109"/>
  </r>
  <r>
    <s v="CUST0114"/>
    <s v="Megan Proctor"/>
    <x v="1"/>
    <x v="1"/>
    <n v="51"/>
    <x v="0"/>
    <s v="Doctor"/>
    <x v="0"/>
    <n v="173606"/>
    <x v="1"/>
    <x v="2"/>
    <s v="Jul-2019"/>
    <n v="6"/>
    <x v="6"/>
    <x v="110"/>
  </r>
  <r>
    <s v="CUST0115"/>
    <s v="Sarah Guzman"/>
    <x v="0"/>
    <x v="1"/>
    <n v="49"/>
    <x v="2"/>
    <s v="Doctor"/>
    <x v="1"/>
    <n v="68874"/>
    <x v="1"/>
    <x v="0"/>
    <s v="Aug-2024"/>
    <n v="1"/>
    <x v="5"/>
    <x v="111"/>
  </r>
  <r>
    <s v="CUST0116"/>
    <s v="Guy Hughes"/>
    <x v="1"/>
    <x v="3"/>
    <n v="71"/>
    <x v="3"/>
    <s v="Student"/>
    <x v="1"/>
    <n v="69708"/>
    <x v="1"/>
    <x v="0"/>
    <s v="May-2025"/>
    <n v="0"/>
    <x v="7"/>
    <x v="112"/>
  </r>
  <r>
    <s v="CUST0117"/>
    <s v="Heidi Sharp"/>
    <x v="0"/>
    <x v="3"/>
    <n v="65"/>
    <x v="0"/>
    <s v="Student"/>
    <x v="1"/>
    <n v="94553"/>
    <x v="0"/>
    <x v="0"/>
    <s v="Feb-2025"/>
    <n v="1"/>
    <x v="7"/>
    <x v="113"/>
  </r>
  <r>
    <s v="CUST0118"/>
    <s v="Shawn Randolph"/>
    <x v="1"/>
    <x v="0"/>
    <n v="42"/>
    <x v="3"/>
    <s v="Banker"/>
    <x v="1"/>
    <n v="88344"/>
    <x v="0"/>
    <x v="0"/>
    <s v="Mar-2025"/>
    <n v="1"/>
    <x v="7"/>
    <x v="103"/>
  </r>
  <r>
    <s v="CUST0119"/>
    <s v="Valerie Kelley"/>
    <x v="1"/>
    <x v="1"/>
    <n v="57"/>
    <x v="1"/>
    <s v="Engineer"/>
    <x v="1"/>
    <n v="69138"/>
    <x v="1"/>
    <x v="2"/>
    <s v="Dec-2019"/>
    <n v="6"/>
    <x v="6"/>
    <x v="114"/>
  </r>
  <r>
    <s v="CUST0120"/>
    <s v="Sherri Webb"/>
    <x v="0"/>
    <x v="3"/>
    <n v="62"/>
    <x v="1"/>
    <s v="Banker"/>
    <x v="1"/>
    <n v="67638"/>
    <x v="0"/>
    <x v="2"/>
    <s v="Mar-2019"/>
    <n v="6"/>
    <x v="6"/>
    <x v="115"/>
  </r>
  <r>
    <s v="CUST0121"/>
    <s v="Mary Cole"/>
    <x v="1"/>
    <x v="3"/>
    <n v="70"/>
    <x v="0"/>
    <s v="Banker"/>
    <x v="1"/>
    <n v="98249"/>
    <x v="1"/>
    <x v="0"/>
    <s v="Jun-2023"/>
    <n v="2"/>
    <x v="0"/>
    <x v="116"/>
  </r>
  <r>
    <s v="CUST0122"/>
    <s v="Mariah Hernandez"/>
    <x v="0"/>
    <x v="2"/>
    <n v="18"/>
    <x v="0"/>
    <s v="Student"/>
    <x v="0"/>
    <n v="125865"/>
    <x v="2"/>
    <x v="3"/>
    <s v="Sep-2015"/>
    <n v="10"/>
    <x v="10"/>
    <x v="117"/>
  </r>
  <r>
    <s v="CUST0123"/>
    <s v="Kerry Frazier"/>
    <x v="1"/>
    <x v="0"/>
    <n v="33"/>
    <x v="3"/>
    <s v="Doctor"/>
    <x v="3"/>
    <n v="22719"/>
    <x v="0"/>
    <x v="2"/>
    <s v="Jul-2017"/>
    <n v="8"/>
    <x v="4"/>
    <x v="118"/>
  </r>
  <r>
    <s v="CUST0124"/>
    <s v="David Smith"/>
    <x v="0"/>
    <x v="1"/>
    <n v="56"/>
    <x v="2"/>
    <s v="Teacher"/>
    <x v="0"/>
    <n v="173962"/>
    <x v="0"/>
    <x v="1"/>
    <s v="Jul-2022"/>
    <n v="3"/>
    <x v="8"/>
    <x v="41"/>
  </r>
  <r>
    <s v="CUST0125"/>
    <s v="Juan Rodriguez"/>
    <x v="0"/>
    <x v="2"/>
    <n v="22"/>
    <x v="3"/>
    <s v="Engineer"/>
    <x v="0"/>
    <n v="187581"/>
    <x v="1"/>
    <x v="3"/>
    <s v="Jan-2017"/>
    <n v="9"/>
    <x v="4"/>
    <x v="119"/>
  </r>
  <r>
    <s v="CUST0126"/>
    <s v="Jessica Walker"/>
    <x v="1"/>
    <x v="0"/>
    <n v="39"/>
    <x v="0"/>
    <s v="Student"/>
    <x v="1"/>
    <n v="62534"/>
    <x v="0"/>
    <x v="2"/>
    <s v="Mar-2020"/>
    <n v="6"/>
    <x v="9"/>
    <x v="120"/>
  </r>
  <r>
    <s v="CUST0127"/>
    <s v="Jennifer Watkins DDS"/>
    <x v="1"/>
    <x v="1"/>
    <n v="46"/>
    <x v="3"/>
    <s v="Doctor"/>
    <x v="0"/>
    <n v="112241"/>
    <x v="1"/>
    <x v="3"/>
    <s v="Jan-2016"/>
    <n v="10"/>
    <x v="3"/>
    <x v="121"/>
  </r>
  <r>
    <s v="CUST0128"/>
    <s v="Jessica Ward"/>
    <x v="0"/>
    <x v="3"/>
    <n v="72"/>
    <x v="0"/>
    <s v="Retired"/>
    <x v="0"/>
    <n v="169859"/>
    <x v="0"/>
    <x v="0"/>
    <s v="Apr-2023"/>
    <n v="2"/>
    <x v="0"/>
    <x v="122"/>
  </r>
  <r>
    <s v="CUST0129"/>
    <s v="Jeanette Greene"/>
    <x v="1"/>
    <x v="2"/>
    <n v="20"/>
    <x v="3"/>
    <s v="Teacher"/>
    <x v="0"/>
    <n v="146209"/>
    <x v="1"/>
    <x v="2"/>
    <s v="Feb-2019"/>
    <n v="7"/>
    <x v="6"/>
    <x v="123"/>
  </r>
  <r>
    <s v="CUST0130"/>
    <s v="Michael Jensen"/>
    <x v="1"/>
    <x v="0"/>
    <n v="29"/>
    <x v="0"/>
    <s v="Teacher"/>
    <x v="0"/>
    <n v="199917"/>
    <x v="0"/>
    <x v="0"/>
    <s v="Jul-2024"/>
    <n v="1"/>
    <x v="5"/>
    <x v="124"/>
  </r>
  <r>
    <s v="CUST0131"/>
    <s v="Michael Velasquez"/>
    <x v="1"/>
    <x v="0"/>
    <n v="43"/>
    <x v="0"/>
    <s v="Student"/>
    <x v="0"/>
    <n v="112124"/>
    <x v="1"/>
    <x v="1"/>
    <s v="May-2020"/>
    <n v="5"/>
    <x v="9"/>
    <x v="125"/>
  </r>
  <r>
    <s v="CUST0132"/>
    <s v="Kendra Diaz"/>
    <x v="0"/>
    <x v="0"/>
    <n v="33"/>
    <x v="0"/>
    <s v="Trader"/>
    <x v="0"/>
    <n v="111659"/>
    <x v="0"/>
    <x v="2"/>
    <s v="Feb-2018"/>
    <n v="8"/>
    <x v="2"/>
    <x v="126"/>
  </r>
  <r>
    <s v="CUST0133"/>
    <s v="Lydia Ford"/>
    <x v="0"/>
    <x v="3"/>
    <n v="68"/>
    <x v="2"/>
    <s v="Engineer"/>
    <x v="0"/>
    <n v="184134"/>
    <x v="0"/>
    <x v="1"/>
    <s v="Sep-2021"/>
    <n v="4"/>
    <x v="1"/>
    <x v="127"/>
  </r>
  <r>
    <s v="CUST0134"/>
    <s v="Sherry Guerrero"/>
    <x v="0"/>
    <x v="1"/>
    <n v="54"/>
    <x v="3"/>
    <s v="Teacher"/>
    <x v="1"/>
    <n v="95713"/>
    <x v="0"/>
    <x v="2"/>
    <s v="Jul-2018"/>
    <n v="7"/>
    <x v="2"/>
    <x v="75"/>
  </r>
  <r>
    <s v="CUST0135"/>
    <s v="Dr. Sarah Perez"/>
    <x v="0"/>
    <x v="0"/>
    <n v="39"/>
    <x v="3"/>
    <s v="Student"/>
    <x v="1"/>
    <n v="95418"/>
    <x v="1"/>
    <x v="2"/>
    <s v="Jun-2018"/>
    <n v="7"/>
    <x v="2"/>
    <x v="128"/>
  </r>
  <r>
    <s v="CUST0136"/>
    <s v="Andrea Taylor"/>
    <x v="0"/>
    <x v="3"/>
    <n v="74"/>
    <x v="3"/>
    <s v="Student"/>
    <x v="0"/>
    <n v="148232"/>
    <x v="1"/>
    <x v="0"/>
    <s v="May-2024"/>
    <n v="1"/>
    <x v="5"/>
    <x v="129"/>
  </r>
  <r>
    <s v="CUST0137"/>
    <s v="Jamie Perry"/>
    <x v="0"/>
    <x v="1"/>
    <n v="46"/>
    <x v="0"/>
    <s v="Doctor"/>
    <x v="0"/>
    <n v="185904"/>
    <x v="0"/>
    <x v="2"/>
    <s v="May-2019"/>
    <n v="6"/>
    <x v="6"/>
    <x v="130"/>
  </r>
  <r>
    <s v="CUST0138"/>
    <s v="Jacqueline Murphy"/>
    <x v="0"/>
    <x v="0"/>
    <n v="31"/>
    <x v="3"/>
    <s v="Retired"/>
    <x v="0"/>
    <n v="183038"/>
    <x v="0"/>
    <x v="2"/>
    <s v="Mar-2017"/>
    <n v="8"/>
    <x v="4"/>
    <x v="131"/>
  </r>
  <r>
    <s v="CUST0139"/>
    <s v="Julie Lynch"/>
    <x v="0"/>
    <x v="1"/>
    <n v="45"/>
    <x v="3"/>
    <s v="Trader"/>
    <x v="0"/>
    <n v="164059"/>
    <x v="0"/>
    <x v="0"/>
    <s v="Nov-2024"/>
    <n v="1"/>
    <x v="5"/>
    <x v="132"/>
  </r>
  <r>
    <s v="CUST0140"/>
    <s v="Corey Wilson"/>
    <x v="0"/>
    <x v="2"/>
    <n v="22"/>
    <x v="0"/>
    <s v="Engineer"/>
    <x v="0"/>
    <n v="188383"/>
    <x v="1"/>
    <x v="2"/>
    <s v="Sep-2018"/>
    <n v="7"/>
    <x v="2"/>
    <x v="133"/>
  </r>
  <r>
    <s v="CUST0141"/>
    <s v="Nicole Huynh"/>
    <x v="1"/>
    <x v="3"/>
    <n v="64"/>
    <x v="1"/>
    <s v="Banker"/>
    <x v="2"/>
    <n v="51575"/>
    <x v="1"/>
    <x v="2"/>
    <s v="Aug-2018"/>
    <n v="7"/>
    <x v="2"/>
    <x v="134"/>
  </r>
  <r>
    <s v="CUST0142"/>
    <s v="Charles Chapman"/>
    <x v="0"/>
    <x v="3"/>
    <n v="66"/>
    <x v="0"/>
    <s v="Retired"/>
    <x v="1"/>
    <n v="83852"/>
    <x v="0"/>
    <x v="0"/>
    <s v="Sep-2024"/>
    <n v="1"/>
    <x v="5"/>
    <x v="135"/>
  </r>
  <r>
    <s v="CUST0143"/>
    <s v="Jamie Spencer"/>
    <x v="1"/>
    <x v="1"/>
    <n v="47"/>
    <x v="3"/>
    <s v="Retired"/>
    <x v="0"/>
    <n v="152079"/>
    <x v="0"/>
    <x v="1"/>
    <s v="Nov-2021"/>
    <n v="4"/>
    <x v="1"/>
    <x v="136"/>
  </r>
  <r>
    <s v="CUST0144"/>
    <s v="Philip Ochoa"/>
    <x v="1"/>
    <x v="3"/>
    <n v="63"/>
    <x v="0"/>
    <s v="Doctor"/>
    <x v="1"/>
    <n v="96242"/>
    <x v="0"/>
    <x v="2"/>
    <s v="Dec-2017"/>
    <n v="8"/>
    <x v="4"/>
    <x v="137"/>
  </r>
  <r>
    <s v="CUST0145"/>
    <s v="Albert Jones"/>
    <x v="1"/>
    <x v="3"/>
    <n v="69"/>
    <x v="1"/>
    <s v="Teacher"/>
    <x v="0"/>
    <n v="198589"/>
    <x v="0"/>
    <x v="2"/>
    <s v="May-2019"/>
    <n v="6"/>
    <x v="6"/>
    <x v="138"/>
  </r>
  <r>
    <s v="CUST0146"/>
    <s v="Veronica Mullins"/>
    <x v="0"/>
    <x v="2"/>
    <n v="22"/>
    <x v="0"/>
    <s v="Teacher"/>
    <x v="2"/>
    <n v="49257"/>
    <x v="0"/>
    <x v="1"/>
    <s v="Jul-2020"/>
    <n v="5"/>
    <x v="9"/>
    <x v="139"/>
  </r>
  <r>
    <s v="CUST0147"/>
    <s v="Christina Wood"/>
    <x v="0"/>
    <x v="0"/>
    <n v="29"/>
    <x v="3"/>
    <s v="Doctor"/>
    <x v="0"/>
    <n v="193279"/>
    <x v="2"/>
    <x v="2"/>
    <s v="Feb-2020"/>
    <n v="6"/>
    <x v="9"/>
    <x v="140"/>
  </r>
  <r>
    <s v="CUST0148"/>
    <s v="Thomas Fowler"/>
    <x v="0"/>
    <x v="0"/>
    <n v="33"/>
    <x v="1"/>
    <s v="Student"/>
    <x v="0"/>
    <n v="164353"/>
    <x v="0"/>
    <x v="2"/>
    <s v="Aug-2018"/>
    <n v="7"/>
    <x v="2"/>
    <x v="141"/>
  </r>
  <r>
    <s v="CUST0149"/>
    <s v="Nicholas Hicks"/>
    <x v="0"/>
    <x v="0"/>
    <n v="43"/>
    <x v="2"/>
    <s v="Teacher"/>
    <x v="1"/>
    <n v="81246"/>
    <x v="1"/>
    <x v="1"/>
    <s v="Nov-2022"/>
    <n v="3"/>
    <x v="8"/>
    <x v="142"/>
  </r>
  <r>
    <s v="CUST0150"/>
    <s v="Abigail Allen"/>
    <x v="1"/>
    <x v="0"/>
    <n v="43"/>
    <x v="3"/>
    <s v="Trader"/>
    <x v="3"/>
    <n v="21435"/>
    <x v="0"/>
    <x v="1"/>
    <s v="Jul-2020"/>
    <n v="5"/>
    <x v="9"/>
    <x v="143"/>
  </r>
  <r>
    <s v="CUST0151"/>
    <s v="Makayla Sawyer"/>
    <x v="0"/>
    <x v="3"/>
    <n v="65"/>
    <x v="1"/>
    <s v="Engineer"/>
    <x v="0"/>
    <n v="111357"/>
    <x v="0"/>
    <x v="1"/>
    <s v="Apr-2020"/>
    <n v="5"/>
    <x v="9"/>
    <x v="144"/>
  </r>
  <r>
    <s v="CUST0152"/>
    <s v="Eric Gomez"/>
    <x v="0"/>
    <x v="0"/>
    <n v="38"/>
    <x v="1"/>
    <s v="Retired"/>
    <x v="0"/>
    <n v="177732"/>
    <x v="1"/>
    <x v="2"/>
    <s v="Nov-2018"/>
    <n v="7"/>
    <x v="2"/>
    <x v="145"/>
  </r>
  <r>
    <s v="CUST0153"/>
    <s v="Patrick Pope"/>
    <x v="0"/>
    <x v="1"/>
    <n v="56"/>
    <x v="2"/>
    <s v="Retired"/>
    <x v="0"/>
    <n v="156156"/>
    <x v="1"/>
    <x v="3"/>
    <s v="Dec-2015"/>
    <n v="10"/>
    <x v="10"/>
    <x v="146"/>
  </r>
  <r>
    <s v="CUST0154"/>
    <s v="Kristen Ross"/>
    <x v="0"/>
    <x v="1"/>
    <n v="53"/>
    <x v="0"/>
    <s v="Trader"/>
    <x v="0"/>
    <n v="164579"/>
    <x v="2"/>
    <x v="3"/>
    <s v="Oct-2015"/>
    <n v="10"/>
    <x v="10"/>
    <x v="147"/>
  </r>
  <r>
    <s v="CUST0155"/>
    <s v="James Ewing DDS"/>
    <x v="0"/>
    <x v="1"/>
    <n v="50"/>
    <x v="0"/>
    <s v="Teacher"/>
    <x v="0"/>
    <n v="103807"/>
    <x v="0"/>
    <x v="0"/>
    <s v="Dec-2023"/>
    <n v="2"/>
    <x v="0"/>
    <x v="148"/>
  </r>
  <r>
    <s v="CUST0156"/>
    <s v="Sara Morris"/>
    <x v="1"/>
    <x v="1"/>
    <n v="47"/>
    <x v="3"/>
    <s v="Retired"/>
    <x v="0"/>
    <n v="196611"/>
    <x v="0"/>
    <x v="1"/>
    <s v="Oct-2022"/>
    <n v="3"/>
    <x v="8"/>
    <x v="149"/>
  </r>
  <r>
    <s v="CUST0157"/>
    <s v="Samantha Conway"/>
    <x v="0"/>
    <x v="1"/>
    <n v="54"/>
    <x v="2"/>
    <s v="Banker"/>
    <x v="0"/>
    <n v="135953"/>
    <x v="1"/>
    <x v="2"/>
    <s v="Mar-2018"/>
    <n v="8"/>
    <x v="2"/>
    <x v="150"/>
  </r>
  <r>
    <s v="CUST0158"/>
    <s v="Michael Ward"/>
    <x v="1"/>
    <x v="0"/>
    <n v="40"/>
    <x v="0"/>
    <s v="Engineer"/>
    <x v="0"/>
    <n v="158563"/>
    <x v="0"/>
    <x v="0"/>
    <s v="Apr-2025"/>
    <n v="0"/>
    <x v="7"/>
    <x v="151"/>
  </r>
  <r>
    <s v="CUST0159"/>
    <s v="Stacey Poole"/>
    <x v="0"/>
    <x v="2"/>
    <n v="27"/>
    <x v="2"/>
    <s v="Engineer"/>
    <x v="0"/>
    <n v="143797"/>
    <x v="0"/>
    <x v="2"/>
    <s v="Apr-2018"/>
    <n v="7"/>
    <x v="2"/>
    <x v="77"/>
  </r>
  <r>
    <s v="CUST0160"/>
    <s v="Rachel Rivera PhD"/>
    <x v="1"/>
    <x v="3"/>
    <n v="71"/>
    <x v="0"/>
    <s v="Retired"/>
    <x v="1"/>
    <n v="83888"/>
    <x v="0"/>
    <x v="3"/>
    <s v="Nov-2015"/>
    <n v="10"/>
    <x v="10"/>
    <x v="152"/>
  </r>
  <r>
    <s v="CUST0161"/>
    <s v="David Sanders"/>
    <x v="0"/>
    <x v="2"/>
    <n v="22"/>
    <x v="1"/>
    <s v="Doctor"/>
    <x v="1"/>
    <n v="93609"/>
    <x v="0"/>
    <x v="1"/>
    <s v="Feb-2021"/>
    <n v="5"/>
    <x v="1"/>
    <x v="153"/>
  </r>
  <r>
    <s v="CUST0162"/>
    <s v="Lauren Lutz"/>
    <x v="0"/>
    <x v="1"/>
    <n v="53"/>
    <x v="0"/>
    <s v="Retired"/>
    <x v="3"/>
    <n v="29077"/>
    <x v="1"/>
    <x v="3"/>
    <s v="Sep-2015"/>
    <n v="10"/>
    <x v="10"/>
    <x v="154"/>
  </r>
  <r>
    <s v="CUST0163"/>
    <s v="Nathan Taylor"/>
    <x v="1"/>
    <x v="1"/>
    <n v="51"/>
    <x v="2"/>
    <s v="Doctor"/>
    <x v="2"/>
    <n v="40953"/>
    <x v="0"/>
    <x v="1"/>
    <s v="Aug-2022"/>
    <n v="3"/>
    <x v="8"/>
    <x v="155"/>
  </r>
  <r>
    <s v="CUST0164"/>
    <s v="Hannah Brown"/>
    <x v="1"/>
    <x v="3"/>
    <n v="69"/>
    <x v="1"/>
    <s v="Retired"/>
    <x v="0"/>
    <n v="134682"/>
    <x v="0"/>
    <x v="1"/>
    <s v="Mar-2021"/>
    <n v="5"/>
    <x v="1"/>
    <x v="156"/>
  </r>
  <r>
    <s v="CUST0165"/>
    <s v="Jeffrey Golden"/>
    <x v="1"/>
    <x v="1"/>
    <n v="48"/>
    <x v="1"/>
    <s v="Banker"/>
    <x v="1"/>
    <n v="87889"/>
    <x v="0"/>
    <x v="0"/>
    <s v="Sep-2023"/>
    <n v="2"/>
    <x v="0"/>
    <x v="157"/>
  </r>
  <r>
    <s v="CUST0166"/>
    <s v="Julian Thomas"/>
    <x v="0"/>
    <x v="2"/>
    <n v="27"/>
    <x v="1"/>
    <s v="Student"/>
    <x v="0"/>
    <n v="174893"/>
    <x v="0"/>
    <x v="3"/>
    <s v="Mar-2016"/>
    <n v="10"/>
    <x v="3"/>
    <x v="158"/>
  </r>
  <r>
    <s v="CUST0167"/>
    <s v="Paula Brown"/>
    <x v="1"/>
    <x v="0"/>
    <n v="36"/>
    <x v="2"/>
    <s v="Engineer"/>
    <x v="0"/>
    <n v="188639"/>
    <x v="0"/>
    <x v="0"/>
    <s v="Jul-2024"/>
    <n v="1"/>
    <x v="5"/>
    <x v="159"/>
  </r>
  <r>
    <s v="CUST0168"/>
    <s v="Whitney Hampton"/>
    <x v="0"/>
    <x v="1"/>
    <n v="49"/>
    <x v="3"/>
    <s v="Retired"/>
    <x v="0"/>
    <n v="135374"/>
    <x v="0"/>
    <x v="2"/>
    <s v="Nov-2019"/>
    <n v="6"/>
    <x v="6"/>
    <x v="160"/>
  </r>
  <r>
    <s v="CUST0169"/>
    <s v="Timothy Lyons"/>
    <x v="0"/>
    <x v="2"/>
    <n v="18"/>
    <x v="3"/>
    <s v="Banker"/>
    <x v="2"/>
    <n v="44860"/>
    <x v="0"/>
    <x v="0"/>
    <s v="Feb-2025"/>
    <n v="1"/>
    <x v="7"/>
    <x v="161"/>
  </r>
  <r>
    <s v="CUST0170"/>
    <s v="Mason Swanson"/>
    <x v="1"/>
    <x v="3"/>
    <n v="73"/>
    <x v="3"/>
    <s v="Doctor"/>
    <x v="0"/>
    <n v="172267"/>
    <x v="1"/>
    <x v="1"/>
    <s v="Nov-2022"/>
    <n v="3"/>
    <x v="8"/>
    <x v="162"/>
  </r>
  <r>
    <s v="CUST0171"/>
    <s v="Wendy Hull"/>
    <x v="1"/>
    <x v="2"/>
    <n v="22"/>
    <x v="2"/>
    <s v="Doctor"/>
    <x v="1"/>
    <n v="97475"/>
    <x v="0"/>
    <x v="3"/>
    <s v="Jun-2016"/>
    <n v="9"/>
    <x v="3"/>
    <x v="163"/>
  </r>
  <r>
    <s v="CUST0172"/>
    <s v="Kevin Castillo"/>
    <x v="0"/>
    <x v="3"/>
    <n v="62"/>
    <x v="1"/>
    <s v="Engineer"/>
    <x v="0"/>
    <n v="107266"/>
    <x v="0"/>
    <x v="1"/>
    <s v="Jun-2020"/>
    <n v="5"/>
    <x v="9"/>
    <x v="164"/>
  </r>
  <r>
    <s v="CUST0173"/>
    <s v="David Wilson"/>
    <x v="0"/>
    <x v="2"/>
    <n v="21"/>
    <x v="3"/>
    <s v="Trader"/>
    <x v="0"/>
    <n v="172499"/>
    <x v="1"/>
    <x v="1"/>
    <s v="Nov-2021"/>
    <n v="4"/>
    <x v="1"/>
    <x v="165"/>
  </r>
  <r>
    <s v="CUST0174"/>
    <s v="Evan Holt"/>
    <x v="1"/>
    <x v="0"/>
    <n v="33"/>
    <x v="2"/>
    <s v="Retired"/>
    <x v="0"/>
    <n v="120732"/>
    <x v="1"/>
    <x v="2"/>
    <s v="Oct-2019"/>
    <n v="6"/>
    <x v="6"/>
    <x v="166"/>
  </r>
  <r>
    <s v="CUST0175"/>
    <s v="Nancy Hoffman"/>
    <x v="1"/>
    <x v="0"/>
    <n v="41"/>
    <x v="3"/>
    <s v="Teacher"/>
    <x v="2"/>
    <n v="47083"/>
    <x v="0"/>
    <x v="2"/>
    <s v="Nov-2017"/>
    <n v="8"/>
    <x v="4"/>
    <x v="167"/>
  </r>
  <r>
    <s v="CUST0176"/>
    <s v="Barbara Fisher"/>
    <x v="1"/>
    <x v="0"/>
    <n v="33"/>
    <x v="0"/>
    <s v="Doctor"/>
    <x v="1"/>
    <n v="77372"/>
    <x v="0"/>
    <x v="3"/>
    <s v="Oct-2015"/>
    <n v="10"/>
    <x v="10"/>
    <x v="168"/>
  </r>
  <r>
    <s v="CUST0177"/>
    <s v="Chad Walsh"/>
    <x v="0"/>
    <x v="3"/>
    <n v="72"/>
    <x v="3"/>
    <s v="Student"/>
    <x v="0"/>
    <n v="143786"/>
    <x v="0"/>
    <x v="0"/>
    <s v="Sep-2024"/>
    <n v="1"/>
    <x v="5"/>
    <x v="169"/>
  </r>
  <r>
    <s v="CUST0178"/>
    <s v="Joseph Wiley"/>
    <x v="0"/>
    <x v="2"/>
    <n v="19"/>
    <x v="3"/>
    <s v="Student"/>
    <x v="0"/>
    <n v="195136"/>
    <x v="1"/>
    <x v="0"/>
    <s v="Dec-2024"/>
    <n v="1"/>
    <x v="5"/>
    <x v="170"/>
  </r>
  <r>
    <s v="CUST0179"/>
    <s v="Deborah Fisher"/>
    <x v="0"/>
    <x v="3"/>
    <n v="66"/>
    <x v="1"/>
    <s v="Doctor"/>
    <x v="3"/>
    <n v="27813"/>
    <x v="2"/>
    <x v="3"/>
    <s v="Mar-2017"/>
    <n v="9"/>
    <x v="4"/>
    <x v="171"/>
  </r>
  <r>
    <s v="CUST0180"/>
    <s v="Krista Williams"/>
    <x v="0"/>
    <x v="1"/>
    <n v="45"/>
    <x v="2"/>
    <s v="Trader"/>
    <x v="2"/>
    <n v="51598"/>
    <x v="1"/>
    <x v="0"/>
    <s v="Feb-2025"/>
    <n v="1"/>
    <x v="7"/>
    <x v="172"/>
  </r>
  <r>
    <s v="CUST0181"/>
    <s v="Terry Mercer"/>
    <x v="0"/>
    <x v="1"/>
    <n v="49"/>
    <x v="1"/>
    <s v="Trader"/>
    <x v="0"/>
    <n v="113106"/>
    <x v="0"/>
    <x v="3"/>
    <s v="Jan-2016"/>
    <n v="10"/>
    <x v="3"/>
    <x v="173"/>
  </r>
  <r>
    <s v="CUST0182"/>
    <s v="Katie Padilla"/>
    <x v="0"/>
    <x v="0"/>
    <n v="44"/>
    <x v="1"/>
    <s v="Banker"/>
    <x v="2"/>
    <n v="47082"/>
    <x v="1"/>
    <x v="0"/>
    <s v="Jul-2025"/>
    <n v="0"/>
    <x v="7"/>
    <x v="174"/>
  </r>
  <r>
    <s v="CUST0183"/>
    <s v="Victor Thomas"/>
    <x v="1"/>
    <x v="0"/>
    <n v="37"/>
    <x v="1"/>
    <s v="Student"/>
    <x v="2"/>
    <n v="49241"/>
    <x v="0"/>
    <x v="2"/>
    <s v="Apr-2018"/>
    <n v="7"/>
    <x v="2"/>
    <x v="175"/>
  </r>
  <r>
    <s v="CUST0184"/>
    <s v="Christopher Willis"/>
    <x v="0"/>
    <x v="0"/>
    <n v="41"/>
    <x v="1"/>
    <s v="Banker"/>
    <x v="0"/>
    <n v="195641"/>
    <x v="0"/>
    <x v="1"/>
    <s v="Aug-2022"/>
    <n v="3"/>
    <x v="8"/>
    <x v="88"/>
  </r>
  <r>
    <s v="CUST0185"/>
    <s v="Laura Watkins"/>
    <x v="0"/>
    <x v="0"/>
    <n v="29"/>
    <x v="1"/>
    <s v="Student"/>
    <x v="2"/>
    <n v="31745"/>
    <x v="0"/>
    <x v="0"/>
    <s v="May-2024"/>
    <n v="1"/>
    <x v="5"/>
    <x v="176"/>
  </r>
  <r>
    <s v="CUST0186"/>
    <s v="Eric Lopez"/>
    <x v="0"/>
    <x v="3"/>
    <n v="67"/>
    <x v="3"/>
    <s v="Retired"/>
    <x v="2"/>
    <n v="46029"/>
    <x v="2"/>
    <x v="2"/>
    <s v="May-2017"/>
    <n v="8"/>
    <x v="4"/>
    <x v="177"/>
  </r>
  <r>
    <s v="CUST0187"/>
    <s v="Jillian Rangel"/>
    <x v="1"/>
    <x v="1"/>
    <n v="52"/>
    <x v="1"/>
    <s v="Retired"/>
    <x v="0"/>
    <n v="164097"/>
    <x v="0"/>
    <x v="0"/>
    <s v="Jun-2023"/>
    <n v="2"/>
    <x v="0"/>
    <x v="178"/>
  </r>
  <r>
    <s v="CUST0188"/>
    <s v="Kristopher Fletcher"/>
    <x v="0"/>
    <x v="1"/>
    <n v="50"/>
    <x v="1"/>
    <s v="Teacher"/>
    <x v="0"/>
    <n v="143395"/>
    <x v="1"/>
    <x v="0"/>
    <s v="Oct-2023"/>
    <n v="2"/>
    <x v="0"/>
    <x v="179"/>
  </r>
  <r>
    <s v="CUST0189"/>
    <s v="Ryan Doyle"/>
    <x v="0"/>
    <x v="1"/>
    <n v="50"/>
    <x v="2"/>
    <s v="Retired"/>
    <x v="0"/>
    <n v="165360"/>
    <x v="0"/>
    <x v="0"/>
    <s v="Aug-2024"/>
    <n v="1"/>
    <x v="5"/>
    <x v="180"/>
  </r>
  <r>
    <s v="CUST0190"/>
    <s v="Cesar Silva"/>
    <x v="1"/>
    <x v="3"/>
    <n v="68"/>
    <x v="0"/>
    <s v="Teacher"/>
    <x v="0"/>
    <n v="109186"/>
    <x v="0"/>
    <x v="2"/>
    <s v="Sep-2017"/>
    <n v="8"/>
    <x v="4"/>
    <x v="181"/>
  </r>
  <r>
    <s v="CUST0191"/>
    <s v="Nicholas Miller"/>
    <x v="0"/>
    <x v="1"/>
    <n v="60"/>
    <x v="3"/>
    <s v="Retired"/>
    <x v="0"/>
    <n v="157612"/>
    <x v="0"/>
    <x v="2"/>
    <s v="Nov-2019"/>
    <n v="6"/>
    <x v="6"/>
    <x v="182"/>
  </r>
  <r>
    <s v="CUST0192"/>
    <s v="Kim Hubbard"/>
    <x v="0"/>
    <x v="1"/>
    <n v="54"/>
    <x v="3"/>
    <s v="Engineer"/>
    <x v="0"/>
    <n v="117768"/>
    <x v="0"/>
    <x v="0"/>
    <s v="Aug-2025"/>
    <n v="0"/>
    <x v="7"/>
    <x v="183"/>
  </r>
  <r>
    <s v="CUST0193"/>
    <s v="Robert Roberts"/>
    <x v="0"/>
    <x v="0"/>
    <n v="29"/>
    <x v="3"/>
    <s v="Retired"/>
    <x v="1"/>
    <n v="61846"/>
    <x v="1"/>
    <x v="1"/>
    <s v="Dec-2020"/>
    <n v="5"/>
    <x v="9"/>
    <x v="184"/>
  </r>
  <r>
    <s v="CUST0194"/>
    <s v="Oscar Young"/>
    <x v="0"/>
    <x v="2"/>
    <n v="20"/>
    <x v="1"/>
    <s v="Banker"/>
    <x v="1"/>
    <n v="95932"/>
    <x v="0"/>
    <x v="0"/>
    <s v="Jun-2024"/>
    <n v="1"/>
    <x v="5"/>
    <x v="185"/>
  </r>
  <r>
    <s v="CUST0195"/>
    <s v="Mark Mckenzie"/>
    <x v="0"/>
    <x v="2"/>
    <n v="18"/>
    <x v="1"/>
    <s v="Doctor"/>
    <x v="0"/>
    <n v="168554"/>
    <x v="1"/>
    <x v="3"/>
    <s v="Sep-2015"/>
    <n v="10"/>
    <x v="10"/>
    <x v="186"/>
  </r>
  <r>
    <s v="CUST0196"/>
    <s v="Victoria Montoya"/>
    <x v="1"/>
    <x v="1"/>
    <n v="50"/>
    <x v="1"/>
    <s v="Banker"/>
    <x v="2"/>
    <n v="43411"/>
    <x v="1"/>
    <x v="2"/>
    <s v="May-2019"/>
    <n v="6"/>
    <x v="6"/>
    <x v="187"/>
  </r>
  <r>
    <s v="CUST0197"/>
    <s v="Evelyn Mendoza"/>
    <x v="1"/>
    <x v="1"/>
    <n v="57"/>
    <x v="2"/>
    <s v="Doctor"/>
    <x v="1"/>
    <n v="98797"/>
    <x v="2"/>
    <x v="3"/>
    <s v="Feb-2016"/>
    <n v="10"/>
    <x v="3"/>
    <x v="188"/>
  </r>
  <r>
    <s v="CUST0198"/>
    <s v="Sarah Santiago"/>
    <x v="1"/>
    <x v="2"/>
    <n v="27"/>
    <x v="0"/>
    <s v="Trader"/>
    <x v="1"/>
    <n v="72307"/>
    <x v="0"/>
    <x v="1"/>
    <s v="Apr-2020"/>
    <n v="5"/>
    <x v="9"/>
    <x v="189"/>
  </r>
  <r>
    <s v="CUST0199"/>
    <s v="Gerald Robinson"/>
    <x v="0"/>
    <x v="1"/>
    <n v="60"/>
    <x v="1"/>
    <s v="Banker"/>
    <x v="0"/>
    <n v="154165"/>
    <x v="0"/>
    <x v="2"/>
    <s v="Jan-2018"/>
    <n v="8"/>
    <x v="2"/>
    <x v="190"/>
  </r>
  <r>
    <s v="CUST0200"/>
    <s v="Ryan Gill"/>
    <x v="0"/>
    <x v="3"/>
    <n v="61"/>
    <x v="0"/>
    <s v="Trader"/>
    <x v="2"/>
    <n v="42042"/>
    <x v="0"/>
    <x v="0"/>
    <s v="Mar-2024"/>
    <n v="1"/>
    <x v="5"/>
    <x v="191"/>
  </r>
  <r>
    <s v="CUST0201"/>
    <s v="Gary Johnson"/>
    <x v="0"/>
    <x v="1"/>
    <n v="46"/>
    <x v="2"/>
    <s v="Teacher"/>
    <x v="1"/>
    <n v="72930"/>
    <x v="2"/>
    <x v="2"/>
    <s v="Aug-2017"/>
    <n v="8"/>
    <x v="4"/>
    <x v="192"/>
  </r>
  <r>
    <s v="CUST0202"/>
    <s v="Jason Johnson"/>
    <x v="1"/>
    <x v="0"/>
    <n v="30"/>
    <x v="3"/>
    <s v="Teacher"/>
    <x v="0"/>
    <n v="195485"/>
    <x v="2"/>
    <x v="2"/>
    <s v="Mar-2019"/>
    <n v="7"/>
    <x v="6"/>
    <x v="193"/>
  </r>
  <r>
    <s v="CUST0203"/>
    <s v="Dr. Caitlyn Durham"/>
    <x v="0"/>
    <x v="0"/>
    <n v="29"/>
    <x v="1"/>
    <s v="Engineer"/>
    <x v="0"/>
    <n v="117883"/>
    <x v="0"/>
    <x v="0"/>
    <s v="Aug-2024"/>
    <n v="1"/>
    <x v="5"/>
    <x v="194"/>
  </r>
  <r>
    <s v="CUST0204"/>
    <s v="Robert Gonzalez"/>
    <x v="0"/>
    <x v="1"/>
    <n v="48"/>
    <x v="0"/>
    <s v="Retired"/>
    <x v="2"/>
    <n v="53756"/>
    <x v="1"/>
    <x v="3"/>
    <s v="Jun-2016"/>
    <n v="9"/>
    <x v="3"/>
    <x v="33"/>
  </r>
  <r>
    <s v="CUST0205"/>
    <s v="Bryan Allen"/>
    <x v="1"/>
    <x v="3"/>
    <n v="63"/>
    <x v="0"/>
    <s v="Banker"/>
    <x v="1"/>
    <n v="73268"/>
    <x v="0"/>
    <x v="0"/>
    <s v="Oct-2024"/>
    <n v="1"/>
    <x v="5"/>
    <x v="195"/>
  </r>
  <r>
    <s v="CUST0206"/>
    <s v="Daniel Richardson"/>
    <x v="0"/>
    <x v="2"/>
    <n v="19"/>
    <x v="1"/>
    <s v="Trader"/>
    <x v="0"/>
    <n v="190286"/>
    <x v="1"/>
    <x v="1"/>
    <s v="Mar-2020"/>
    <n v="5"/>
    <x v="9"/>
    <x v="196"/>
  </r>
  <r>
    <s v="CUST0207"/>
    <s v="Christopher Wise"/>
    <x v="1"/>
    <x v="3"/>
    <n v="68"/>
    <x v="3"/>
    <s v="Doctor"/>
    <x v="0"/>
    <n v="179674"/>
    <x v="0"/>
    <x v="2"/>
    <s v="Nov-2018"/>
    <n v="7"/>
    <x v="2"/>
    <x v="197"/>
  </r>
  <r>
    <s v="CUST0208"/>
    <s v="Leslie Ashley"/>
    <x v="1"/>
    <x v="3"/>
    <n v="67"/>
    <x v="3"/>
    <s v="Teacher"/>
    <x v="1"/>
    <n v="68901"/>
    <x v="1"/>
    <x v="1"/>
    <s v="Mar-2022"/>
    <n v="3"/>
    <x v="8"/>
    <x v="198"/>
  </r>
  <r>
    <s v="CUST0209"/>
    <s v="Lauren Davidson"/>
    <x v="1"/>
    <x v="1"/>
    <n v="52"/>
    <x v="3"/>
    <s v="Retired"/>
    <x v="0"/>
    <n v="119986"/>
    <x v="0"/>
    <x v="1"/>
    <s v="Apr-2020"/>
    <n v="5"/>
    <x v="9"/>
    <x v="199"/>
  </r>
  <r>
    <s v="CUST0210"/>
    <s v="Joanne Ray"/>
    <x v="0"/>
    <x v="0"/>
    <n v="40"/>
    <x v="2"/>
    <s v="Teacher"/>
    <x v="0"/>
    <n v="183268"/>
    <x v="1"/>
    <x v="2"/>
    <s v="Oct-2019"/>
    <n v="6"/>
    <x v="6"/>
    <x v="200"/>
  </r>
  <r>
    <s v="CUST0211"/>
    <s v="Ryan Mccormick"/>
    <x v="0"/>
    <x v="0"/>
    <n v="34"/>
    <x v="0"/>
    <s v="Doctor"/>
    <x v="0"/>
    <n v="148386"/>
    <x v="1"/>
    <x v="2"/>
    <s v="Feb-2020"/>
    <n v="6"/>
    <x v="9"/>
    <x v="201"/>
  </r>
  <r>
    <s v="CUST0212"/>
    <s v="Stephen Russell"/>
    <x v="0"/>
    <x v="0"/>
    <n v="43"/>
    <x v="0"/>
    <s v="Retired"/>
    <x v="3"/>
    <n v="25626"/>
    <x v="1"/>
    <x v="2"/>
    <s v="Jan-2019"/>
    <n v="7"/>
    <x v="6"/>
    <x v="202"/>
  </r>
  <r>
    <s v="CUST0213"/>
    <s v="Nathan Blackburn"/>
    <x v="0"/>
    <x v="2"/>
    <n v="25"/>
    <x v="0"/>
    <s v="Retired"/>
    <x v="0"/>
    <n v="158496"/>
    <x v="0"/>
    <x v="2"/>
    <s v="Aug-2017"/>
    <n v="8"/>
    <x v="4"/>
    <x v="203"/>
  </r>
  <r>
    <s v="CUST0214"/>
    <s v="Sarah Wilson"/>
    <x v="0"/>
    <x v="1"/>
    <n v="46"/>
    <x v="2"/>
    <s v="Trader"/>
    <x v="2"/>
    <n v="32857"/>
    <x v="0"/>
    <x v="1"/>
    <s v="Aug-2022"/>
    <n v="3"/>
    <x v="8"/>
    <x v="204"/>
  </r>
  <r>
    <s v="CUST0215"/>
    <s v="Cassandra Mcbride"/>
    <x v="0"/>
    <x v="0"/>
    <n v="43"/>
    <x v="0"/>
    <s v="Trader"/>
    <x v="0"/>
    <n v="171054"/>
    <x v="0"/>
    <x v="2"/>
    <s v="Feb-2020"/>
    <n v="6"/>
    <x v="9"/>
    <x v="205"/>
  </r>
  <r>
    <s v="CUST0216"/>
    <s v="Abigail Gallegos"/>
    <x v="0"/>
    <x v="2"/>
    <n v="27"/>
    <x v="2"/>
    <s v="Banker"/>
    <x v="0"/>
    <n v="153052"/>
    <x v="0"/>
    <x v="3"/>
    <s v="Nov-2015"/>
    <n v="10"/>
    <x v="10"/>
    <x v="206"/>
  </r>
  <r>
    <s v="CUST0217"/>
    <s v="Jeremy Brown"/>
    <x v="1"/>
    <x v="0"/>
    <n v="43"/>
    <x v="3"/>
    <s v="Banker"/>
    <x v="0"/>
    <n v="199362"/>
    <x v="0"/>
    <x v="0"/>
    <s v="Jun-2023"/>
    <n v="2"/>
    <x v="0"/>
    <x v="207"/>
  </r>
  <r>
    <s v="CUST0218"/>
    <s v="Samantha Castro"/>
    <x v="0"/>
    <x v="1"/>
    <n v="51"/>
    <x v="1"/>
    <s v="Student"/>
    <x v="2"/>
    <n v="46431"/>
    <x v="2"/>
    <x v="3"/>
    <s v="Aug-2016"/>
    <n v="9"/>
    <x v="3"/>
    <x v="208"/>
  </r>
  <r>
    <s v="CUST0219"/>
    <s v="Nathaniel Hudson"/>
    <x v="1"/>
    <x v="3"/>
    <n v="68"/>
    <x v="0"/>
    <s v="Student"/>
    <x v="0"/>
    <n v="104976"/>
    <x v="0"/>
    <x v="2"/>
    <s v="Sep-2019"/>
    <n v="6"/>
    <x v="6"/>
    <x v="209"/>
  </r>
  <r>
    <s v="CUST0220"/>
    <s v="Maria Herman"/>
    <x v="0"/>
    <x v="1"/>
    <n v="58"/>
    <x v="0"/>
    <s v="Engineer"/>
    <x v="0"/>
    <n v="102711"/>
    <x v="0"/>
    <x v="0"/>
    <s v="May-2024"/>
    <n v="1"/>
    <x v="5"/>
    <x v="210"/>
  </r>
  <r>
    <s v="CUST0221"/>
    <s v="Timothy Walters"/>
    <x v="0"/>
    <x v="2"/>
    <n v="24"/>
    <x v="3"/>
    <s v="Teacher"/>
    <x v="2"/>
    <n v="46385"/>
    <x v="0"/>
    <x v="2"/>
    <s v="Nov-2017"/>
    <n v="8"/>
    <x v="4"/>
    <x v="167"/>
  </r>
  <r>
    <s v="CUST0222"/>
    <s v="Mrs. Carrie Castro"/>
    <x v="0"/>
    <x v="2"/>
    <n v="21"/>
    <x v="1"/>
    <s v="Banker"/>
    <x v="0"/>
    <n v="189230"/>
    <x v="0"/>
    <x v="0"/>
    <s v="Jul-2024"/>
    <n v="1"/>
    <x v="5"/>
    <x v="211"/>
  </r>
  <r>
    <s v="CUST0223"/>
    <s v="Chad White"/>
    <x v="1"/>
    <x v="3"/>
    <n v="70"/>
    <x v="2"/>
    <s v="Trader"/>
    <x v="0"/>
    <n v="174091"/>
    <x v="1"/>
    <x v="3"/>
    <s v="Jan-2016"/>
    <n v="10"/>
    <x v="3"/>
    <x v="212"/>
  </r>
  <r>
    <s v="CUST0224"/>
    <s v="Karen Lam"/>
    <x v="1"/>
    <x v="3"/>
    <n v="67"/>
    <x v="1"/>
    <s v="Doctor"/>
    <x v="2"/>
    <n v="38639"/>
    <x v="0"/>
    <x v="3"/>
    <s v="Oct-2016"/>
    <n v="9"/>
    <x v="3"/>
    <x v="213"/>
  </r>
  <r>
    <s v="CUST0225"/>
    <s v="Sarah Walton"/>
    <x v="1"/>
    <x v="3"/>
    <n v="62"/>
    <x v="3"/>
    <s v="Trader"/>
    <x v="0"/>
    <n v="105530"/>
    <x v="2"/>
    <x v="2"/>
    <s v="Dec-2017"/>
    <n v="8"/>
    <x v="4"/>
    <x v="214"/>
  </r>
  <r>
    <s v="CUST0226"/>
    <s v="Theodore Mckinney"/>
    <x v="1"/>
    <x v="2"/>
    <n v="28"/>
    <x v="3"/>
    <s v="Teacher"/>
    <x v="2"/>
    <n v="41563"/>
    <x v="0"/>
    <x v="0"/>
    <s v="Apr-2024"/>
    <n v="1"/>
    <x v="5"/>
    <x v="215"/>
  </r>
  <r>
    <s v="CUST0227"/>
    <s v="Sharon Chapman"/>
    <x v="0"/>
    <x v="1"/>
    <n v="46"/>
    <x v="1"/>
    <s v="Student"/>
    <x v="0"/>
    <n v="190413"/>
    <x v="2"/>
    <x v="2"/>
    <s v="May-2017"/>
    <n v="8"/>
    <x v="4"/>
    <x v="216"/>
  </r>
  <r>
    <s v="CUST0228"/>
    <s v="Melinda Cunningham"/>
    <x v="1"/>
    <x v="3"/>
    <n v="73"/>
    <x v="2"/>
    <s v="Trader"/>
    <x v="0"/>
    <n v="135672"/>
    <x v="1"/>
    <x v="2"/>
    <s v="Jan-2019"/>
    <n v="7"/>
    <x v="6"/>
    <x v="217"/>
  </r>
  <r>
    <s v="CUST0229"/>
    <s v="Luke Lamb"/>
    <x v="0"/>
    <x v="1"/>
    <n v="53"/>
    <x v="2"/>
    <s v="Engineer"/>
    <x v="0"/>
    <n v="156848"/>
    <x v="0"/>
    <x v="1"/>
    <s v="Aug-2022"/>
    <n v="3"/>
    <x v="8"/>
    <x v="218"/>
  </r>
  <r>
    <s v="CUST0230"/>
    <s v="Ryan Holt"/>
    <x v="0"/>
    <x v="0"/>
    <n v="42"/>
    <x v="0"/>
    <s v="Teacher"/>
    <x v="0"/>
    <n v="187516"/>
    <x v="2"/>
    <x v="2"/>
    <s v="Mar-2018"/>
    <n v="7"/>
    <x v="2"/>
    <x v="219"/>
  </r>
  <r>
    <s v="CUST0231"/>
    <s v="Andrew Payne"/>
    <x v="1"/>
    <x v="0"/>
    <n v="38"/>
    <x v="2"/>
    <s v="Student"/>
    <x v="0"/>
    <n v="159783"/>
    <x v="0"/>
    <x v="1"/>
    <s v="Jan-2023"/>
    <n v="3"/>
    <x v="0"/>
    <x v="220"/>
  </r>
  <r>
    <s v="CUST0232"/>
    <s v="Misty Jacobs"/>
    <x v="1"/>
    <x v="3"/>
    <n v="74"/>
    <x v="1"/>
    <s v="Doctor"/>
    <x v="0"/>
    <n v="102970"/>
    <x v="1"/>
    <x v="2"/>
    <s v="Aug-2018"/>
    <n v="7"/>
    <x v="2"/>
    <x v="221"/>
  </r>
  <r>
    <s v="CUST0233"/>
    <s v="Kenneth Harrington"/>
    <x v="1"/>
    <x v="1"/>
    <n v="53"/>
    <x v="3"/>
    <s v="Student"/>
    <x v="0"/>
    <n v="105553"/>
    <x v="0"/>
    <x v="2"/>
    <s v="Jul-2017"/>
    <n v="8"/>
    <x v="4"/>
    <x v="222"/>
  </r>
  <r>
    <s v="CUST0234"/>
    <s v="Ryan Glass"/>
    <x v="1"/>
    <x v="2"/>
    <n v="27"/>
    <x v="0"/>
    <s v="Retired"/>
    <x v="0"/>
    <n v="181779"/>
    <x v="1"/>
    <x v="2"/>
    <s v="Aug-2017"/>
    <n v="8"/>
    <x v="4"/>
    <x v="93"/>
  </r>
  <r>
    <s v="CUST0235"/>
    <s v="Stephanie Valdez"/>
    <x v="1"/>
    <x v="1"/>
    <n v="54"/>
    <x v="0"/>
    <s v="Engineer"/>
    <x v="0"/>
    <n v="190182"/>
    <x v="1"/>
    <x v="0"/>
    <s v="Apr-2023"/>
    <n v="2"/>
    <x v="0"/>
    <x v="223"/>
  </r>
  <r>
    <s v="CUST0236"/>
    <s v="Patrick Ortiz"/>
    <x v="1"/>
    <x v="2"/>
    <n v="26"/>
    <x v="3"/>
    <s v="Teacher"/>
    <x v="0"/>
    <n v="102879"/>
    <x v="1"/>
    <x v="2"/>
    <s v="May-2017"/>
    <n v="8"/>
    <x v="4"/>
    <x v="224"/>
  </r>
  <r>
    <s v="CUST0237"/>
    <s v="Nicholas Washington"/>
    <x v="1"/>
    <x v="0"/>
    <n v="41"/>
    <x v="2"/>
    <s v="Doctor"/>
    <x v="0"/>
    <n v="189899"/>
    <x v="1"/>
    <x v="0"/>
    <s v="Oct-2024"/>
    <n v="1"/>
    <x v="5"/>
    <x v="225"/>
  </r>
  <r>
    <s v="CUST0238"/>
    <s v="Crystal Melton"/>
    <x v="1"/>
    <x v="1"/>
    <n v="52"/>
    <x v="3"/>
    <s v="Engineer"/>
    <x v="0"/>
    <n v="156727"/>
    <x v="0"/>
    <x v="1"/>
    <s v="Oct-2020"/>
    <n v="5"/>
    <x v="9"/>
    <x v="226"/>
  </r>
  <r>
    <s v="CUST0239"/>
    <s v="Daniel Williams"/>
    <x v="0"/>
    <x v="3"/>
    <n v="66"/>
    <x v="2"/>
    <s v="Student"/>
    <x v="1"/>
    <n v="64859"/>
    <x v="0"/>
    <x v="0"/>
    <s v="Nov-2024"/>
    <n v="1"/>
    <x v="5"/>
    <x v="227"/>
  </r>
  <r>
    <s v="CUST0240"/>
    <s v="James Park"/>
    <x v="1"/>
    <x v="1"/>
    <n v="52"/>
    <x v="3"/>
    <s v="Engineer"/>
    <x v="1"/>
    <n v="72098"/>
    <x v="0"/>
    <x v="1"/>
    <s v="Dec-2021"/>
    <n v="4"/>
    <x v="1"/>
    <x v="228"/>
  </r>
  <r>
    <s v="CUST0241"/>
    <s v="Jeff Coleman"/>
    <x v="1"/>
    <x v="3"/>
    <n v="65"/>
    <x v="1"/>
    <s v="Teacher"/>
    <x v="0"/>
    <n v="166323"/>
    <x v="0"/>
    <x v="0"/>
    <s v="May-2024"/>
    <n v="1"/>
    <x v="5"/>
    <x v="229"/>
  </r>
  <r>
    <s v="CUST0242"/>
    <s v="Dustin Young"/>
    <x v="0"/>
    <x v="1"/>
    <n v="53"/>
    <x v="2"/>
    <s v="Banker"/>
    <x v="0"/>
    <n v="142413"/>
    <x v="1"/>
    <x v="1"/>
    <s v="Mar-2022"/>
    <n v="4"/>
    <x v="8"/>
    <x v="230"/>
  </r>
  <r>
    <s v="CUST0243"/>
    <s v="Richard Johnson"/>
    <x v="1"/>
    <x v="0"/>
    <n v="35"/>
    <x v="1"/>
    <s v="Engineer"/>
    <x v="3"/>
    <n v="20526"/>
    <x v="0"/>
    <x v="2"/>
    <s v="Aug-2019"/>
    <n v="6"/>
    <x v="6"/>
    <x v="231"/>
  </r>
  <r>
    <s v="CUST0244"/>
    <s v="Timothy Wolf"/>
    <x v="0"/>
    <x v="3"/>
    <n v="66"/>
    <x v="0"/>
    <s v="Retired"/>
    <x v="1"/>
    <n v="88760"/>
    <x v="2"/>
    <x v="1"/>
    <s v="Dec-2022"/>
    <n v="3"/>
    <x v="8"/>
    <x v="232"/>
  </r>
  <r>
    <s v="CUST0245"/>
    <s v="Kenneth Garza"/>
    <x v="0"/>
    <x v="1"/>
    <n v="56"/>
    <x v="3"/>
    <s v="Engineer"/>
    <x v="1"/>
    <n v="67837"/>
    <x v="1"/>
    <x v="2"/>
    <s v="Oct-2018"/>
    <n v="7"/>
    <x v="2"/>
    <x v="233"/>
  </r>
  <r>
    <s v="CUST0246"/>
    <s v="Joshua Best"/>
    <x v="1"/>
    <x v="1"/>
    <n v="49"/>
    <x v="0"/>
    <s v="Student"/>
    <x v="2"/>
    <n v="31536"/>
    <x v="1"/>
    <x v="2"/>
    <s v="Jan-2018"/>
    <n v="8"/>
    <x v="2"/>
    <x v="234"/>
  </r>
  <r>
    <s v="CUST0247"/>
    <s v="Charles Wilson"/>
    <x v="0"/>
    <x v="0"/>
    <n v="41"/>
    <x v="0"/>
    <s v="Student"/>
    <x v="2"/>
    <n v="48541"/>
    <x v="0"/>
    <x v="1"/>
    <s v="Mar-2021"/>
    <n v="5"/>
    <x v="1"/>
    <x v="156"/>
  </r>
  <r>
    <s v="CUST0248"/>
    <s v="Andre Bridges"/>
    <x v="0"/>
    <x v="0"/>
    <n v="40"/>
    <x v="0"/>
    <s v="Doctor"/>
    <x v="1"/>
    <n v="99083"/>
    <x v="1"/>
    <x v="0"/>
    <s v="Sep-2023"/>
    <n v="2"/>
    <x v="0"/>
    <x v="235"/>
  </r>
  <r>
    <s v="CUST0249"/>
    <s v="Dana Buchanan"/>
    <x v="0"/>
    <x v="1"/>
    <n v="49"/>
    <x v="0"/>
    <s v="Student"/>
    <x v="2"/>
    <n v="54531"/>
    <x v="2"/>
    <x v="1"/>
    <s v="Jan-2021"/>
    <n v="5"/>
    <x v="1"/>
    <x v="236"/>
  </r>
  <r>
    <s v="CUST0250"/>
    <s v="James Hardy"/>
    <x v="0"/>
    <x v="1"/>
    <n v="54"/>
    <x v="3"/>
    <s v="Trader"/>
    <x v="3"/>
    <n v="28712"/>
    <x v="0"/>
    <x v="2"/>
    <s v="Jul-2018"/>
    <n v="7"/>
    <x v="2"/>
    <x v="237"/>
  </r>
  <r>
    <s v="CUST0251"/>
    <s v="Danny Scott"/>
    <x v="1"/>
    <x v="0"/>
    <n v="29"/>
    <x v="0"/>
    <s v="Teacher"/>
    <x v="0"/>
    <n v="124101"/>
    <x v="1"/>
    <x v="0"/>
    <s v="May-2024"/>
    <n v="1"/>
    <x v="5"/>
    <x v="176"/>
  </r>
  <r>
    <s v="CUST0252"/>
    <s v="Justin Krause"/>
    <x v="0"/>
    <x v="3"/>
    <n v="66"/>
    <x v="3"/>
    <s v="Teacher"/>
    <x v="1"/>
    <n v="85455"/>
    <x v="1"/>
    <x v="0"/>
    <s v="Jun-2023"/>
    <n v="2"/>
    <x v="0"/>
    <x v="238"/>
  </r>
  <r>
    <s v="CUST0253"/>
    <s v="Mike Walker"/>
    <x v="1"/>
    <x v="3"/>
    <n v="72"/>
    <x v="3"/>
    <s v="Banker"/>
    <x v="1"/>
    <n v="94744"/>
    <x v="0"/>
    <x v="2"/>
    <s v="Aug-2018"/>
    <n v="7"/>
    <x v="2"/>
    <x v="239"/>
  </r>
  <r>
    <s v="CUST0254"/>
    <s v="James Wilkinson"/>
    <x v="0"/>
    <x v="0"/>
    <n v="30"/>
    <x v="1"/>
    <s v="Banker"/>
    <x v="0"/>
    <n v="149749"/>
    <x v="0"/>
    <x v="2"/>
    <s v="Jul-2017"/>
    <n v="8"/>
    <x v="4"/>
    <x v="240"/>
  </r>
  <r>
    <s v="CUST0255"/>
    <s v="Nathaniel Wolf"/>
    <x v="0"/>
    <x v="0"/>
    <n v="40"/>
    <x v="2"/>
    <s v="Teacher"/>
    <x v="3"/>
    <n v="25109"/>
    <x v="0"/>
    <x v="3"/>
    <s v="Oct-2016"/>
    <n v="9"/>
    <x v="3"/>
    <x v="241"/>
  </r>
  <r>
    <s v="CUST0256"/>
    <s v="Robert Cooper"/>
    <x v="0"/>
    <x v="0"/>
    <n v="42"/>
    <x v="2"/>
    <s v="Retired"/>
    <x v="1"/>
    <n v="69268"/>
    <x v="0"/>
    <x v="1"/>
    <s v="Sep-2020"/>
    <n v="5"/>
    <x v="9"/>
    <x v="242"/>
  </r>
  <r>
    <s v="CUST0257"/>
    <s v="Lisa Stevens"/>
    <x v="0"/>
    <x v="1"/>
    <n v="52"/>
    <x v="3"/>
    <s v="Banker"/>
    <x v="1"/>
    <n v="74615"/>
    <x v="0"/>
    <x v="2"/>
    <s v="Aug-2017"/>
    <n v="8"/>
    <x v="4"/>
    <x v="243"/>
  </r>
  <r>
    <s v="CUST0258"/>
    <s v="Susan Thompson"/>
    <x v="1"/>
    <x v="1"/>
    <n v="58"/>
    <x v="1"/>
    <s v="Doctor"/>
    <x v="0"/>
    <n v="102503"/>
    <x v="0"/>
    <x v="0"/>
    <s v="Jun-2025"/>
    <n v="0"/>
    <x v="7"/>
    <x v="244"/>
  </r>
  <r>
    <s v="CUST0259"/>
    <s v="Jennifer Bell"/>
    <x v="1"/>
    <x v="1"/>
    <n v="47"/>
    <x v="3"/>
    <s v="Student"/>
    <x v="0"/>
    <n v="180831"/>
    <x v="0"/>
    <x v="1"/>
    <s v="Oct-2020"/>
    <n v="5"/>
    <x v="9"/>
    <x v="245"/>
  </r>
  <r>
    <s v="CUST0260"/>
    <s v="Nicholas Stone"/>
    <x v="0"/>
    <x v="0"/>
    <n v="34"/>
    <x v="3"/>
    <s v="Teacher"/>
    <x v="0"/>
    <n v="105708"/>
    <x v="0"/>
    <x v="1"/>
    <s v="Jan-2022"/>
    <n v="4"/>
    <x v="8"/>
    <x v="246"/>
  </r>
  <r>
    <s v="CUST0261"/>
    <s v="John Craig"/>
    <x v="0"/>
    <x v="3"/>
    <n v="66"/>
    <x v="3"/>
    <s v="Banker"/>
    <x v="0"/>
    <n v="122471"/>
    <x v="2"/>
    <x v="2"/>
    <s v="Oct-2019"/>
    <n v="6"/>
    <x v="6"/>
    <x v="85"/>
  </r>
  <r>
    <s v="CUST0262"/>
    <s v="Joy Lopez"/>
    <x v="1"/>
    <x v="0"/>
    <n v="37"/>
    <x v="1"/>
    <s v="Teacher"/>
    <x v="0"/>
    <n v="177661"/>
    <x v="0"/>
    <x v="0"/>
    <s v="Aug-2024"/>
    <n v="1"/>
    <x v="5"/>
    <x v="247"/>
  </r>
  <r>
    <s v="CUST0263"/>
    <s v="Kristi Adams"/>
    <x v="0"/>
    <x v="3"/>
    <n v="65"/>
    <x v="2"/>
    <s v="Trader"/>
    <x v="0"/>
    <n v="181087"/>
    <x v="2"/>
    <x v="2"/>
    <s v="Dec-2019"/>
    <n v="6"/>
    <x v="6"/>
    <x v="248"/>
  </r>
  <r>
    <s v="CUST0264"/>
    <s v="Kevin Tapia"/>
    <x v="0"/>
    <x v="0"/>
    <n v="42"/>
    <x v="1"/>
    <s v="Engineer"/>
    <x v="0"/>
    <n v="180081"/>
    <x v="0"/>
    <x v="3"/>
    <s v="Oct-2015"/>
    <n v="10"/>
    <x v="10"/>
    <x v="249"/>
  </r>
  <r>
    <s v="CUST0265"/>
    <s v="Mr. Carlos Wood"/>
    <x v="0"/>
    <x v="0"/>
    <n v="39"/>
    <x v="0"/>
    <s v="Student"/>
    <x v="0"/>
    <n v="103309"/>
    <x v="0"/>
    <x v="1"/>
    <s v="Sep-2020"/>
    <n v="5"/>
    <x v="9"/>
    <x v="250"/>
  </r>
  <r>
    <s v="CUST0266"/>
    <s v="Maria Everett"/>
    <x v="1"/>
    <x v="0"/>
    <n v="30"/>
    <x v="1"/>
    <s v="Teacher"/>
    <x v="0"/>
    <n v="146446"/>
    <x v="0"/>
    <x v="3"/>
    <s v="Feb-2017"/>
    <n v="9"/>
    <x v="4"/>
    <x v="251"/>
  </r>
  <r>
    <s v="CUST0267"/>
    <s v="Nicholas Cherry"/>
    <x v="1"/>
    <x v="0"/>
    <n v="36"/>
    <x v="1"/>
    <s v="Engineer"/>
    <x v="0"/>
    <n v="126661"/>
    <x v="0"/>
    <x v="1"/>
    <s v="Aug-2021"/>
    <n v="4"/>
    <x v="1"/>
    <x v="252"/>
  </r>
  <r>
    <s v="CUST0268"/>
    <s v="Derek Gardner"/>
    <x v="1"/>
    <x v="3"/>
    <n v="66"/>
    <x v="1"/>
    <s v="Banker"/>
    <x v="0"/>
    <n v="177215"/>
    <x v="0"/>
    <x v="2"/>
    <s v="Dec-2019"/>
    <n v="6"/>
    <x v="6"/>
    <x v="253"/>
  </r>
  <r>
    <s v="CUST0269"/>
    <s v="Ashley Harper"/>
    <x v="0"/>
    <x v="1"/>
    <n v="53"/>
    <x v="1"/>
    <s v="Engineer"/>
    <x v="3"/>
    <n v="26154"/>
    <x v="1"/>
    <x v="2"/>
    <s v="Feb-2018"/>
    <n v="8"/>
    <x v="2"/>
    <x v="254"/>
  </r>
  <r>
    <s v="CUST0270"/>
    <s v="Sarah Taylor"/>
    <x v="0"/>
    <x v="0"/>
    <n v="29"/>
    <x v="2"/>
    <s v="Student"/>
    <x v="0"/>
    <n v="172876"/>
    <x v="0"/>
    <x v="3"/>
    <s v="Jan-2017"/>
    <n v="9"/>
    <x v="4"/>
    <x v="255"/>
  </r>
  <r>
    <s v="CUST0271"/>
    <s v="Keith Hendrix"/>
    <x v="1"/>
    <x v="1"/>
    <n v="58"/>
    <x v="0"/>
    <s v="Teacher"/>
    <x v="0"/>
    <n v="192760"/>
    <x v="1"/>
    <x v="0"/>
    <s v="May-2023"/>
    <n v="2"/>
    <x v="0"/>
    <x v="256"/>
  </r>
  <r>
    <s v="CUST0272"/>
    <s v="Seth Fritz"/>
    <x v="1"/>
    <x v="0"/>
    <n v="36"/>
    <x v="2"/>
    <s v="Trader"/>
    <x v="1"/>
    <n v="84288"/>
    <x v="1"/>
    <x v="2"/>
    <s v="Feb-2020"/>
    <n v="6"/>
    <x v="9"/>
    <x v="257"/>
  </r>
  <r>
    <s v="CUST0273"/>
    <s v="Thomas Luna"/>
    <x v="1"/>
    <x v="0"/>
    <n v="29"/>
    <x v="2"/>
    <s v="Retired"/>
    <x v="1"/>
    <n v="71195"/>
    <x v="0"/>
    <x v="1"/>
    <s v="Jun-2020"/>
    <n v="5"/>
    <x v="9"/>
    <x v="258"/>
  </r>
  <r>
    <s v="CUST0274"/>
    <s v="Megan Allen"/>
    <x v="1"/>
    <x v="2"/>
    <n v="26"/>
    <x v="1"/>
    <s v="Banker"/>
    <x v="2"/>
    <n v="40581"/>
    <x v="0"/>
    <x v="0"/>
    <s v="Sep-2024"/>
    <n v="1"/>
    <x v="5"/>
    <x v="259"/>
  </r>
  <r>
    <s v="CUST0275"/>
    <s v="Todd Moore"/>
    <x v="0"/>
    <x v="2"/>
    <n v="24"/>
    <x v="3"/>
    <s v="Teacher"/>
    <x v="2"/>
    <n v="50087"/>
    <x v="1"/>
    <x v="2"/>
    <s v="Nov-2019"/>
    <n v="6"/>
    <x v="6"/>
    <x v="260"/>
  </r>
  <r>
    <s v="CUST0276"/>
    <s v="Rebecca Bailey"/>
    <x v="1"/>
    <x v="1"/>
    <n v="45"/>
    <x v="3"/>
    <s v="Student"/>
    <x v="0"/>
    <n v="184053"/>
    <x v="0"/>
    <x v="1"/>
    <s v="Oct-2020"/>
    <n v="5"/>
    <x v="9"/>
    <x v="261"/>
  </r>
  <r>
    <s v="CUST0277"/>
    <s v="Brandon Bennett"/>
    <x v="0"/>
    <x v="0"/>
    <n v="31"/>
    <x v="2"/>
    <s v="Banker"/>
    <x v="1"/>
    <n v="89298"/>
    <x v="0"/>
    <x v="2"/>
    <s v="Dec-2017"/>
    <n v="8"/>
    <x v="4"/>
    <x v="262"/>
  </r>
  <r>
    <s v="CUST0278"/>
    <s v="Stacy Burns"/>
    <x v="1"/>
    <x v="1"/>
    <n v="48"/>
    <x v="2"/>
    <s v="Doctor"/>
    <x v="1"/>
    <n v="66167"/>
    <x v="2"/>
    <x v="2"/>
    <s v="Feb-2019"/>
    <n v="7"/>
    <x v="6"/>
    <x v="263"/>
  </r>
  <r>
    <s v="CUST0279"/>
    <s v="Vanessa Martinez"/>
    <x v="0"/>
    <x v="3"/>
    <n v="69"/>
    <x v="1"/>
    <s v="Engineer"/>
    <x v="0"/>
    <n v="194480"/>
    <x v="0"/>
    <x v="2"/>
    <s v="Aug-2018"/>
    <n v="7"/>
    <x v="2"/>
    <x v="264"/>
  </r>
  <r>
    <s v="CUST0280"/>
    <s v="Kristy Washington"/>
    <x v="1"/>
    <x v="0"/>
    <n v="36"/>
    <x v="2"/>
    <s v="Retired"/>
    <x v="2"/>
    <n v="59499"/>
    <x v="1"/>
    <x v="2"/>
    <s v="May-2017"/>
    <n v="8"/>
    <x v="4"/>
    <x v="265"/>
  </r>
  <r>
    <s v="CUST0281"/>
    <s v="Dustin Zhang"/>
    <x v="1"/>
    <x v="3"/>
    <n v="64"/>
    <x v="1"/>
    <s v="Student"/>
    <x v="0"/>
    <n v="145816"/>
    <x v="2"/>
    <x v="1"/>
    <s v="Oct-2021"/>
    <n v="4"/>
    <x v="1"/>
    <x v="266"/>
  </r>
  <r>
    <s v="CUST0282"/>
    <s v="Monique Griffin"/>
    <x v="1"/>
    <x v="0"/>
    <n v="33"/>
    <x v="3"/>
    <s v="Doctor"/>
    <x v="0"/>
    <n v="189631"/>
    <x v="0"/>
    <x v="2"/>
    <s v="May-2017"/>
    <n v="8"/>
    <x v="4"/>
    <x v="267"/>
  </r>
  <r>
    <s v="CUST0283"/>
    <s v="Kristen Spencer"/>
    <x v="1"/>
    <x v="3"/>
    <n v="70"/>
    <x v="3"/>
    <s v="Teacher"/>
    <x v="0"/>
    <n v="116347"/>
    <x v="0"/>
    <x v="3"/>
    <s v="Jan-2017"/>
    <n v="9"/>
    <x v="4"/>
    <x v="119"/>
  </r>
  <r>
    <s v="CUST0284"/>
    <s v="Robert Clay"/>
    <x v="0"/>
    <x v="2"/>
    <n v="22"/>
    <x v="0"/>
    <s v="Trader"/>
    <x v="1"/>
    <n v="68787"/>
    <x v="0"/>
    <x v="3"/>
    <s v="Oct-2015"/>
    <n v="10"/>
    <x v="10"/>
    <x v="268"/>
  </r>
  <r>
    <s v="CUST0285"/>
    <s v="Kristen Nguyen"/>
    <x v="1"/>
    <x v="1"/>
    <n v="52"/>
    <x v="3"/>
    <s v="Banker"/>
    <x v="2"/>
    <n v="55488"/>
    <x v="0"/>
    <x v="1"/>
    <s v="Feb-2021"/>
    <n v="5"/>
    <x v="1"/>
    <x v="269"/>
  </r>
  <r>
    <s v="CUST0286"/>
    <s v="Melanie Butler"/>
    <x v="0"/>
    <x v="0"/>
    <n v="29"/>
    <x v="2"/>
    <s v="Engineer"/>
    <x v="1"/>
    <n v="94441"/>
    <x v="0"/>
    <x v="2"/>
    <s v="Jan-2020"/>
    <n v="6"/>
    <x v="9"/>
    <x v="270"/>
  </r>
  <r>
    <s v="CUST0287"/>
    <s v="Tanner Davidson"/>
    <x v="0"/>
    <x v="0"/>
    <n v="42"/>
    <x v="3"/>
    <s v="Banker"/>
    <x v="2"/>
    <n v="42431"/>
    <x v="1"/>
    <x v="0"/>
    <s v="Apr-2025"/>
    <n v="0"/>
    <x v="7"/>
    <x v="271"/>
  </r>
  <r>
    <s v="CUST0288"/>
    <s v="Richard Mcdonald"/>
    <x v="0"/>
    <x v="3"/>
    <n v="69"/>
    <x v="1"/>
    <s v="Retired"/>
    <x v="1"/>
    <n v="81681"/>
    <x v="0"/>
    <x v="1"/>
    <s v="Oct-2022"/>
    <n v="3"/>
    <x v="8"/>
    <x v="272"/>
  </r>
  <r>
    <s v="CUST0289"/>
    <s v="Kelly Dennis"/>
    <x v="0"/>
    <x v="0"/>
    <n v="38"/>
    <x v="3"/>
    <s v="Teacher"/>
    <x v="0"/>
    <n v="142720"/>
    <x v="0"/>
    <x v="1"/>
    <s v="Mar-2021"/>
    <n v="5"/>
    <x v="1"/>
    <x v="273"/>
  </r>
  <r>
    <s v="CUST0290"/>
    <s v="Kimberly Anderson"/>
    <x v="1"/>
    <x v="1"/>
    <n v="53"/>
    <x v="0"/>
    <s v="Banker"/>
    <x v="1"/>
    <n v="69153"/>
    <x v="2"/>
    <x v="3"/>
    <s v="Sep-2016"/>
    <n v="9"/>
    <x v="3"/>
    <x v="274"/>
  </r>
  <r>
    <s v="CUST0291"/>
    <s v="Sherry Watson"/>
    <x v="0"/>
    <x v="3"/>
    <n v="70"/>
    <x v="3"/>
    <s v="Engineer"/>
    <x v="3"/>
    <n v="26368"/>
    <x v="1"/>
    <x v="2"/>
    <s v="Feb-2019"/>
    <n v="7"/>
    <x v="6"/>
    <x v="275"/>
  </r>
  <r>
    <s v="CUST0292"/>
    <s v="Tony Dunn"/>
    <x v="0"/>
    <x v="0"/>
    <n v="40"/>
    <x v="1"/>
    <s v="Teacher"/>
    <x v="0"/>
    <n v="178496"/>
    <x v="1"/>
    <x v="1"/>
    <s v="Nov-2022"/>
    <n v="3"/>
    <x v="8"/>
    <x v="142"/>
  </r>
  <r>
    <s v="CUST0293"/>
    <s v="Adam Welch"/>
    <x v="0"/>
    <x v="0"/>
    <n v="33"/>
    <x v="1"/>
    <s v="Banker"/>
    <x v="0"/>
    <n v="132360"/>
    <x v="0"/>
    <x v="3"/>
    <s v="Oct-2016"/>
    <n v="9"/>
    <x v="3"/>
    <x v="276"/>
  </r>
  <r>
    <s v="CUST0294"/>
    <s v="Vicki Andersen"/>
    <x v="1"/>
    <x v="3"/>
    <n v="74"/>
    <x v="2"/>
    <s v="Trader"/>
    <x v="0"/>
    <n v="196076"/>
    <x v="1"/>
    <x v="2"/>
    <s v="Aug-2018"/>
    <n v="7"/>
    <x v="2"/>
    <x v="221"/>
  </r>
  <r>
    <s v="CUST0295"/>
    <s v="Donna Clark"/>
    <x v="1"/>
    <x v="1"/>
    <n v="56"/>
    <x v="3"/>
    <s v="Student"/>
    <x v="0"/>
    <n v="132755"/>
    <x v="0"/>
    <x v="3"/>
    <s v="May-2016"/>
    <n v="9"/>
    <x v="3"/>
    <x v="277"/>
  </r>
  <r>
    <s v="CUST0296"/>
    <s v="Ronald Meyer"/>
    <x v="1"/>
    <x v="3"/>
    <n v="62"/>
    <x v="1"/>
    <s v="Teacher"/>
    <x v="1"/>
    <n v="76985"/>
    <x v="0"/>
    <x v="1"/>
    <s v="Mar-2022"/>
    <n v="3"/>
    <x v="8"/>
    <x v="278"/>
  </r>
  <r>
    <s v="CUST0297"/>
    <s v="Jeffery James"/>
    <x v="1"/>
    <x v="3"/>
    <n v="70"/>
    <x v="0"/>
    <s v="Student"/>
    <x v="1"/>
    <n v="70069"/>
    <x v="0"/>
    <x v="1"/>
    <s v="Oct-2022"/>
    <n v="3"/>
    <x v="8"/>
    <x v="279"/>
  </r>
  <r>
    <s v="CUST0298"/>
    <s v="Heather Rodriguez"/>
    <x v="0"/>
    <x v="1"/>
    <n v="59"/>
    <x v="2"/>
    <s v="Teacher"/>
    <x v="1"/>
    <n v="72326"/>
    <x v="1"/>
    <x v="2"/>
    <s v="Jul-2017"/>
    <n v="8"/>
    <x v="4"/>
    <x v="35"/>
  </r>
  <r>
    <s v="CUST0299"/>
    <s v="Luis Werner"/>
    <x v="0"/>
    <x v="1"/>
    <n v="56"/>
    <x v="0"/>
    <s v="Trader"/>
    <x v="0"/>
    <n v="128737"/>
    <x v="0"/>
    <x v="0"/>
    <s v="Oct-2023"/>
    <n v="2"/>
    <x v="0"/>
    <x v="280"/>
  </r>
  <r>
    <s v="CUST0300"/>
    <s v="Stephanie Khan"/>
    <x v="1"/>
    <x v="0"/>
    <n v="31"/>
    <x v="3"/>
    <s v="Student"/>
    <x v="0"/>
    <n v="174470"/>
    <x v="0"/>
    <x v="0"/>
    <s v="Apr-2024"/>
    <n v="1"/>
    <x v="5"/>
    <x v="281"/>
  </r>
  <r>
    <s v="CUST0301"/>
    <s v="Regina Schultz"/>
    <x v="0"/>
    <x v="1"/>
    <n v="48"/>
    <x v="3"/>
    <s v="Doctor"/>
    <x v="1"/>
    <n v="70861"/>
    <x v="0"/>
    <x v="0"/>
    <s v="Feb-2024"/>
    <n v="2"/>
    <x v="5"/>
    <x v="282"/>
  </r>
  <r>
    <s v="CUST0302"/>
    <s v="Austin James"/>
    <x v="0"/>
    <x v="2"/>
    <n v="22"/>
    <x v="3"/>
    <s v="Engineer"/>
    <x v="1"/>
    <n v="95897"/>
    <x v="0"/>
    <x v="1"/>
    <s v="Oct-2021"/>
    <n v="4"/>
    <x v="1"/>
    <x v="283"/>
  </r>
  <r>
    <s v="CUST0303"/>
    <s v="Steven Black"/>
    <x v="0"/>
    <x v="1"/>
    <n v="52"/>
    <x v="2"/>
    <s v="Doctor"/>
    <x v="0"/>
    <n v="147118"/>
    <x v="1"/>
    <x v="1"/>
    <s v="Jan-2023"/>
    <n v="3"/>
    <x v="0"/>
    <x v="284"/>
  </r>
  <r>
    <s v="CUST0304"/>
    <s v="Linda Hansen"/>
    <x v="1"/>
    <x v="0"/>
    <n v="40"/>
    <x v="1"/>
    <s v="Banker"/>
    <x v="1"/>
    <n v="88577"/>
    <x v="1"/>
    <x v="2"/>
    <s v="May-2018"/>
    <n v="7"/>
    <x v="2"/>
    <x v="285"/>
  </r>
  <r>
    <s v="CUST0305"/>
    <s v="Erica Perez"/>
    <x v="1"/>
    <x v="1"/>
    <n v="46"/>
    <x v="2"/>
    <s v="Trader"/>
    <x v="3"/>
    <n v="29078"/>
    <x v="1"/>
    <x v="2"/>
    <s v="Nov-2017"/>
    <n v="8"/>
    <x v="4"/>
    <x v="286"/>
  </r>
  <r>
    <s v="CUST0306"/>
    <s v="Marco Hartman"/>
    <x v="0"/>
    <x v="1"/>
    <n v="60"/>
    <x v="0"/>
    <s v="Doctor"/>
    <x v="0"/>
    <n v="176075"/>
    <x v="0"/>
    <x v="2"/>
    <s v="Jun-2018"/>
    <n v="7"/>
    <x v="2"/>
    <x v="287"/>
  </r>
  <r>
    <s v="CUST0307"/>
    <s v="Angela Garcia"/>
    <x v="1"/>
    <x v="2"/>
    <n v="28"/>
    <x v="2"/>
    <s v="Teacher"/>
    <x v="1"/>
    <n v="82768"/>
    <x v="0"/>
    <x v="3"/>
    <s v="Oct-2015"/>
    <n v="10"/>
    <x v="10"/>
    <x v="288"/>
  </r>
  <r>
    <s v="CUST0308"/>
    <s v="Daniel Miller"/>
    <x v="1"/>
    <x v="0"/>
    <n v="35"/>
    <x v="0"/>
    <s v="Banker"/>
    <x v="1"/>
    <n v="71047"/>
    <x v="0"/>
    <x v="3"/>
    <s v="Aug-2015"/>
    <n v="10"/>
    <x v="10"/>
    <x v="87"/>
  </r>
  <r>
    <s v="CUST0309"/>
    <s v="Jeanne Marquez"/>
    <x v="1"/>
    <x v="3"/>
    <n v="64"/>
    <x v="2"/>
    <s v="Banker"/>
    <x v="1"/>
    <n v="91626"/>
    <x v="0"/>
    <x v="3"/>
    <s v="May-2016"/>
    <n v="9"/>
    <x v="3"/>
    <x v="289"/>
  </r>
  <r>
    <s v="CUST0310"/>
    <s v="Joshua Morales"/>
    <x v="1"/>
    <x v="0"/>
    <n v="29"/>
    <x v="1"/>
    <s v="Doctor"/>
    <x v="1"/>
    <n v="77660"/>
    <x v="0"/>
    <x v="3"/>
    <s v="Dec-2016"/>
    <n v="9"/>
    <x v="3"/>
    <x v="290"/>
  </r>
  <r>
    <s v="CUST0311"/>
    <s v="Dr. Jeremy Miller"/>
    <x v="1"/>
    <x v="2"/>
    <n v="26"/>
    <x v="0"/>
    <s v="Doctor"/>
    <x v="0"/>
    <n v="152997"/>
    <x v="1"/>
    <x v="2"/>
    <s v="May-2017"/>
    <n v="8"/>
    <x v="4"/>
    <x v="291"/>
  </r>
  <r>
    <s v="CUST0312"/>
    <s v="Jennifer Foster"/>
    <x v="0"/>
    <x v="2"/>
    <n v="27"/>
    <x v="3"/>
    <s v="Trader"/>
    <x v="0"/>
    <n v="137832"/>
    <x v="0"/>
    <x v="2"/>
    <s v="Oct-2019"/>
    <n v="6"/>
    <x v="6"/>
    <x v="166"/>
  </r>
  <r>
    <s v="CUST0313"/>
    <s v="Amy Thornton"/>
    <x v="1"/>
    <x v="3"/>
    <n v="61"/>
    <x v="3"/>
    <s v="Engineer"/>
    <x v="0"/>
    <n v="150406"/>
    <x v="0"/>
    <x v="2"/>
    <s v="Apr-2019"/>
    <n v="6"/>
    <x v="6"/>
    <x v="292"/>
  </r>
  <r>
    <s v="CUST0314"/>
    <s v="Kenneth Vasquez"/>
    <x v="0"/>
    <x v="0"/>
    <n v="34"/>
    <x v="2"/>
    <s v="Doctor"/>
    <x v="0"/>
    <n v="145150"/>
    <x v="0"/>
    <x v="1"/>
    <s v="Jun-2022"/>
    <n v="3"/>
    <x v="8"/>
    <x v="293"/>
  </r>
  <r>
    <s v="CUST0315"/>
    <s v="Audrey Ward"/>
    <x v="0"/>
    <x v="1"/>
    <n v="55"/>
    <x v="3"/>
    <s v="Retired"/>
    <x v="0"/>
    <n v="177087"/>
    <x v="0"/>
    <x v="0"/>
    <s v="May-2025"/>
    <n v="0"/>
    <x v="7"/>
    <x v="294"/>
  </r>
  <r>
    <s v="CUST0316"/>
    <s v="Heather Carter"/>
    <x v="1"/>
    <x v="2"/>
    <n v="24"/>
    <x v="0"/>
    <s v="Doctor"/>
    <x v="2"/>
    <n v="53320"/>
    <x v="0"/>
    <x v="0"/>
    <s v="May-2023"/>
    <n v="2"/>
    <x v="0"/>
    <x v="19"/>
  </r>
  <r>
    <s v="CUST0317"/>
    <s v="Robert Hill"/>
    <x v="0"/>
    <x v="3"/>
    <n v="63"/>
    <x v="3"/>
    <s v="Student"/>
    <x v="1"/>
    <n v="84881"/>
    <x v="2"/>
    <x v="1"/>
    <s v="Mar-2022"/>
    <n v="3"/>
    <x v="8"/>
    <x v="295"/>
  </r>
  <r>
    <s v="CUST0318"/>
    <s v="Jay Gray"/>
    <x v="0"/>
    <x v="0"/>
    <n v="30"/>
    <x v="1"/>
    <s v="Teacher"/>
    <x v="0"/>
    <n v="110827"/>
    <x v="1"/>
    <x v="3"/>
    <s v="Jan-2016"/>
    <n v="10"/>
    <x v="3"/>
    <x v="296"/>
  </r>
  <r>
    <s v="CUST0319"/>
    <s v="Reginald Tapia"/>
    <x v="0"/>
    <x v="1"/>
    <n v="57"/>
    <x v="1"/>
    <s v="Retired"/>
    <x v="0"/>
    <n v="122215"/>
    <x v="2"/>
    <x v="2"/>
    <s v="Jun-2019"/>
    <n v="6"/>
    <x v="6"/>
    <x v="297"/>
  </r>
  <r>
    <s v="CUST0320"/>
    <s v="Erica Collins"/>
    <x v="1"/>
    <x v="1"/>
    <n v="59"/>
    <x v="2"/>
    <s v="Retired"/>
    <x v="0"/>
    <n v="177361"/>
    <x v="0"/>
    <x v="0"/>
    <s v="Sep-2023"/>
    <n v="2"/>
    <x v="0"/>
    <x v="298"/>
  </r>
  <r>
    <s v="CUST0321"/>
    <s v="Joseph Hunter"/>
    <x v="1"/>
    <x v="2"/>
    <n v="26"/>
    <x v="0"/>
    <s v="Student"/>
    <x v="0"/>
    <n v="154461"/>
    <x v="0"/>
    <x v="1"/>
    <s v="Dec-2022"/>
    <n v="3"/>
    <x v="8"/>
    <x v="299"/>
  </r>
  <r>
    <s v="CUST0322"/>
    <s v="Lisa Hartman"/>
    <x v="0"/>
    <x v="3"/>
    <n v="67"/>
    <x v="1"/>
    <s v="Student"/>
    <x v="0"/>
    <n v="176755"/>
    <x v="0"/>
    <x v="2"/>
    <s v="May-2019"/>
    <n v="6"/>
    <x v="6"/>
    <x v="300"/>
  </r>
  <r>
    <s v="CUST0323"/>
    <s v="James Hernandez"/>
    <x v="1"/>
    <x v="0"/>
    <n v="44"/>
    <x v="1"/>
    <s v="Banker"/>
    <x v="0"/>
    <n v="164701"/>
    <x v="0"/>
    <x v="2"/>
    <s v="Sep-2018"/>
    <n v="7"/>
    <x v="2"/>
    <x v="301"/>
  </r>
  <r>
    <s v="CUST0324"/>
    <s v="Erin Nelson"/>
    <x v="1"/>
    <x v="2"/>
    <n v="19"/>
    <x v="0"/>
    <s v="Engineer"/>
    <x v="1"/>
    <n v="81550"/>
    <x v="1"/>
    <x v="2"/>
    <s v="Mar-2017"/>
    <n v="8"/>
    <x v="4"/>
    <x v="131"/>
  </r>
  <r>
    <s v="CUST0325"/>
    <s v="Gregg Harris"/>
    <x v="1"/>
    <x v="2"/>
    <n v="22"/>
    <x v="3"/>
    <s v="Teacher"/>
    <x v="2"/>
    <n v="44826"/>
    <x v="0"/>
    <x v="1"/>
    <s v="Mar-2022"/>
    <n v="3"/>
    <x v="8"/>
    <x v="302"/>
  </r>
  <r>
    <s v="CUST0326"/>
    <s v="William Singleton"/>
    <x v="1"/>
    <x v="1"/>
    <n v="46"/>
    <x v="3"/>
    <s v="Trader"/>
    <x v="0"/>
    <n v="120734"/>
    <x v="0"/>
    <x v="2"/>
    <s v="Jan-2020"/>
    <n v="6"/>
    <x v="9"/>
    <x v="303"/>
  </r>
  <r>
    <s v="CUST0327"/>
    <s v="Raymond Smith"/>
    <x v="0"/>
    <x v="1"/>
    <n v="54"/>
    <x v="2"/>
    <s v="Retired"/>
    <x v="0"/>
    <n v="177702"/>
    <x v="0"/>
    <x v="0"/>
    <s v="Jul-2023"/>
    <n v="2"/>
    <x v="0"/>
    <x v="304"/>
  </r>
  <r>
    <s v="CUST0328"/>
    <s v="Brenda Brown"/>
    <x v="0"/>
    <x v="1"/>
    <n v="55"/>
    <x v="3"/>
    <s v="Trader"/>
    <x v="0"/>
    <n v="197235"/>
    <x v="0"/>
    <x v="1"/>
    <s v="Sep-2021"/>
    <n v="4"/>
    <x v="1"/>
    <x v="305"/>
  </r>
  <r>
    <s v="CUST0329"/>
    <s v="Philip Brown"/>
    <x v="1"/>
    <x v="0"/>
    <n v="36"/>
    <x v="0"/>
    <s v="Doctor"/>
    <x v="0"/>
    <n v="118511"/>
    <x v="1"/>
    <x v="1"/>
    <s v="Aug-2022"/>
    <n v="3"/>
    <x v="8"/>
    <x v="306"/>
  </r>
  <r>
    <s v="CUST0330"/>
    <s v="Jeremy Boyer"/>
    <x v="1"/>
    <x v="2"/>
    <n v="25"/>
    <x v="1"/>
    <s v="Doctor"/>
    <x v="2"/>
    <n v="31653"/>
    <x v="0"/>
    <x v="2"/>
    <s v="Apr-2017"/>
    <n v="8"/>
    <x v="4"/>
    <x v="307"/>
  </r>
  <r>
    <s v="CUST0331"/>
    <s v="Theresa Burke"/>
    <x v="0"/>
    <x v="3"/>
    <n v="65"/>
    <x v="3"/>
    <s v="Trader"/>
    <x v="0"/>
    <n v="179033"/>
    <x v="0"/>
    <x v="2"/>
    <s v="Nov-2019"/>
    <n v="6"/>
    <x v="6"/>
    <x v="308"/>
  </r>
  <r>
    <s v="CUST0332"/>
    <s v="Amber Myers"/>
    <x v="0"/>
    <x v="3"/>
    <n v="62"/>
    <x v="2"/>
    <s v="Doctor"/>
    <x v="0"/>
    <n v="101941"/>
    <x v="0"/>
    <x v="1"/>
    <s v="Sep-2021"/>
    <n v="4"/>
    <x v="1"/>
    <x v="309"/>
  </r>
  <r>
    <s v="CUST0333"/>
    <s v="Ronald Bennett"/>
    <x v="1"/>
    <x v="2"/>
    <n v="18"/>
    <x v="3"/>
    <s v="Engineer"/>
    <x v="2"/>
    <n v="53662"/>
    <x v="0"/>
    <x v="3"/>
    <s v="Dec-2015"/>
    <n v="10"/>
    <x v="10"/>
    <x v="310"/>
  </r>
  <r>
    <s v="CUST0334"/>
    <s v="Beth Mccoy"/>
    <x v="0"/>
    <x v="0"/>
    <n v="39"/>
    <x v="0"/>
    <s v="Student"/>
    <x v="0"/>
    <n v="118818"/>
    <x v="1"/>
    <x v="2"/>
    <s v="Jan-2019"/>
    <n v="7"/>
    <x v="6"/>
    <x v="311"/>
  </r>
  <r>
    <s v="CUST0335"/>
    <s v="George Ramos"/>
    <x v="1"/>
    <x v="3"/>
    <n v="69"/>
    <x v="2"/>
    <s v="Doctor"/>
    <x v="0"/>
    <n v="172360"/>
    <x v="1"/>
    <x v="1"/>
    <s v="Jan-2022"/>
    <n v="4"/>
    <x v="8"/>
    <x v="312"/>
  </r>
  <r>
    <s v="CUST0336"/>
    <s v="Kimberly Estes"/>
    <x v="1"/>
    <x v="0"/>
    <n v="34"/>
    <x v="3"/>
    <s v="Banker"/>
    <x v="0"/>
    <n v="115081"/>
    <x v="2"/>
    <x v="2"/>
    <s v="Mar-2017"/>
    <n v="8"/>
    <x v="4"/>
    <x v="131"/>
  </r>
  <r>
    <s v="CUST0337"/>
    <s v="Debbie Riley"/>
    <x v="0"/>
    <x v="2"/>
    <n v="24"/>
    <x v="2"/>
    <s v="Doctor"/>
    <x v="2"/>
    <n v="56877"/>
    <x v="1"/>
    <x v="0"/>
    <s v="Aug-2025"/>
    <n v="0"/>
    <x v="7"/>
    <x v="313"/>
  </r>
  <r>
    <s v="CUST0338"/>
    <s v="Derek Jones"/>
    <x v="0"/>
    <x v="0"/>
    <n v="42"/>
    <x v="0"/>
    <s v="Teacher"/>
    <x v="0"/>
    <n v="131562"/>
    <x v="0"/>
    <x v="1"/>
    <s v="Nov-2022"/>
    <n v="3"/>
    <x v="8"/>
    <x v="314"/>
  </r>
  <r>
    <s v="CUST0339"/>
    <s v="Susan Best"/>
    <x v="1"/>
    <x v="3"/>
    <n v="62"/>
    <x v="1"/>
    <s v="Engineer"/>
    <x v="0"/>
    <n v="166385"/>
    <x v="1"/>
    <x v="2"/>
    <s v="Jun-2018"/>
    <n v="7"/>
    <x v="2"/>
    <x v="315"/>
  </r>
  <r>
    <s v="CUST0340"/>
    <s v="Kyle Hendricks"/>
    <x v="1"/>
    <x v="2"/>
    <n v="21"/>
    <x v="0"/>
    <s v="Teacher"/>
    <x v="1"/>
    <n v="92715"/>
    <x v="0"/>
    <x v="2"/>
    <s v="Jul-2017"/>
    <n v="8"/>
    <x v="4"/>
    <x v="316"/>
  </r>
  <r>
    <s v="CUST0341"/>
    <s v="Paul Payne"/>
    <x v="0"/>
    <x v="1"/>
    <n v="53"/>
    <x v="0"/>
    <s v="Teacher"/>
    <x v="0"/>
    <n v="161398"/>
    <x v="0"/>
    <x v="2"/>
    <s v="Oct-2017"/>
    <n v="8"/>
    <x v="4"/>
    <x v="317"/>
  </r>
  <r>
    <s v="CUST0342"/>
    <s v="Perry Alvarez"/>
    <x v="1"/>
    <x v="2"/>
    <n v="23"/>
    <x v="0"/>
    <s v="Banker"/>
    <x v="0"/>
    <n v="130091"/>
    <x v="1"/>
    <x v="0"/>
    <s v="Apr-2023"/>
    <n v="2"/>
    <x v="0"/>
    <x v="318"/>
  </r>
  <r>
    <s v="CUST0343"/>
    <s v="Danielle Cox"/>
    <x v="0"/>
    <x v="1"/>
    <n v="48"/>
    <x v="0"/>
    <s v="Engineer"/>
    <x v="0"/>
    <n v="152632"/>
    <x v="0"/>
    <x v="2"/>
    <s v="Feb-2018"/>
    <n v="8"/>
    <x v="2"/>
    <x v="319"/>
  </r>
  <r>
    <s v="CUST0344"/>
    <s v="Christian Mendez"/>
    <x v="1"/>
    <x v="0"/>
    <n v="36"/>
    <x v="1"/>
    <s v="Engineer"/>
    <x v="1"/>
    <n v="99148"/>
    <x v="2"/>
    <x v="2"/>
    <s v="Nov-2017"/>
    <n v="8"/>
    <x v="4"/>
    <x v="320"/>
  </r>
  <r>
    <s v="CUST0345"/>
    <s v="Alicia Day"/>
    <x v="0"/>
    <x v="3"/>
    <n v="61"/>
    <x v="1"/>
    <s v="Engineer"/>
    <x v="0"/>
    <n v="103186"/>
    <x v="0"/>
    <x v="2"/>
    <s v="Aug-2019"/>
    <n v="6"/>
    <x v="6"/>
    <x v="321"/>
  </r>
  <r>
    <s v="CUST0346"/>
    <s v="Nathan Smith"/>
    <x v="0"/>
    <x v="3"/>
    <n v="71"/>
    <x v="2"/>
    <s v="Engineer"/>
    <x v="0"/>
    <n v="177817"/>
    <x v="1"/>
    <x v="1"/>
    <s v="May-2022"/>
    <n v="3"/>
    <x v="8"/>
    <x v="322"/>
  </r>
  <r>
    <s v="CUST0347"/>
    <s v="Oscar Ortiz"/>
    <x v="0"/>
    <x v="1"/>
    <n v="56"/>
    <x v="3"/>
    <s v="Engineer"/>
    <x v="0"/>
    <n v="182962"/>
    <x v="1"/>
    <x v="0"/>
    <s v="Sep-2024"/>
    <n v="1"/>
    <x v="5"/>
    <x v="135"/>
  </r>
  <r>
    <s v="CUST0348"/>
    <s v="Jenna Cochran"/>
    <x v="1"/>
    <x v="0"/>
    <n v="44"/>
    <x v="1"/>
    <s v="Banker"/>
    <x v="0"/>
    <n v="171094"/>
    <x v="1"/>
    <x v="2"/>
    <s v="Jan-2019"/>
    <n v="7"/>
    <x v="6"/>
    <x v="323"/>
  </r>
  <r>
    <s v="CUST0349"/>
    <s v="Christopher Spencer"/>
    <x v="1"/>
    <x v="2"/>
    <n v="27"/>
    <x v="1"/>
    <s v="Doctor"/>
    <x v="0"/>
    <n v="143629"/>
    <x v="1"/>
    <x v="0"/>
    <s v="Aug-2025"/>
    <n v="0"/>
    <x v="7"/>
    <x v="324"/>
  </r>
  <r>
    <s v="CUST0350"/>
    <s v="Brandon Fox DDS"/>
    <x v="0"/>
    <x v="0"/>
    <n v="43"/>
    <x v="3"/>
    <s v="Teacher"/>
    <x v="1"/>
    <n v="90316"/>
    <x v="1"/>
    <x v="1"/>
    <s v="Dec-2022"/>
    <n v="3"/>
    <x v="8"/>
    <x v="325"/>
  </r>
  <r>
    <s v="CUST0351"/>
    <s v="Alexander Davis"/>
    <x v="1"/>
    <x v="0"/>
    <n v="36"/>
    <x v="1"/>
    <s v="Engineer"/>
    <x v="2"/>
    <n v="48380"/>
    <x v="0"/>
    <x v="1"/>
    <s v="Feb-2021"/>
    <n v="5"/>
    <x v="1"/>
    <x v="326"/>
  </r>
  <r>
    <s v="CUST0352"/>
    <s v="Steven Gilbert"/>
    <x v="0"/>
    <x v="1"/>
    <n v="56"/>
    <x v="0"/>
    <s v="Retired"/>
    <x v="0"/>
    <n v="130198"/>
    <x v="0"/>
    <x v="1"/>
    <s v="May-2020"/>
    <n v="5"/>
    <x v="9"/>
    <x v="327"/>
  </r>
  <r>
    <s v="CUST0353"/>
    <s v="Mrs. Valerie Dunlap MD"/>
    <x v="0"/>
    <x v="2"/>
    <n v="20"/>
    <x v="0"/>
    <s v="Doctor"/>
    <x v="3"/>
    <n v="22356"/>
    <x v="0"/>
    <x v="2"/>
    <s v="Sep-2019"/>
    <n v="6"/>
    <x v="6"/>
    <x v="328"/>
  </r>
  <r>
    <s v="CUST0354"/>
    <s v="Kathleen Richardson"/>
    <x v="1"/>
    <x v="3"/>
    <n v="62"/>
    <x v="3"/>
    <s v="Doctor"/>
    <x v="1"/>
    <n v="90326"/>
    <x v="1"/>
    <x v="2"/>
    <s v="Oct-2019"/>
    <n v="6"/>
    <x v="6"/>
    <x v="329"/>
  </r>
  <r>
    <s v="CUST0355"/>
    <s v="Rebecca Doyle"/>
    <x v="1"/>
    <x v="0"/>
    <n v="30"/>
    <x v="2"/>
    <s v="Teacher"/>
    <x v="0"/>
    <n v="112447"/>
    <x v="0"/>
    <x v="2"/>
    <s v="Jan-2020"/>
    <n v="6"/>
    <x v="9"/>
    <x v="303"/>
  </r>
  <r>
    <s v="CUST0356"/>
    <s v="Tyler Harris"/>
    <x v="0"/>
    <x v="3"/>
    <n v="67"/>
    <x v="2"/>
    <s v="Banker"/>
    <x v="0"/>
    <n v="134994"/>
    <x v="1"/>
    <x v="2"/>
    <s v="Oct-2018"/>
    <n v="7"/>
    <x v="2"/>
    <x v="330"/>
  </r>
  <r>
    <s v="CUST0357"/>
    <s v="Jordan Bates"/>
    <x v="1"/>
    <x v="1"/>
    <n v="45"/>
    <x v="3"/>
    <s v="Trader"/>
    <x v="2"/>
    <n v="40049"/>
    <x v="0"/>
    <x v="1"/>
    <s v="Dec-2020"/>
    <n v="5"/>
    <x v="9"/>
    <x v="331"/>
  </r>
  <r>
    <s v="CUST0358"/>
    <s v="Susan Walsh"/>
    <x v="1"/>
    <x v="0"/>
    <n v="37"/>
    <x v="3"/>
    <s v="Trader"/>
    <x v="0"/>
    <n v="125361"/>
    <x v="0"/>
    <x v="1"/>
    <s v="May-2021"/>
    <n v="4"/>
    <x v="1"/>
    <x v="332"/>
  </r>
  <r>
    <s v="CUST0359"/>
    <s v="Zachary Knapp"/>
    <x v="0"/>
    <x v="1"/>
    <n v="45"/>
    <x v="0"/>
    <s v="Doctor"/>
    <x v="2"/>
    <n v="36082"/>
    <x v="1"/>
    <x v="1"/>
    <s v="Jan-2023"/>
    <n v="3"/>
    <x v="0"/>
    <x v="333"/>
  </r>
  <r>
    <s v="CUST0360"/>
    <s v="Alfred Griffith"/>
    <x v="0"/>
    <x v="2"/>
    <n v="25"/>
    <x v="2"/>
    <s v="Student"/>
    <x v="3"/>
    <n v="20661"/>
    <x v="0"/>
    <x v="1"/>
    <s v="Sep-2022"/>
    <n v="3"/>
    <x v="8"/>
    <x v="334"/>
  </r>
  <r>
    <s v="CUST0361"/>
    <s v="Jack Smith"/>
    <x v="1"/>
    <x v="1"/>
    <n v="58"/>
    <x v="1"/>
    <s v="Student"/>
    <x v="0"/>
    <n v="188484"/>
    <x v="0"/>
    <x v="0"/>
    <s v="Apr-2024"/>
    <n v="1"/>
    <x v="5"/>
    <x v="335"/>
  </r>
  <r>
    <s v="CUST0362"/>
    <s v="Arthur Green"/>
    <x v="0"/>
    <x v="1"/>
    <n v="56"/>
    <x v="0"/>
    <s v="Teacher"/>
    <x v="3"/>
    <n v="22920"/>
    <x v="0"/>
    <x v="3"/>
    <s v="Oct-2015"/>
    <n v="10"/>
    <x v="10"/>
    <x v="336"/>
  </r>
  <r>
    <s v="CUST0363"/>
    <s v="William Fuller"/>
    <x v="0"/>
    <x v="2"/>
    <n v="18"/>
    <x v="3"/>
    <s v="Trader"/>
    <x v="1"/>
    <n v="99561"/>
    <x v="2"/>
    <x v="3"/>
    <s v="Jul-2016"/>
    <n v="9"/>
    <x v="3"/>
    <x v="337"/>
  </r>
  <r>
    <s v="CUST0364"/>
    <s v="Jeffrey Long"/>
    <x v="1"/>
    <x v="2"/>
    <n v="20"/>
    <x v="2"/>
    <s v="Doctor"/>
    <x v="3"/>
    <n v="28946"/>
    <x v="1"/>
    <x v="3"/>
    <s v="Mar-2016"/>
    <n v="10"/>
    <x v="3"/>
    <x v="338"/>
  </r>
  <r>
    <s v="CUST0365"/>
    <s v="Andrea Turner"/>
    <x v="0"/>
    <x v="0"/>
    <n v="30"/>
    <x v="1"/>
    <s v="Banker"/>
    <x v="0"/>
    <n v="196572"/>
    <x v="0"/>
    <x v="0"/>
    <s v="Nov-2024"/>
    <n v="1"/>
    <x v="5"/>
    <x v="339"/>
  </r>
  <r>
    <s v="CUST0366"/>
    <s v="Gregory Lee"/>
    <x v="0"/>
    <x v="1"/>
    <n v="45"/>
    <x v="1"/>
    <s v="Trader"/>
    <x v="2"/>
    <n v="36309"/>
    <x v="0"/>
    <x v="2"/>
    <s v="Nov-2019"/>
    <n v="6"/>
    <x v="6"/>
    <x v="340"/>
  </r>
  <r>
    <s v="CUST0367"/>
    <s v="David Hatfield"/>
    <x v="1"/>
    <x v="3"/>
    <n v="74"/>
    <x v="0"/>
    <s v="Doctor"/>
    <x v="1"/>
    <n v="75230"/>
    <x v="0"/>
    <x v="2"/>
    <s v="Nov-2019"/>
    <n v="6"/>
    <x v="6"/>
    <x v="341"/>
  </r>
  <r>
    <s v="CUST0368"/>
    <s v="Scott Jackson"/>
    <x v="1"/>
    <x v="3"/>
    <n v="66"/>
    <x v="2"/>
    <s v="Doctor"/>
    <x v="0"/>
    <n v="131822"/>
    <x v="1"/>
    <x v="2"/>
    <s v="Dec-2019"/>
    <n v="6"/>
    <x v="6"/>
    <x v="342"/>
  </r>
  <r>
    <s v="CUST0369"/>
    <s v="Heather Davis"/>
    <x v="0"/>
    <x v="0"/>
    <n v="42"/>
    <x v="2"/>
    <s v="Engineer"/>
    <x v="0"/>
    <n v="181099"/>
    <x v="1"/>
    <x v="1"/>
    <s v="Jan-2023"/>
    <n v="3"/>
    <x v="0"/>
    <x v="333"/>
  </r>
  <r>
    <s v="CUST0370"/>
    <s v="Brooke Hayes"/>
    <x v="0"/>
    <x v="3"/>
    <n v="73"/>
    <x v="3"/>
    <s v="Banker"/>
    <x v="0"/>
    <n v="132340"/>
    <x v="0"/>
    <x v="3"/>
    <s v="Jun-2016"/>
    <n v="9"/>
    <x v="3"/>
    <x v="343"/>
  </r>
  <r>
    <s v="CUST0371"/>
    <s v="Kaitlyn Johnson"/>
    <x v="1"/>
    <x v="1"/>
    <n v="50"/>
    <x v="2"/>
    <s v="Engineer"/>
    <x v="1"/>
    <n v="79321"/>
    <x v="0"/>
    <x v="2"/>
    <s v="Nov-2017"/>
    <n v="8"/>
    <x v="4"/>
    <x v="344"/>
  </r>
  <r>
    <s v="CUST0372"/>
    <s v="Daisy Casey"/>
    <x v="1"/>
    <x v="1"/>
    <n v="55"/>
    <x v="2"/>
    <s v="Teacher"/>
    <x v="0"/>
    <n v="152028"/>
    <x v="0"/>
    <x v="1"/>
    <s v="Jul-2022"/>
    <n v="3"/>
    <x v="8"/>
    <x v="22"/>
  </r>
  <r>
    <s v="CUST0373"/>
    <s v="Melvin Wells"/>
    <x v="1"/>
    <x v="3"/>
    <n v="70"/>
    <x v="0"/>
    <s v="Engineer"/>
    <x v="1"/>
    <n v="94131"/>
    <x v="1"/>
    <x v="0"/>
    <s v="Jul-2024"/>
    <n v="1"/>
    <x v="5"/>
    <x v="345"/>
  </r>
  <r>
    <s v="CUST0374"/>
    <s v="Jacqueline Russell"/>
    <x v="1"/>
    <x v="2"/>
    <n v="23"/>
    <x v="2"/>
    <s v="Retired"/>
    <x v="0"/>
    <n v="198980"/>
    <x v="1"/>
    <x v="2"/>
    <s v="Oct-2019"/>
    <n v="6"/>
    <x v="6"/>
    <x v="346"/>
  </r>
  <r>
    <s v="CUST0375"/>
    <s v="Paul Stephens"/>
    <x v="0"/>
    <x v="3"/>
    <n v="61"/>
    <x v="1"/>
    <s v="Engineer"/>
    <x v="2"/>
    <n v="45963"/>
    <x v="0"/>
    <x v="1"/>
    <s v="Aug-2022"/>
    <n v="3"/>
    <x v="8"/>
    <x v="347"/>
  </r>
  <r>
    <s v="CUST0376"/>
    <s v="Angela Jackson"/>
    <x v="1"/>
    <x v="3"/>
    <n v="62"/>
    <x v="0"/>
    <s v="Retired"/>
    <x v="0"/>
    <n v="121757"/>
    <x v="0"/>
    <x v="3"/>
    <s v="Oct-2015"/>
    <n v="10"/>
    <x v="10"/>
    <x v="348"/>
  </r>
  <r>
    <s v="CUST0377"/>
    <s v="Ashley Hayes"/>
    <x v="1"/>
    <x v="1"/>
    <n v="49"/>
    <x v="0"/>
    <s v="Trader"/>
    <x v="0"/>
    <n v="190515"/>
    <x v="0"/>
    <x v="1"/>
    <s v="Dec-2022"/>
    <n v="3"/>
    <x v="8"/>
    <x v="349"/>
  </r>
  <r>
    <s v="CUST0378"/>
    <s v="Claudia Casey"/>
    <x v="0"/>
    <x v="3"/>
    <n v="62"/>
    <x v="3"/>
    <s v="Student"/>
    <x v="0"/>
    <n v="119259"/>
    <x v="2"/>
    <x v="3"/>
    <s v="Dec-2016"/>
    <n v="9"/>
    <x v="3"/>
    <x v="350"/>
  </r>
  <r>
    <s v="CUST0379"/>
    <s v="Jay Jackson"/>
    <x v="1"/>
    <x v="3"/>
    <n v="64"/>
    <x v="2"/>
    <s v="Doctor"/>
    <x v="2"/>
    <n v="59063"/>
    <x v="0"/>
    <x v="1"/>
    <s v="Feb-2023"/>
    <n v="3"/>
    <x v="0"/>
    <x v="351"/>
  </r>
  <r>
    <s v="CUST0380"/>
    <s v="Brandon Morales"/>
    <x v="0"/>
    <x v="0"/>
    <n v="38"/>
    <x v="3"/>
    <s v="Retired"/>
    <x v="0"/>
    <n v="134225"/>
    <x v="1"/>
    <x v="1"/>
    <s v="Dec-2021"/>
    <n v="4"/>
    <x v="1"/>
    <x v="352"/>
  </r>
  <r>
    <s v="CUST0381"/>
    <s v="Timothy Mcknight"/>
    <x v="1"/>
    <x v="0"/>
    <n v="33"/>
    <x v="1"/>
    <s v="Banker"/>
    <x v="0"/>
    <n v="136400"/>
    <x v="1"/>
    <x v="2"/>
    <s v="Dec-2018"/>
    <n v="7"/>
    <x v="2"/>
    <x v="353"/>
  </r>
  <r>
    <s v="CUST0382"/>
    <s v="Wendy Hodge"/>
    <x v="1"/>
    <x v="3"/>
    <n v="71"/>
    <x v="0"/>
    <s v="Engineer"/>
    <x v="0"/>
    <n v="100818"/>
    <x v="0"/>
    <x v="1"/>
    <s v="Jun-2020"/>
    <n v="5"/>
    <x v="9"/>
    <x v="354"/>
  </r>
  <r>
    <s v="CUST0383"/>
    <s v="Aaron Hernandez"/>
    <x v="1"/>
    <x v="0"/>
    <n v="38"/>
    <x v="0"/>
    <s v="Retired"/>
    <x v="3"/>
    <n v="24703"/>
    <x v="0"/>
    <x v="1"/>
    <s v="Dec-2022"/>
    <n v="3"/>
    <x v="8"/>
    <x v="355"/>
  </r>
  <r>
    <s v="CUST0384"/>
    <s v="Erik Baldwin"/>
    <x v="0"/>
    <x v="2"/>
    <n v="28"/>
    <x v="0"/>
    <s v="Banker"/>
    <x v="1"/>
    <n v="92099"/>
    <x v="0"/>
    <x v="1"/>
    <s v="Aug-2021"/>
    <n v="4"/>
    <x v="1"/>
    <x v="356"/>
  </r>
  <r>
    <s v="CUST0385"/>
    <s v="Michael West"/>
    <x v="0"/>
    <x v="1"/>
    <n v="54"/>
    <x v="1"/>
    <s v="Student"/>
    <x v="0"/>
    <n v="176921"/>
    <x v="1"/>
    <x v="1"/>
    <s v="Nov-2022"/>
    <n v="3"/>
    <x v="8"/>
    <x v="357"/>
  </r>
  <r>
    <s v="CUST0386"/>
    <s v="Megan Davis"/>
    <x v="1"/>
    <x v="1"/>
    <n v="53"/>
    <x v="1"/>
    <s v="Student"/>
    <x v="0"/>
    <n v="182932"/>
    <x v="1"/>
    <x v="0"/>
    <s v="Aug-2023"/>
    <n v="2"/>
    <x v="0"/>
    <x v="358"/>
  </r>
  <r>
    <s v="CUST0387"/>
    <s v="Robert Barnes"/>
    <x v="0"/>
    <x v="1"/>
    <n v="52"/>
    <x v="3"/>
    <s v="Engineer"/>
    <x v="2"/>
    <n v="51585"/>
    <x v="1"/>
    <x v="2"/>
    <s v="Apr-2019"/>
    <n v="6"/>
    <x v="6"/>
    <x v="359"/>
  </r>
  <r>
    <s v="CUST0388"/>
    <s v="Zachary Schmidt"/>
    <x v="0"/>
    <x v="0"/>
    <n v="36"/>
    <x v="3"/>
    <s v="Teacher"/>
    <x v="0"/>
    <n v="173087"/>
    <x v="0"/>
    <x v="1"/>
    <s v="Apr-2020"/>
    <n v="5"/>
    <x v="9"/>
    <x v="360"/>
  </r>
  <r>
    <s v="CUST0389"/>
    <s v="Michael Mitchell"/>
    <x v="0"/>
    <x v="0"/>
    <n v="37"/>
    <x v="3"/>
    <s v="Engineer"/>
    <x v="1"/>
    <n v="63585"/>
    <x v="0"/>
    <x v="3"/>
    <s v="Jan-2017"/>
    <n v="9"/>
    <x v="4"/>
    <x v="361"/>
  </r>
  <r>
    <s v="CUST0390"/>
    <s v="John Dunlap"/>
    <x v="0"/>
    <x v="3"/>
    <n v="74"/>
    <x v="2"/>
    <s v="Trader"/>
    <x v="2"/>
    <n v="46958"/>
    <x v="2"/>
    <x v="1"/>
    <s v="Jan-2021"/>
    <n v="5"/>
    <x v="1"/>
    <x v="362"/>
  </r>
  <r>
    <s v="CUST0391"/>
    <s v="Alexis Becker"/>
    <x v="0"/>
    <x v="0"/>
    <n v="35"/>
    <x v="0"/>
    <s v="Retired"/>
    <x v="2"/>
    <n v="46017"/>
    <x v="1"/>
    <x v="2"/>
    <s v="Jul-2017"/>
    <n v="8"/>
    <x v="4"/>
    <x v="363"/>
  </r>
  <r>
    <s v="CUST0392"/>
    <s v="John Jacobs"/>
    <x v="0"/>
    <x v="3"/>
    <n v="64"/>
    <x v="0"/>
    <s v="Doctor"/>
    <x v="0"/>
    <n v="144677"/>
    <x v="0"/>
    <x v="2"/>
    <s v="Nov-2018"/>
    <n v="7"/>
    <x v="2"/>
    <x v="364"/>
  </r>
  <r>
    <s v="CUST0393"/>
    <s v="Tina Adams"/>
    <x v="1"/>
    <x v="1"/>
    <n v="58"/>
    <x v="3"/>
    <s v="Teacher"/>
    <x v="0"/>
    <n v="196422"/>
    <x v="2"/>
    <x v="1"/>
    <s v="Dec-2021"/>
    <n v="4"/>
    <x v="1"/>
    <x v="365"/>
  </r>
  <r>
    <s v="CUST0394"/>
    <s v="Daniel Moore"/>
    <x v="1"/>
    <x v="3"/>
    <n v="66"/>
    <x v="0"/>
    <s v="Engineer"/>
    <x v="0"/>
    <n v="163273"/>
    <x v="1"/>
    <x v="3"/>
    <s v="Jan-2016"/>
    <n v="10"/>
    <x v="3"/>
    <x v="366"/>
  </r>
  <r>
    <s v="CUST0395"/>
    <s v="Patricia Bush"/>
    <x v="0"/>
    <x v="0"/>
    <n v="31"/>
    <x v="3"/>
    <s v="Banker"/>
    <x v="2"/>
    <n v="49426"/>
    <x v="0"/>
    <x v="0"/>
    <s v="Mar-2024"/>
    <n v="1"/>
    <x v="5"/>
    <x v="367"/>
  </r>
  <r>
    <s v="CUST0396"/>
    <s v="Daniel Bradley"/>
    <x v="1"/>
    <x v="0"/>
    <n v="32"/>
    <x v="2"/>
    <s v="Teacher"/>
    <x v="2"/>
    <n v="37778"/>
    <x v="1"/>
    <x v="1"/>
    <s v="Jun-2022"/>
    <n v="3"/>
    <x v="8"/>
    <x v="293"/>
  </r>
  <r>
    <s v="CUST0397"/>
    <s v="Amanda Walls"/>
    <x v="1"/>
    <x v="1"/>
    <n v="48"/>
    <x v="2"/>
    <s v="Retired"/>
    <x v="0"/>
    <n v="196313"/>
    <x v="1"/>
    <x v="1"/>
    <s v="Dec-2020"/>
    <n v="5"/>
    <x v="9"/>
    <x v="368"/>
  </r>
  <r>
    <s v="CUST0398"/>
    <s v="Elizabeth Green"/>
    <x v="1"/>
    <x v="2"/>
    <n v="18"/>
    <x v="1"/>
    <s v="Teacher"/>
    <x v="1"/>
    <n v="62229"/>
    <x v="1"/>
    <x v="0"/>
    <s v="Aug-2023"/>
    <n v="2"/>
    <x v="0"/>
    <x v="369"/>
  </r>
  <r>
    <s v="CUST0399"/>
    <s v="Kevin Hughes"/>
    <x v="1"/>
    <x v="3"/>
    <n v="70"/>
    <x v="2"/>
    <s v="Retired"/>
    <x v="0"/>
    <n v="106652"/>
    <x v="0"/>
    <x v="0"/>
    <s v="Feb-2025"/>
    <n v="1"/>
    <x v="7"/>
    <x v="370"/>
  </r>
  <r>
    <s v="CUST0400"/>
    <s v="Timothy Brewer MD"/>
    <x v="0"/>
    <x v="3"/>
    <n v="71"/>
    <x v="3"/>
    <s v="Engineer"/>
    <x v="0"/>
    <n v="148267"/>
    <x v="0"/>
    <x v="3"/>
    <s v="Feb-2017"/>
    <n v="9"/>
    <x v="4"/>
    <x v="371"/>
  </r>
  <r>
    <s v="CUST0401"/>
    <s v="Kelsey Rodriguez"/>
    <x v="1"/>
    <x v="3"/>
    <n v="71"/>
    <x v="2"/>
    <s v="Retired"/>
    <x v="0"/>
    <n v="199436"/>
    <x v="2"/>
    <x v="1"/>
    <s v="Sep-2020"/>
    <n v="5"/>
    <x v="9"/>
    <x v="372"/>
  </r>
  <r>
    <s v="CUST0402"/>
    <s v="Brandon Dominguez"/>
    <x v="1"/>
    <x v="2"/>
    <n v="20"/>
    <x v="1"/>
    <s v="Teacher"/>
    <x v="0"/>
    <n v="146503"/>
    <x v="0"/>
    <x v="1"/>
    <s v="Apr-2021"/>
    <n v="4"/>
    <x v="1"/>
    <x v="373"/>
  </r>
  <r>
    <s v="CUST0403"/>
    <s v="Amy Moreno"/>
    <x v="0"/>
    <x v="0"/>
    <n v="33"/>
    <x v="0"/>
    <s v="Banker"/>
    <x v="0"/>
    <n v="104878"/>
    <x v="0"/>
    <x v="2"/>
    <s v="Feb-2019"/>
    <n v="7"/>
    <x v="6"/>
    <x v="374"/>
  </r>
  <r>
    <s v="CUST0404"/>
    <s v="Jessica Lee"/>
    <x v="0"/>
    <x v="0"/>
    <n v="40"/>
    <x v="3"/>
    <s v="Student"/>
    <x v="1"/>
    <n v="77056"/>
    <x v="0"/>
    <x v="1"/>
    <s v="Mar-2021"/>
    <n v="5"/>
    <x v="1"/>
    <x v="375"/>
  </r>
  <r>
    <s v="CUST0405"/>
    <s v="Morgan Douglas"/>
    <x v="1"/>
    <x v="3"/>
    <n v="74"/>
    <x v="0"/>
    <s v="Teacher"/>
    <x v="0"/>
    <n v="178562"/>
    <x v="0"/>
    <x v="0"/>
    <s v="Nov-2023"/>
    <n v="2"/>
    <x v="0"/>
    <x v="376"/>
  </r>
  <r>
    <s v="CUST0406"/>
    <s v="Katherine Freeman"/>
    <x v="1"/>
    <x v="2"/>
    <n v="28"/>
    <x v="1"/>
    <s v="Retired"/>
    <x v="2"/>
    <n v="39975"/>
    <x v="1"/>
    <x v="1"/>
    <s v="Dec-2022"/>
    <n v="3"/>
    <x v="8"/>
    <x v="377"/>
  </r>
  <r>
    <s v="CUST0407"/>
    <s v="Tammy Jackson"/>
    <x v="1"/>
    <x v="0"/>
    <n v="29"/>
    <x v="1"/>
    <s v="Student"/>
    <x v="0"/>
    <n v="177795"/>
    <x v="2"/>
    <x v="2"/>
    <s v="Dec-2017"/>
    <n v="8"/>
    <x v="4"/>
    <x v="378"/>
  </r>
  <r>
    <s v="CUST0408"/>
    <s v="Roger Koch"/>
    <x v="1"/>
    <x v="2"/>
    <n v="27"/>
    <x v="1"/>
    <s v="Retired"/>
    <x v="0"/>
    <n v="174351"/>
    <x v="0"/>
    <x v="3"/>
    <s v="Jul-2016"/>
    <n v="9"/>
    <x v="3"/>
    <x v="379"/>
  </r>
  <r>
    <s v="CUST0409"/>
    <s v="Shannon Moss"/>
    <x v="1"/>
    <x v="1"/>
    <n v="49"/>
    <x v="0"/>
    <s v="Banker"/>
    <x v="0"/>
    <n v="162633"/>
    <x v="0"/>
    <x v="2"/>
    <s v="Sep-2019"/>
    <n v="6"/>
    <x v="6"/>
    <x v="380"/>
  </r>
  <r>
    <s v="CUST0410"/>
    <s v="Shelley Moss"/>
    <x v="1"/>
    <x v="0"/>
    <n v="33"/>
    <x v="0"/>
    <s v="Retired"/>
    <x v="0"/>
    <n v="108397"/>
    <x v="0"/>
    <x v="3"/>
    <s v="Aug-2016"/>
    <n v="9"/>
    <x v="3"/>
    <x v="381"/>
  </r>
  <r>
    <s v="CUST0411"/>
    <s v="Darren Morgan"/>
    <x v="0"/>
    <x v="2"/>
    <n v="25"/>
    <x v="0"/>
    <s v="Engineer"/>
    <x v="2"/>
    <n v="53142"/>
    <x v="1"/>
    <x v="2"/>
    <s v="Nov-2018"/>
    <n v="7"/>
    <x v="2"/>
    <x v="382"/>
  </r>
  <r>
    <s v="CUST0412"/>
    <s v="Jackie Bell"/>
    <x v="1"/>
    <x v="1"/>
    <n v="55"/>
    <x v="0"/>
    <s v="Doctor"/>
    <x v="2"/>
    <n v="46916"/>
    <x v="1"/>
    <x v="0"/>
    <s v="Nov-2024"/>
    <n v="1"/>
    <x v="5"/>
    <x v="383"/>
  </r>
  <r>
    <s v="CUST0413"/>
    <s v="Kristen Petersen"/>
    <x v="1"/>
    <x v="0"/>
    <n v="29"/>
    <x v="1"/>
    <s v="Teacher"/>
    <x v="1"/>
    <n v="84324"/>
    <x v="0"/>
    <x v="1"/>
    <s v="Feb-2023"/>
    <n v="3"/>
    <x v="0"/>
    <x v="384"/>
  </r>
  <r>
    <s v="CUST0414"/>
    <s v="Jennifer Mercado"/>
    <x v="0"/>
    <x v="0"/>
    <n v="41"/>
    <x v="1"/>
    <s v="Doctor"/>
    <x v="0"/>
    <n v="196037"/>
    <x v="1"/>
    <x v="3"/>
    <s v="Mar-2016"/>
    <n v="9"/>
    <x v="3"/>
    <x v="70"/>
  </r>
  <r>
    <s v="CUST0415"/>
    <s v="Kyle Rodriguez"/>
    <x v="0"/>
    <x v="1"/>
    <n v="45"/>
    <x v="3"/>
    <s v="Retired"/>
    <x v="0"/>
    <n v="145932"/>
    <x v="1"/>
    <x v="0"/>
    <s v="Aug-2025"/>
    <n v="0"/>
    <x v="7"/>
    <x v="385"/>
  </r>
  <r>
    <s v="CUST0416"/>
    <s v="Jose Mayer"/>
    <x v="0"/>
    <x v="3"/>
    <n v="70"/>
    <x v="3"/>
    <s v="Banker"/>
    <x v="0"/>
    <n v="155720"/>
    <x v="1"/>
    <x v="2"/>
    <s v="Oct-2017"/>
    <n v="8"/>
    <x v="4"/>
    <x v="386"/>
  </r>
  <r>
    <s v="CUST0417"/>
    <s v="Logan Fleming"/>
    <x v="0"/>
    <x v="2"/>
    <n v="25"/>
    <x v="0"/>
    <s v="Teacher"/>
    <x v="0"/>
    <n v="186205"/>
    <x v="2"/>
    <x v="0"/>
    <s v="Oct-2024"/>
    <n v="1"/>
    <x v="5"/>
    <x v="387"/>
  </r>
  <r>
    <s v="CUST0418"/>
    <s v="Cameron Cox"/>
    <x v="1"/>
    <x v="1"/>
    <n v="45"/>
    <x v="2"/>
    <s v="Retired"/>
    <x v="0"/>
    <n v="116059"/>
    <x v="0"/>
    <x v="2"/>
    <s v="Nov-2018"/>
    <n v="7"/>
    <x v="2"/>
    <x v="388"/>
  </r>
  <r>
    <s v="CUST0419"/>
    <s v="Kimberly Lopez"/>
    <x v="1"/>
    <x v="1"/>
    <n v="53"/>
    <x v="2"/>
    <s v="Student"/>
    <x v="0"/>
    <n v="118317"/>
    <x v="1"/>
    <x v="3"/>
    <s v="Mar-2017"/>
    <n v="9"/>
    <x v="4"/>
    <x v="389"/>
  </r>
  <r>
    <s v="CUST0420"/>
    <s v="James Edwards"/>
    <x v="1"/>
    <x v="0"/>
    <n v="43"/>
    <x v="1"/>
    <s v="Trader"/>
    <x v="2"/>
    <n v="55046"/>
    <x v="0"/>
    <x v="1"/>
    <s v="Apr-2021"/>
    <n v="4"/>
    <x v="1"/>
    <x v="390"/>
  </r>
  <r>
    <s v="CUST0421"/>
    <s v="Jon Russell"/>
    <x v="1"/>
    <x v="2"/>
    <n v="25"/>
    <x v="1"/>
    <s v="Retired"/>
    <x v="0"/>
    <n v="198136"/>
    <x v="1"/>
    <x v="3"/>
    <s v="Jul-2016"/>
    <n v="9"/>
    <x v="3"/>
    <x v="31"/>
  </r>
  <r>
    <s v="CUST0422"/>
    <s v="Amanda Thompson"/>
    <x v="1"/>
    <x v="3"/>
    <n v="67"/>
    <x v="1"/>
    <s v="Doctor"/>
    <x v="0"/>
    <n v="121459"/>
    <x v="1"/>
    <x v="1"/>
    <s v="Nov-2021"/>
    <n v="4"/>
    <x v="1"/>
    <x v="391"/>
  </r>
  <r>
    <s v="CUST0423"/>
    <s v="Matthew Martinez"/>
    <x v="1"/>
    <x v="1"/>
    <n v="45"/>
    <x v="3"/>
    <s v="Teacher"/>
    <x v="1"/>
    <n v="65893"/>
    <x v="1"/>
    <x v="1"/>
    <s v="Nov-2021"/>
    <n v="4"/>
    <x v="1"/>
    <x v="32"/>
  </r>
  <r>
    <s v="CUST0424"/>
    <s v="Matthew Martinez"/>
    <x v="0"/>
    <x v="1"/>
    <n v="45"/>
    <x v="3"/>
    <s v="Doctor"/>
    <x v="0"/>
    <n v="121520"/>
    <x v="1"/>
    <x v="1"/>
    <s v="Oct-2020"/>
    <n v="5"/>
    <x v="9"/>
    <x v="392"/>
  </r>
  <r>
    <s v="CUST0425"/>
    <s v="Gregory Scott"/>
    <x v="1"/>
    <x v="1"/>
    <n v="54"/>
    <x v="1"/>
    <s v="Teacher"/>
    <x v="0"/>
    <n v="145818"/>
    <x v="0"/>
    <x v="2"/>
    <s v="Jul-2017"/>
    <n v="8"/>
    <x v="4"/>
    <x v="73"/>
  </r>
  <r>
    <s v="CUST0426"/>
    <s v="Michele Wood"/>
    <x v="0"/>
    <x v="1"/>
    <n v="58"/>
    <x v="1"/>
    <s v="Retired"/>
    <x v="1"/>
    <n v="81272"/>
    <x v="0"/>
    <x v="3"/>
    <s v="Jan-2017"/>
    <n v="9"/>
    <x v="4"/>
    <x v="393"/>
  </r>
  <r>
    <s v="CUST0427"/>
    <s v="Juan Reed"/>
    <x v="0"/>
    <x v="1"/>
    <n v="53"/>
    <x v="1"/>
    <s v="Engineer"/>
    <x v="1"/>
    <n v="87649"/>
    <x v="2"/>
    <x v="0"/>
    <s v="May-2023"/>
    <n v="2"/>
    <x v="0"/>
    <x v="394"/>
  </r>
  <r>
    <s v="CUST0428"/>
    <s v="Michelle Lyons"/>
    <x v="1"/>
    <x v="0"/>
    <n v="44"/>
    <x v="2"/>
    <s v="Student"/>
    <x v="1"/>
    <n v="84674"/>
    <x v="2"/>
    <x v="2"/>
    <s v="Jun-2019"/>
    <n v="6"/>
    <x v="6"/>
    <x v="395"/>
  </r>
  <r>
    <s v="CUST0429"/>
    <s v="Courtney Carr"/>
    <x v="0"/>
    <x v="3"/>
    <n v="71"/>
    <x v="3"/>
    <s v="Retired"/>
    <x v="0"/>
    <n v="164832"/>
    <x v="0"/>
    <x v="2"/>
    <s v="Aug-2017"/>
    <n v="8"/>
    <x v="4"/>
    <x v="192"/>
  </r>
  <r>
    <s v="CUST0430"/>
    <s v="Mary Clark"/>
    <x v="1"/>
    <x v="0"/>
    <n v="34"/>
    <x v="2"/>
    <s v="Doctor"/>
    <x v="0"/>
    <n v="172999"/>
    <x v="0"/>
    <x v="2"/>
    <s v="Jun-2017"/>
    <n v="8"/>
    <x v="4"/>
    <x v="396"/>
  </r>
  <r>
    <s v="CUST0431"/>
    <s v="Dana Robinson"/>
    <x v="0"/>
    <x v="2"/>
    <n v="26"/>
    <x v="2"/>
    <s v="Trader"/>
    <x v="0"/>
    <n v="106475"/>
    <x v="0"/>
    <x v="0"/>
    <s v="Jul-2023"/>
    <n v="2"/>
    <x v="0"/>
    <x v="397"/>
  </r>
  <r>
    <s v="CUST0432"/>
    <s v="Zachary Vasquez"/>
    <x v="1"/>
    <x v="1"/>
    <n v="50"/>
    <x v="1"/>
    <s v="Trader"/>
    <x v="1"/>
    <n v="81367"/>
    <x v="1"/>
    <x v="2"/>
    <s v="Jun-2017"/>
    <n v="8"/>
    <x v="4"/>
    <x v="398"/>
  </r>
  <r>
    <s v="CUST0433"/>
    <s v="Brendan Shepard MD"/>
    <x v="0"/>
    <x v="3"/>
    <n v="70"/>
    <x v="1"/>
    <s v="Banker"/>
    <x v="0"/>
    <n v="163660"/>
    <x v="1"/>
    <x v="2"/>
    <s v="Nov-2019"/>
    <n v="6"/>
    <x v="6"/>
    <x v="399"/>
  </r>
  <r>
    <s v="CUST0434"/>
    <s v="Elizabeth Sanford"/>
    <x v="1"/>
    <x v="0"/>
    <n v="37"/>
    <x v="0"/>
    <s v="Teacher"/>
    <x v="0"/>
    <n v="141750"/>
    <x v="0"/>
    <x v="2"/>
    <s v="May-2019"/>
    <n v="6"/>
    <x v="6"/>
    <x v="400"/>
  </r>
  <r>
    <s v="CUST0435"/>
    <s v="Jennifer Jenkins"/>
    <x v="1"/>
    <x v="0"/>
    <n v="30"/>
    <x v="0"/>
    <s v="Doctor"/>
    <x v="0"/>
    <n v="138154"/>
    <x v="0"/>
    <x v="1"/>
    <s v="Dec-2022"/>
    <n v="3"/>
    <x v="8"/>
    <x v="355"/>
  </r>
  <r>
    <s v="CUST0436"/>
    <s v="Victor Tran"/>
    <x v="1"/>
    <x v="1"/>
    <n v="45"/>
    <x v="2"/>
    <s v="Banker"/>
    <x v="1"/>
    <n v="64738"/>
    <x v="1"/>
    <x v="2"/>
    <s v="Oct-2019"/>
    <n v="6"/>
    <x v="6"/>
    <x v="401"/>
  </r>
  <r>
    <s v="CUST0437"/>
    <s v="Scott Crosby"/>
    <x v="1"/>
    <x v="3"/>
    <n v="65"/>
    <x v="3"/>
    <s v="Doctor"/>
    <x v="2"/>
    <n v="53397"/>
    <x v="1"/>
    <x v="0"/>
    <s v="Dec-2023"/>
    <n v="2"/>
    <x v="0"/>
    <x v="402"/>
  </r>
  <r>
    <s v="CUST0438"/>
    <s v="Monica Perez"/>
    <x v="1"/>
    <x v="1"/>
    <n v="46"/>
    <x v="1"/>
    <s v="Teacher"/>
    <x v="0"/>
    <n v="102189"/>
    <x v="0"/>
    <x v="0"/>
    <s v="Apr-2023"/>
    <n v="2"/>
    <x v="0"/>
    <x v="403"/>
  </r>
  <r>
    <s v="CUST0439"/>
    <s v="Mallory Miller"/>
    <x v="0"/>
    <x v="0"/>
    <n v="30"/>
    <x v="1"/>
    <s v="Retired"/>
    <x v="1"/>
    <n v="96367"/>
    <x v="0"/>
    <x v="0"/>
    <s v="Feb-2024"/>
    <n v="2"/>
    <x v="5"/>
    <x v="404"/>
  </r>
  <r>
    <s v="CUST0440"/>
    <s v="Kyle Perry"/>
    <x v="0"/>
    <x v="3"/>
    <n v="63"/>
    <x v="2"/>
    <s v="Retired"/>
    <x v="0"/>
    <n v="140585"/>
    <x v="0"/>
    <x v="2"/>
    <s v="Jun-2018"/>
    <n v="7"/>
    <x v="2"/>
    <x v="405"/>
  </r>
  <r>
    <s v="CUST0441"/>
    <s v="Emily Sellers"/>
    <x v="0"/>
    <x v="1"/>
    <n v="52"/>
    <x v="0"/>
    <s v="Trader"/>
    <x v="1"/>
    <n v="96619"/>
    <x v="0"/>
    <x v="1"/>
    <s v="Feb-2023"/>
    <n v="3"/>
    <x v="0"/>
    <x v="406"/>
  </r>
  <r>
    <s v="CUST0442"/>
    <s v="Keith Rodriguez"/>
    <x v="1"/>
    <x v="2"/>
    <n v="23"/>
    <x v="3"/>
    <s v="Retired"/>
    <x v="0"/>
    <n v="131453"/>
    <x v="0"/>
    <x v="1"/>
    <s v="May-2022"/>
    <n v="3"/>
    <x v="8"/>
    <x v="407"/>
  </r>
  <r>
    <s v="CUST0443"/>
    <s v="Daniel Crawford"/>
    <x v="0"/>
    <x v="0"/>
    <n v="35"/>
    <x v="0"/>
    <s v="Retired"/>
    <x v="2"/>
    <n v="39816"/>
    <x v="1"/>
    <x v="2"/>
    <s v="Jul-2018"/>
    <n v="7"/>
    <x v="2"/>
    <x v="408"/>
  </r>
  <r>
    <s v="CUST0444"/>
    <s v="Jason Smith"/>
    <x v="1"/>
    <x v="3"/>
    <n v="68"/>
    <x v="0"/>
    <s v="Engineer"/>
    <x v="0"/>
    <n v="193312"/>
    <x v="1"/>
    <x v="2"/>
    <s v="Dec-2017"/>
    <n v="8"/>
    <x v="4"/>
    <x v="409"/>
  </r>
  <r>
    <s v="CUST0445"/>
    <s v="Eric Goodwin"/>
    <x v="1"/>
    <x v="2"/>
    <n v="22"/>
    <x v="0"/>
    <s v="Trader"/>
    <x v="0"/>
    <n v="157348"/>
    <x v="1"/>
    <x v="1"/>
    <s v="Apr-2022"/>
    <n v="3"/>
    <x v="8"/>
    <x v="410"/>
  </r>
  <r>
    <s v="CUST0446"/>
    <s v="Jeffrey Grant"/>
    <x v="0"/>
    <x v="3"/>
    <n v="64"/>
    <x v="0"/>
    <s v="Banker"/>
    <x v="1"/>
    <n v="99530"/>
    <x v="1"/>
    <x v="1"/>
    <s v="Sep-2021"/>
    <n v="4"/>
    <x v="1"/>
    <x v="411"/>
  </r>
  <r>
    <s v="CUST0447"/>
    <s v="Scott Wall"/>
    <x v="0"/>
    <x v="0"/>
    <n v="42"/>
    <x v="1"/>
    <s v="Student"/>
    <x v="0"/>
    <n v="174571"/>
    <x v="0"/>
    <x v="1"/>
    <s v="Mar-2023"/>
    <n v="3"/>
    <x v="0"/>
    <x v="412"/>
  </r>
  <r>
    <s v="CUST0448"/>
    <s v="Alexander Dunn"/>
    <x v="1"/>
    <x v="2"/>
    <n v="19"/>
    <x v="1"/>
    <s v="Engineer"/>
    <x v="0"/>
    <n v="128856"/>
    <x v="0"/>
    <x v="1"/>
    <s v="Oct-2021"/>
    <n v="4"/>
    <x v="1"/>
    <x v="413"/>
  </r>
  <r>
    <s v="CUST0449"/>
    <s v="Heather Allen"/>
    <x v="0"/>
    <x v="2"/>
    <n v="27"/>
    <x v="0"/>
    <s v="Banker"/>
    <x v="1"/>
    <n v="91635"/>
    <x v="0"/>
    <x v="1"/>
    <s v="Jul-2020"/>
    <n v="5"/>
    <x v="9"/>
    <x v="414"/>
  </r>
  <r>
    <s v="CUST0450"/>
    <s v="Seth Kent"/>
    <x v="1"/>
    <x v="3"/>
    <n v="73"/>
    <x v="3"/>
    <s v="Teacher"/>
    <x v="0"/>
    <n v="127803"/>
    <x v="0"/>
    <x v="0"/>
    <s v="Jul-2024"/>
    <n v="1"/>
    <x v="5"/>
    <x v="415"/>
  </r>
  <r>
    <s v="CUST0451"/>
    <s v="Audrey Walters"/>
    <x v="1"/>
    <x v="1"/>
    <n v="47"/>
    <x v="2"/>
    <s v="Engineer"/>
    <x v="2"/>
    <n v="55946"/>
    <x v="1"/>
    <x v="3"/>
    <s v="Jul-2016"/>
    <n v="9"/>
    <x v="3"/>
    <x v="416"/>
  </r>
  <r>
    <s v="CUST0452"/>
    <s v="Mary Fletcher"/>
    <x v="1"/>
    <x v="3"/>
    <n v="67"/>
    <x v="3"/>
    <s v="Banker"/>
    <x v="1"/>
    <n v="75204"/>
    <x v="2"/>
    <x v="0"/>
    <s v="Apr-2024"/>
    <n v="1"/>
    <x v="5"/>
    <x v="417"/>
  </r>
  <r>
    <s v="CUST0453"/>
    <s v="Renee Williams"/>
    <x v="1"/>
    <x v="3"/>
    <n v="62"/>
    <x v="3"/>
    <s v="Teacher"/>
    <x v="2"/>
    <n v="35563"/>
    <x v="0"/>
    <x v="2"/>
    <s v="Jul-2019"/>
    <n v="6"/>
    <x v="6"/>
    <x v="418"/>
  </r>
  <r>
    <s v="CUST0454"/>
    <s v="Ashley Young"/>
    <x v="1"/>
    <x v="2"/>
    <n v="22"/>
    <x v="3"/>
    <s v="Trader"/>
    <x v="0"/>
    <n v="112324"/>
    <x v="0"/>
    <x v="2"/>
    <s v="Dec-2017"/>
    <n v="8"/>
    <x v="4"/>
    <x v="409"/>
  </r>
  <r>
    <s v="CUST0455"/>
    <s v="Ralph Johnson"/>
    <x v="0"/>
    <x v="3"/>
    <n v="72"/>
    <x v="0"/>
    <s v="Student"/>
    <x v="3"/>
    <n v="29847"/>
    <x v="1"/>
    <x v="1"/>
    <s v="Dec-2021"/>
    <n v="4"/>
    <x v="1"/>
    <x v="419"/>
  </r>
  <r>
    <s v="CUST0456"/>
    <s v="Michael Kramer"/>
    <x v="0"/>
    <x v="3"/>
    <n v="73"/>
    <x v="1"/>
    <s v="Teacher"/>
    <x v="2"/>
    <n v="46155"/>
    <x v="0"/>
    <x v="3"/>
    <s v="Jan-2016"/>
    <n v="10"/>
    <x v="3"/>
    <x v="420"/>
  </r>
  <r>
    <s v="CUST0457"/>
    <s v="Edward Bell"/>
    <x v="1"/>
    <x v="1"/>
    <n v="50"/>
    <x v="3"/>
    <s v="Retired"/>
    <x v="1"/>
    <n v="99671"/>
    <x v="0"/>
    <x v="3"/>
    <s v="Feb-2016"/>
    <n v="10"/>
    <x v="3"/>
    <x v="421"/>
  </r>
  <r>
    <s v="CUST0458"/>
    <s v="Steven Beltran"/>
    <x v="1"/>
    <x v="3"/>
    <n v="71"/>
    <x v="0"/>
    <s v="Doctor"/>
    <x v="0"/>
    <n v="136891"/>
    <x v="1"/>
    <x v="0"/>
    <s v="Jun-2024"/>
    <n v="1"/>
    <x v="5"/>
    <x v="422"/>
  </r>
  <r>
    <s v="CUST0459"/>
    <s v="Raymond Holmes"/>
    <x v="0"/>
    <x v="2"/>
    <n v="18"/>
    <x v="3"/>
    <s v="Teacher"/>
    <x v="0"/>
    <n v="103310"/>
    <x v="1"/>
    <x v="2"/>
    <s v="Jan-2020"/>
    <n v="6"/>
    <x v="9"/>
    <x v="423"/>
  </r>
  <r>
    <s v="CUST0460"/>
    <s v="Katherine Cohen"/>
    <x v="0"/>
    <x v="0"/>
    <n v="35"/>
    <x v="3"/>
    <s v="Teacher"/>
    <x v="0"/>
    <n v="169381"/>
    <x v="0"/>
    <x v="1"/>
    <s v="Jun-2021"/>
    <n v="4"/>
    <x v="1"/>
    <x v="424"/>
  </r>
  <r>
    <s v="CUST0461"/>
    <s v="Tiffany Lam"/>
    <x v="1"/>
    <x v="1"/>
    <n v="49"/>
    <x v="0"/>
    <s v="Student"/>
    <x v="0"/>
    <n v="151691"/>
    <x v="0"/>
    <x v="2"/>
    <s v="Oct-2018"/>
    <n v="7"/>
    <x v="2"/>
    <x v="425"/>
  </r>
  <r>
    <s v="CUST0462"/>
    <s v="Lisa Strickland"/>
    <x v="0"/>
    <x v="3"/>
    <n v="64"/>
    <x v="1"/>
    <s v="Doctor"/>
    <x v="2"/>
    <n v="54707"/>
    <x v="1"/>
    <x v="2"/>
    <s v="Sep-2019"/>
    <n v="6"/>
    <x v="6"/>
    <x v="426"/>
  </r>
  <r>
    <s v="CUST0463"/>
    <s v="Dr. Heather White"/>
    <x v="1"/>
    <x v="3"/>
    <n v="66"/>
    <x v="1"/>
    <s v="Retired"/>
    <x v="0"/>
    <n v="171409"/>
    <x v="0"/>
    <x v="0"/>
    <s v="Jul-2024"/>
    <n v="1"/>
    <x v="5"/>
    <x v="427"/>
  </r>
  <r>
    <s v="CUST0464"/>
    <s v="Diane Nelson"/>
    <x v="0"/>
    <x v="2"/>
    <n v="28"/>
    <x v="2"/>
    <s v="Banker"/>
    <x v="0"/>
    <n v="101537"/>
    <x v="0"/>
    <x v="2"/>
    <s v="Oct-2017"/>
    <n v="8"/>
    <x v="4"/>
    <x v="428"/>
  </r>
  <r>
    <s v="CUST0465"/>
    <s v="Janet Ray"/>
    <x v="1"/>
    <x v="0"/>
    <n v="38"/>
    <x v="0"/>
    <s v="Banker"/>
    <x v="0"/>
    <n v="198686"/>
    <x v="1"/>
    <x v="0"/>
    <s v="May-2025"/>
    <n v="0"/>
    <x v="7"/>
    <x v="429"/>
  </r>
  <r>
    <s v="CUST0466"/>
    <s v="Tammy Taylor"/>
    <x v="0"/>
    <x v="0"/>
    <n v="43"/>
    <x v="2"/>
    <s v="Teacher"/>
    <x v="0"/>
    <n v="111155"/>
    <x v="0"/>
    <x v="1"/>
    <s v="Jul-2022"/>
    <n v="3"/>
    <x v="8"/>
    <x v="22"/>
  </r>
  <r>
    <s v="CUST0467"/>
    <s v="Dr. Christina Erickson"/>
    <x v="1"/>
    <x v="0"/>
    <n v="42"/>
    <x v="2"/>
    <s v="Doctor"/>
    <x v="3"/>
    <n v="20281"/>
    <x v="1"/>
    <x v="1"/>
    <s v="Oct-2021"/>
    <n v="4"/>
    <x v="1"/>
    <x v="430"/>
  </r>
  <r>
    <s v="CUST0468"/>
    <s v="Matthew Kane"/>
    <x v="0"/>
    <x v="0"/>
    <n v="39"/>
    <x v="2"/>
    <s v="Doctor"/>
    <x v="0"/>
    <n v="178492"/>
    <x v="0"/>
    <x v="0"/>
    <s v="Jan-2024"/>
    <n v="2"/>
    <x v="5"/>
    <x v="431"/>
  </r>
  <r>
    <s v="CUST0469"/>
    <s v="Michael Davies"/>
    <x v="0"/>
    <x v="0"/>
    <n v="44"/>
    <x v="1"/>
    <s v="Retired"/>
    <x v="0"/>
    <n v="190102"/>
    <x v="2"/>
    <x v="2"/>
    <s v="Aug-2017"/>
    <n v="8"/>
    <x v="4"/>
    <x v="432"/>
  </r>
  <r>
    <s v="CUST0470"/>
    <s v="Jason Garcia"/>
    <x v="1"/>
    <x v="3"/>
    <n v="66"/>
    <x v="0"/>
    <s v="Student"/>
    <x v="0"/>
    <n v="152130"/>
    <x v="0"/>
    <x v="1"/>
    <s v="May-2021"/>
    <n v="4"/>
    <x v="1"/>
    <x v="433"/>
  </r>
  <r>
    <s v="CUST0471"/>
    <s v="Roger Johnson"/>
    <x v="0"/>
    <x v="0"/>
    <n v="30"/>
    <x v="2"/>
    <s v="Trader"/>
    <x v="1"/>
    <n v="96260"/>
    <x v="0"/>
    <x v="0"/>
    <s v="Jan-2025"/>
    <n v="1"/>
    <x v="7"/>
    <x v="434"/>
  </r>
  <r>
    <s v="CUST0472"/>
    <s v="Anna Mitchell"/>
    <x v="1"/>
    <x v="1"/>
    <n v="50"/>
    <x v="0"/>
    <s v="Banker"/>
    <x v="0"/>
    <n v="179476"/>
    <x v="0"/>
    <x v="2"/>
    <s v="Sep-2018"/>
    <n v="7"/>
    <x v="2"/>
    <x v="435"/>
  </r>
  <r>
    <s v="CUST0473"/>
    <s v="Tina Lowery"/>
    <x v="0"/>
    <x v="1"/>
    <n v="51"/>
    <x v="0"/>
    <s v="Student"/>
    <x v="0"/>
    <n v="180928"/>
    <x v="0"/>
    <x v="1"/>
    <s v="Sep-2020"/>
    <n v="5"/>
    <x v="9"/>
    <x v="436"/>
  </r>
  <r>
    <s v="CUST0474"/>
    <s v="Gregory Bauer"/>
    <x v="1"/>
    <x v="1"/>
    <n v="58"/>
    <x v="1"/>
    <s v="Engineer"/>
    <x v="0"/>
    <n v="160272"/>
    <x v="1"/>
    <x v="2"/>
    <s v="Sep-2019"/>
    <n v="6"/>
    <x v="6"/>
    <x v="209"/>
  </r>
  <r>
    <s v="CUST0475"/>
    <s v="Frank Le"/>
    <x v="0"/>
    <x v="1"/>
    <n v="52"/>
    <x v="2"/>
    <s v="Banker"/>
    <x v="1"/>
    <n v="84178"/>
    <x v="2"/>
    <x v="1"/>
    <s v="Oct-2020"/>
    <n v="5"/>
    <x v="9"/>
    <x v="437"/>
  </r>
  <r>
    <s v="CUST0476"/>
    <s v="William Brown"/>
    <x v="1"/>
    <x v="2"/>
    <n v="18"/>
    <x v="2"/>
    <s v="Student"/>
    <x v="2"/>
    <n v="53997"/>
    <x v="0"/>
    <x v="2"/>
    <s v="Jan-2019"/>
    <n v="7"/>
    <x v="6"/>
    <x v="438"/>
  </r>
  <r>
    <s v="CUST0477"/>
    <s v="Deborah King"/>
    <x v="0"/>
    <x v="0"/>
    <n v="38"/>
    <x v="0"/>
    <s v="Banker"/>
    <x v="0"/>
    <n v="176683"/>
    <x v="0"/>
    <x v="3"/>
    <s v="Nov-2015"/>
    <n v="10"/>
    <x v="10"/>
    <x v="439"/>
  </r>
  <r>
    <s v="CUST0478"/>
    <s v="Louis Palmer"/>
    <x v="1"/>
    <x v="3"/>
    <n v="65"/>
    <x v="3"/>
    <s v="Trader"/>
    <x v="0"/>
    <n v="139273"/>
    <x v="1"/>
    <x v="3"/>
    <s v="Aug-2016"/>
    <n v="9"/>
    <x v="3"/>
    <x v="440"/>
  </r>
  <r>
    <s v="CUST0479"/>
    <s v="David Watson"/>
    <x v="0"/>
    <x v="3"/>
    <n v="72"/>
    <x v="1"/>
    <s v="Engineer"/>
    <x v="0"/>
    <n v="192307"/>
    <x v="1"/>
    <x v="1"/>
    <s v="Oct-2020"/>
    <n v="5"/>
    <x v="9"/>
    <x v="226"/>
  </r>
  <r>
    <s v="CUST0480"/>
    <s v="Lisa Crawford"/>
    <x v="1"/>
    <x v="2"/>
    <n v="23"/>
    <x v="1"/>
    <s v="Trader"/>
    <x v="0"/>
    <n v="186129"/>
    <x v="0"/>
    <x v="0"/>
    <s v="Jul-2024"/>
    <n v="1"/>
    <x v="5"/>
    <x v="441"/>
  </r>
  <r>
    <s v="CUST0481"/>
    <s v="Carolyn Evans"/>
    <x v="1"/>
    <x v="1"/>
    <n v="45"/>
    <x v="1"/>
    <s v="Retired"/>
    <x v="0"/>
    <n v="152311"/>
    <x v="0"/>
    <x v="3"/>
    <s v="Feb-2016"/>
    <n v="10"/>
    <x v="3"/>
    <x v="442"/>
  </r>
  <r>
    <s v="CUST0482"/>
    <s v="Thomas Johnson"/>
    <x v="1"/>
    <x v="0"/>
    <n v="34"/>
    <x v="1"/>
    <s v="Engineer"/>
    <x v="0"/>
    <n v="146945"/>
    <x v="0"/>
    <x v="2"/>
    <s v="Mar-2019"/>
    <n v="6"/>
    <x v="6"/>
    <x v="443"/>
  </r>
  <r>
    <s v="CUST0483"/>
    <s v="Rita Leonard"/>
    <x v="0"/>
    <x v="2"/>
    <n v="22"/>
    <x v="2"/>
    <s v="Teacher"/>
    <x v="1"/>
    <n v="65272"/>
    <x v="1"/>
    <x v="0"/>
    <s v="Aug-2024"/>
    <n v="1"/>
    <x v="5"/>
    <x v="444"/>
  </r>
  <r>
    <s v="CUST0484"/>
    <s v="John Madden"/>
    <x v="1"/>
    <x v="1"/>
    <n v="48"/>
    <x v="2"/>
    <s v="Student"/>
    <x v="0"/>
    <n v="109393"/>
    <x v="0"/>
    <x v="0"/>
    <s v="Jun-2023"/>
    <n v="2"/>
    <x v="0"/>
    <x v="445"/>
  </r>
  <r>
    <s v="CUST0485"/>
    <s v="Christopher Hart"/>
    <x v="0"/>
    <x v="2"/>
    <n v="22"/>
    <x v="3"/>
    <s v="Engineer"/>
    <x v="1"/>
    <n v="81212"/>
    <x v="1"/>
    <x v="2"/>
    <s v="Sep-2018"/>
    <n v="7"/>
    <x v="2"/>
    <x v="446"/>
  </r>
  <r>
    <s v="CUST0486"/>
    <s v="Ronald Craig"/>
    <x v="1"/>
    <x v="1"/>
    <n v="55"/>
    <x v="1"/>
    <s v="Retired"/>
    <x v="0"/>
    <n v="166470"/>
    <x v="0"/>
    <x v="0"/>
    <s v="Nov-2024"/>
    <n v="1"/>
    <x v="5"/>
    <x v="447"/>
  </r>
  <r>
    <s v="CUST0487"/>
    <s v="Christina Young"/>
    <x v="0"/>
    <x v="2"/>
    <n v="20"/>
    <x v="1"/>
    <s v="Retired"/>
    <x v="0"/>
    <n v="140030"/>
    <x v="1"/>
    <x v="1"/>
    <s v="Feb-2023"/>
    <n v="3"/>
    <x v="0"/>
    <x v="448"/>
  </r>
  <r>
    <s v="CUST0488"/>
    <s v="Brendan Daniels"/>
    <x v="1"/>
    <x v="3"/>
    <n v="70"/>
    <x v="0"/>
    <s v="Trader"/>
    <x v="1"/>
    <n v="76503"/>
    <x v="0"/>
    <x v="0"/>
    <s v="Jan-2025"/>
    <n v="1"/>
    <x v="7"/>
    <x v="449"/>
  </r>
  <r>
    <s v="CUST0489"/>
    <s v="Monica Carter"/>
    <x v="0"/>
    <x v="0"/>
    <n v="40"/>
    <x v="2"/>
    <s v="Banker"/>
    <x v="0"/>
    <n v="157710"/>
    <x v="0"/>
    <x v="0"/>
    <s v="Jun-2023"/>
    <n v="2"/>
    <x v="0"/>
    <x v="450"/>
  </r>
  <r>
    <s v="CUST0490"/>
    <s v="Eric Wilson"/>
    <x v="0"/>
    <x v="1"/>
    <n v="54"/>
    <x v="1"/>
    <s v="Engineer"/>
    <x v="3"/>
    <n v="26570"/>
    <x v="0"/>
    <x v="1"/>
    <s v="Aug-2022"/>
    <n v="3"/>
    <x v="8"/>
    <x v="451"/>
  </r>
  <r>
    <s v="CUST0491"/>
    <s v="Gail Bates"/>
    <x v="1"/>
    <x v="3"/>
    <n v="70"/>
    <x v="3"/>
    <s v="Student"/>
    <x v="1"/>
    <n v="88785"/>
    <x v="1"/>
    <x v="1"/>
    <s v="Aug-2022"/>
    <n v="3"/>
    <x v="8"/>
    <x v="452"/>
  </r>
  <r>
    <s v="CUST0492"/>
    <s v="Michelle Allen"/>
    <x v="0"/>
    <x v="1"/>
    <n v="54"/>
    <x v="3"/>
    <s v="Engineer"/>
    <x v="3"/>
    <n v="29110"/>
    <x v="0"/>
    <x v="1"/>
    <s v="Oct-2022"/>
    <n v="3"/>
    <x v="8"/>
    <x v="453"/>
  </r>
  <r>
    <s v="CUST0493"/>
    <s v="Joseph Dean"/>
    <x v="0"/>
    <x v="2"/>
    <n v="27"/>
    <x v="2"/>
    <s v="Doctor"/>
    <x v="1"/>
    <n v="99141"/>
    <x v="0"/>
    <x v="0"/>
    <s v="Apr-2024"/>
    <n v="1"/>
    <x v="5"/>
    <x v="454"/>
  </r>
  <r>
    <s v="CUST0494"/>
    <s v="Hector May"/>
    <x v="1"/>
    <x v="2"/>
    <n v="27"/>
    <x v="3"/>
    <s v="Banker"/>
    <x v="2"/>
    <n v="32115"/>
    <x v="0"/>
    <x v="1"/>
    <s v="Mar-2021"/>
    <n v="5"/>
    <x v="1"/>
    <x v="455"/>
  </r>
  <r>
    <s v="CUST0495"/>
    <s v="Janet Wells"/>
    <x v="0"/>
    <x v="0"/>
    <n v="36"/>
    <x v="3"/>
    <s v="Student"/>
    <x v="2"/>
    <n v="59062"/>
    <x v="0"/>
    <x v="1"/>
    <s v="Jan-2022"/>
    <n v="4"/>
    <x v="8"/>
    <x v="456"/>
  </r>
  <r>
    <s v="CUST0496"/>
    <s v="Morgan Anderson"/>
    <x v="0"/>
    <x v="0"/>
    <n v="34"/>
    <x v="2"/>
    <s v="Student"/>
    <x v="2"/>
    <n v="42911"/>
    <x v="1"/>
    <x v="2"/>
    <s v="Jul-2017"/>
    <n v="8"/>
    <x v="4"/>
    <x v="457"/>
  </r>
  <r>
    <s v="CUST0497"/>
    <s v="Vincent Gray"/>
    <x v="0"/>
    <x v="0"/>
    <n v="38"/>
    <x v="1"/>
    <s v="Teacher"/>
    <x v="0"/>
    <n v="124061"/>
    <x v="1"/>
    <x v="0"/>
    <s v="Jun-2024"/>
    <n v="1"/>
    <x v="5"/>
    <x v="458"/>
  </r>
  <r>
    <s v="CUST0498"/>
    <s v="Yolanda Olson PhD"/>
    <x v="1"/>
    <x v="0"/>
    <n v="31"/>
    <x v="1"/>
    <s v="Trader"/>
    <x v="2"/>
    <n v="52556"/>
    <x v="1"/>
    <x v="3"/>
    <s v="Jul-2016"/>
    <n v="9"/>
    <x v="3"/>
    <x v="459"/>
  </r>
  <r>
    <s v="CUST0499"/>
    <s v="Kayla Kelley"/>
    <x v="0"/>
    <x v="2"/>
    <n v="26"/>
    <x v="3"/>
    <s v="Teacher"/>
    <x v="0"/>
    <n v="148335"/>
    <x v="0"/>
    <x v="0"/>
    <s v="May-2024"/>
    <n v="1"/>
    <x v="5"/>
    <x v="460"/>
  </r>
  <r>
    <s v="CUST0500"/>
    <s v="Olivia Barton"/>
    <x v="1"/>
    <x v="3"/>
    <n v="63"/>
    <x v="3"/>
    <s v="Student"/>
    <x v="3"/>
    <n v="21969"/>
    <x v="1"/>
    <x v="0"/>
    <s v="Jul-2024"/>
    <n v="1"/>
    <x v="5"/>
    <x v="4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6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6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63.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55.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56.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58.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60.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59.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64.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2C858E-AF44-47CA-9984-7ACD59F53AB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4:E46" firstHeaderRow="1" firstDataRow="1" firstDataCol="1"/>
  <pivotFields count="18">
    <pivotField showAll="0"/>
    <pivotField showAll="0"/>
    <pivotField showAll="0"/>
    <pivotField showAll="0">
      <items count="5">
        <item x="3"/>
        <item x="1"/>
        <item x="2"/>
        <item x="0"/>
        <item t="default"/>
      </items>
    </pivotField>
    <pivotField showAll="0"/>
    <pivotField showAll="0"/>
    <pivotField showAll="0"/>
    <pivotField showAll="0"/>
    <pivotField numFmtId="164" showAll="0"/>
    <pivotField showAll="0">
      <items count="4">
        <item x="1"/>
        <item x="2"/>
        <item x="0"/>
        <item t="default"/>
      </items>
    </pivotField>
    <pivotField showAll="0"/>
    <pivotField showAll="0"/>
    <pivotField dataField="1"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7"/>
  </rowFields>
  <rowItems count="12">
    <i>
      <x v="1"/>
    </i>
    <i>
      <x v="2"/>
    </i>
    <i>
      <x v="3"/>
    </i>
    <i>
      <x v="4"/>
    </i>
    <i>
      <x v="5"/>
    </i>
    <i>
      <x v="6"/>
    </i>
    <i>
      <x v="7"/>
    </i>
    <i>
      <x v="8"/>
    </i>
    <i>
      <x v="9"/>
    </i>
    <i>
      <x v="10"/>
    </i>
    <i>
      <x v="11"/>
    </i>
    <i t="grand">
      <x/>
    </i>
  </rowItems>
  <colItems count="1">
    <i/>
  </colItems>
  <dataFields count="1">
    <dataField name="Average of tenure" fld="12" subtotal="average" baseField="15" baseItem="1"/>
  </dataFields>
  <formats count="1">
    <format dxfId="8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DEBD40-6416-4C38-A865-BFD03FF7B2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3:I19" firstHeaderRow="1" firstDataRow="2" firstDataCol="1"/>
  <pivotFields count="18">
    <pivotField dataField="1" showAll="0"/>
    <pivotField showAll="0"/>
    <pivotField showAll="0"/>
    <pivotField axis="axisRow" showAll="0">
      <items count="5">
        <item x="3"/>
        <item x="1"/>
        <item x="2"/>
        <item x="0"/>
        <item t="default"/>
      </items>
    </pivotField>
    <pivotField showAll="0"/>
    <pivotField showAll="0"/>
    <pivotField showAll="0"/>
    <pivotField axis="axisCol" showAll="0">
      <items count="5">
        <item x="1"/>
        <item x="3"/>
        <item x="2"/>
        <item x="0"/>
        <item t="default"/>
      </items>
    </pivotField>
    <pivotField numFmtId="164" showAll="0"/>
    <pivotField showAll="0">
      <items count="4">
        <item x="1"/>
        <item x="2"/>
        <item x="0"/>
        <item t="default"/>
      </items>
    </pivotField>
    <pivotField showAll="0"/>
    <pivotField showAll="0"/>
    <pivotField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5">
    <i>
      <x/>
    </i>
    <i>
      <x v="1"/>
    </i>
    <i>
      <x v="2"/>
    </i>
    <i>
      <x v="3"/>
    </i>
    <i t="grand">
      <x/>
    </i>
  </rowItems>
  <colFields count="1">
    <field x="7"/>
  </colFields>
  <colItems count="5">
    <i>
      <x/>
    </i>
    <i>
      <x v="1"/>
    </i>
    <i>
      <x v="2"/>
    </i>
    <i>
      <x v="3"/>
    </i>
    <i t="grand">
      <x/>
    </i>
  </colItems>
  <dataFields count="1">
    <dataField name="Count of CustomerID" fld="0" subtotal="count" baseField="0" baseItem="0"/>
  </dataFields>
  <formats count="1">
    <format dxfId="88">
      <pivotArea outline="0" collapsedLevelsAreSubtotals="1" fieldPosition="0"/>
    </format>
  </formats>
  <chartFormats count="5">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6A4E65-F899-4533-8C58-04C339D5E3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showAll="0"/>
    <pivotField showAll="0"/>
    <pivotField showAll="0">
      <items count="5">
        <item x="3"/>
        <item x="1"/>
        <item x="2"/>
        <item x="0"/>
        <item t="default"/>
      </items>
    </pivotField>
    <pivotField showAll="0"/>
    <pivotField showAll="0"/>
    <pivotField showAll="0"/>
    <pivotField showAll="0"/>
    <pivotField dataField="1" numFmtId="164" showAll="0"/>
    <pivotField showAll="0">
      <items count="4">
        <item x="1"/>
        <item x="2"/>
        <item x="0"/>
        <item t="default"/>
      </items>
    </pivotField>
    <pivotField showAll="0"/>
    <pivotField showAll="0"/>
    <pivotField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Income" fld="8" subtotal="average" baseField="0" baseItem="0" numFmtId="165"/>
  </dataFields>
  <formats count="1">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FBFF00-2DE5-4EDC-8884-C1DBF4D6E6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6:E11" firstHeaderRow="1" firstDataRow="1" firstDataCol="1"/>
  <pivotFields count="18">
    <pivotField dataField="1" showAll="0"/>
    <pivotField showAll="0"/>
    <pivotField showAll="0"/>
    <pivotField showAll="0">
      <items count="5">
        <item x="3"/>
        <item x="1"/>
        <item x="2"/>
        <item x="0"/>
        <item t="default"/>
      </items>
    </pivotField>
    <pivotField showAll="0"/>
    <pivotField showAll="0"/>
    <pivotField showAll="0"/>
    <pivotField showAll="0"/>
    <pivotField numFmtId="164" showAll="0"/>
    <pivotField showAll="0">
      <items count="4">
        <item x="1"/>
        <item x="2"/>
        <item x="0"/>
        <item t="default"/>
      </items>
    </pivotField>
    <pivotField axis="axisRow" showAll="0">
      <items count="6">
        <item x="1"/>
        <item x="3"/>
        <item x="2"/>
        <item x="0"/>
        <item m="1" x="4"/>
        <item t="default"/>
      </items>
    </pivotField>
    <pivotField showAll="0"/>
    <pivotField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h="1" x="1"/>
        <item h="1" x="2"/>
        <item h="1" x="3"/>
        <item h="1" x="4"/>
        <item h="1" x="5"/>
        <item h="1" x="6"/>
        <item h="1" x="7"/>
        <item h="1" x="8"/>
        <item h="1" x="9"/>
        <item h="1" x="10"/>
        <item h="1" x="11"/>
        <item h="1" x="12"/>
        <item t="default"/>
      </items>
    </pivotField>
  </pivotFields>
  <rowFields count="1">
    <field x="10"/>
  </rowFields>
  <rowItems count="5">
    <i>
      <x/>
    </i>
    <i>
      <x v="1"/>
    </i>
    <i>
      <x v="2"/>
    </i>
    <i>
      <x v="3"/>
    </i>
    <i t="grand">
      <x/>
    </i>
  </rowItems>
  <colItems count="1">
    <i/>
  </colItems>
  <dataFields count="1">
    <dataField name="Count of CustomerID" fld="0" subtotal="count" baseField="0" baseItem="0"/>
  </dataFields>
  <formats count="1">
    <format dxfId="90">
      <pivotArea outline="0" collapsedLevelsAreSubtotals="1" fieldPosition="0"/>
    </format>
  </formats>
  <chartFormats count="5">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0" count="1" selected="0">
            <x v="0"/>
          </reference>
        </references>
      </pivotArea>
    </chartFormat>
    <chartFormat chart="3" format="11">
      <pivotArea type="data" outline="0" fieldPosition="0">
        <references count="2">
          <reference field="4294967294" count="1" selected="0">
            <x v="0"/>
          </reference>
          <reference field="10" count="1" selected="0">
            <x v="1"/>
          </reference>
        </references>
      </pivotArea>
    </chartFormat>
    <chartFormat chart="3" format="12">
      <pivotArea type="data" outline="0" fieldPosition="0">
        <references count="2">
          <reference field="4294967294" count="1" selected="0">
            <x v="0"/>
          </reference>
          <reference field="10" count="1" selected="0">
            <x v="2"/>
          </reference>
        </references>
      </pivotArea>
    </chartFormat>
    <chartFormat chart="3" format="1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CE2E43-6A70-4902-9703-030270AC805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7:B49" firstHeaderRow="1" firstDataRow="1" firstDataCol="1"/>
  <pivotFields count="18">
    <pivotField showAll="0"/>
    <pivotField showAll="0"/>
    <pivotField showAll="0"/>
    <pivotField showAll="0">
      <items count="5">
        <item x="3"/>
        <item x="1"/>
        <item x="2"/>
        <item x="0"/>
        <item t="default"/>
      </items>
    </pivotField>
    <pivotField dataField="1" showAll="0"/>
    <pivotField showAll="0"/>
    <pivotField showAll="0"/>
    <pivotField showAll="0"/>
    <pivotField numFmtId="164" showAll="0"/>
    <pivotField showAll="0">
      <items count="4">
        <item x="1"/>
        <item x="2"/>
        <item x="0"/>
        <item t="default"/>
      </items>
    </pivotField>
    <pivotField showAll="0"/>
    <pivotField showAll="0"/>
    <pivotField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7"/>
  </rowFields>
  <rowItems count="12">
    <i>
      <x v="1"/>
    </i>
    <i>
      <x v="2"/>
    </i>
    <i>
      <x v="3"/>
    </i>
    <i>
      <x v="4"/>
    </i>
    <i>
      <x v="5"/>
    </i>
    <i>
      <x v="6"/>
    </i>
    <i>
      <x v="7"/>
    </i>
    <i>
      <x v="8"/>
    </i>
    <i>
      <x v="9"/>
    </i>
    <i>
      <x v="10"/>
    </i>
    <i>
      <x v="11"/>
    </i>
    <i t="grand">
      <x/>
    </i>
  </rowItems>
  <colItems count="1">
    <i/>
  </colItems>
  <dataFields count="1">
    <dataField name="Average of Age" fld="4" subtotal="average" baseField="15" baseItem="1"/>
  </dataFields>
  <formats count="2">
    <format dxfId="92">
      <pivotArea collapsedLevelsAreSubtotals="1" fieldPosition="0">
        <references count="1">
          <reference field="17" count="11">
            <x v="1"/>
            <x v="2"/>
            <x v="3"/>
            <x v="4"/>
            <x v="5"/>
            <x v="6"/>
            <x v="7"/>
            <x v="8"/>
            <x v="9"/>
            <x v="10"/>
            <x v="11"/>
          </reference>
        </references>
      </pivotArea>
    </format>
    <format dxfId="91">
      <pivotArea grandRow="1" outline="0" collapsedLevelsAreSubtotals="1" fieldPosition="0"/>
    </format>
  </formats>
  <chartFormats count="1">
    <chartFormat chart="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67E016-A192-454D-8A97-CC5AD15A99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0:E24" firstHeaderRow="1" firstDataRow="1" firstDataCol="1"/>
  <pivotFields count="18">
    <pivotField showAll="0"/>
    <pivotField showAll="0"/>
    <pivotField showAll="0"/>
    <pivotField showAll="0">
      <items count="5">
        <item x="3"/>
        <item x="1"/>
        <item x="2"/>
        <item x="0"/>
        <item t="default"/>
      </items>
    </pivotField>
    <pivotField showAll="0"/>
    <pivotField showAll="0"/>
    <pivotField showAll="0"/>
    <pivotField showAll="0"/>
    <pivotField dataField="1" numFmtId="164" showAll="0"/>
    <pivotField axis="axisRow" showAll="0">
      <items count="4">
        <item x="1"/>
        <item x="2"/>
        <item x="0"/>
        <item t="default"/>
      </items>
    </pivotField>
    <pivotField showAll="0"/>
    <pivotField showAll="0"/>
    <pivotField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9"/>
  </rowFields>
  <rowItems count="4">
    <i>
      <x/>
    </i>
    <i>
      <x v="1"/>
    </i>
    <i>
      <x v="2"/>
    </i>
    <i t="grand">
      <x/>
    </i>
  </rowItems>
  <colItems count="1">
    <i/>
  </colItems>
  <dataFields count="1">
    <dataField name="Average of Income" fld="8" subtotal="average" baseField="9" baseItem="0" numFmtId="165"/>
  </dataFields>
  <formats count="1">
    <format dxfId="93">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BFA5E9-583D-4777-8952-D8B42A99831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3:B35" firstHeaderRow="1" firstDataRow="1" firstDataCol="1"/>
  <pivotFields count="18">
    <pivotField showAll="0"/>
    <pivotField showAll="0"/>
    <pivotField showAll="0"/>
    <pivotField showAll="0">
      <items count="5">
        <item x="3"/>
        <item x="1"/>
        <item x="2"/>
        <item x="0"/>
        <item t="default"/>
      </items>
    </pivotField>
    <pivotField showAll="0"/>
    <pivotField showAll="0"/>
    <pivotField showAll="0"/>
    <pivotField showAll="0"/>
    <pivotField dataField="1" numFmtId="164" showAll="0"/>
    <pivotField showAll="0">
      <items count="4">
        <item x="1"/>
        <item x="2"/>
        <item x="0"/>
        <item t="default"/>
      </items>
    </pivotField>
    <pivotField showAll="0"/>
    <pivotField showAll="0"/>
    <pivotField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7"/>
  </rowFields>
  <rowItems count="12">
    <i>
      <x v="1"/>
    </i>
    <i>
      <x v="2"/>
    </i>
    <i>
      <x v="3"/>
    </i>
    <i>
      <x v="4"/>
    </i>
    <i>
      <x v="5"/>
    </i>
    <i>
      <x v="6"/>
    </i>
    <i>
      <x v="7"/>
    </i>
    <i>
      <x v="8"/>
    </i>
    <i>
      <x v="9"/>
    </i>
    <i>
      <x v="10"/>
    </i>
    <i>
      <x v="11"/>
    </i>
    <i t="grand">
      <x/>
    </i>
  </rowItems>
  <colItems count="1">
    <i/>
  </colItems>
  <dataFields count="1">
    <dataField name="Average of Income" fld="8" subtotal="average" baseField="15" baseItem="1" numFmtId="165"/>
  </dataFields>
  <formats count="1">
    <format dxfId="9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5B4129-5C16-4C2B-BCD9-6BD96F70E5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8">
    <pivotField showAll="0"/>
    <pivotField showAll="0"/>
    <pivotField showAll="0"/>
    <pivotField showAll="0">
      <items count="5">
        <item x="3"/>
        <item x="1"/>
        <item x="2"/>
        <item x="0"/>
        <item t="default"/>
      </items>
    </pivotField>
    <pivotField dataField="1" showAll="0"/>
    <pivotField showAll="0"/>
    <pivotField showAll="0"/>
    <pivotField showAll="0"/>
    <pivotField numFmtId="164" showAll="0"/>
    <pivotField showAll="0">
      <items count="4">
        <item x="1"/>
        <item x="2"/>
        <item x="0"/>
        <item t="default"/>
      </items>
    </pivotField>
    <pivotField showAll="0"/>
    <pivotField showAll="0"/>
    <pivotField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Age" fld="4" subtotal="average" baseField="0" baseItem="0" numFmtId="1"/>
  </dataFields>
  <formats count="1">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F34233-05F5-4C58-8983-AEF299D9569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B18" firstHeaderRow="1" firstDataRow="1" firstDataCol="1"/>
  <pivotFields count="18">
    <pivotField dataField="1" showAll="0"/>
    <pivotField showAll="0"/>
    <pivotField showAll="0"/>
    <pivotField showAll="0">
      <items count="5">
        <item x="3"/>
        <item x="1"/>
        <item x="2"/>
        <item x="0"/>
        <item t="default"/>
      </items>
    </pivotField>
    <pivotField showAll="0"/>
    <pivotField showAll="0"/>
    <pivotField showAll="0"/>
    <pivotField showAll="0"/>
    <pivotField numFmtId="164" showAll="0"/>
    <pivotField showAll="0">
      <items count="4">
        <item x="1"/>
        <item x="2"/>
        <item x="0"/>
        <item t="default"/>
      </items>
    </pivotField>
    <pivotField showAll="0"/>
    <pivotField showAll="0"/>
    <pivotField showAll="0"/>
    <pivotField axis="axisRow"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13"/>
  </rowFields>
  <rowItems count="12">
    <i>
      <x/>
    </i>
    <i>
      <x v="1"/>
    </i>
    <i>
      <x v="2"/>
    </i>
    <i>
      <x v="3"/>
    </i>
    <i>
      <x v="4"/>
    </i>
    <i>
      <x v="5"/>
    </i>
    <i>
      <x v="6"/>
    </i>
    <i>
      <x v="7"/>
    </i>
    <i>
      <x v="8"/>
    </i>
    <i>
      <x v="9"/>
    </i>
    <i>
      <x v="10"/>
    </i>
    <i t="grand">
      <x/>
    </i>
  </rowItems>
  <colItems count="1">
    <i/>
  </colItems>
  <dataFields count="1">
    <dataField name="Count of Customer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112058-8D37-418D-9B9A-2D43CB7C16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pivotField showAll="0"/>
    <pivotField showAll="0"/>
    <pivotField showAll="0">
      <items count="5">
        <item x="3"/>
        <item x="1"/>
        <item x="2"/>
        <item x="0"/>
        <item t="default"/>
      </items>
    </pivotField>
    <pivotField showAll="0"/>
    <pivotField showAll="0"/>
    <pivotField showAll="0"/>
    <pivotField showAll="0"/>
    <pivotField numFmtId="164" showAll="0"/>
    <pivotField showAll="0">
      <items count="4">
        <item x="1"/>
        <item x="2"/>
        <item x="0"/>
        <item t="default"/>
      </items>
    </pivotField>
    <pivotField showAll="0"/>
    <pivotField showAll="0"/>
    <pivotField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779BE9-C60D-4F44-B219-4ABC3FCE8E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8">
    <pivotField showAll="0"/>
    <pivotField showAll="0"/>
    <pivotField showAll="0"/>
    <pivotField showAll="0">
      <items count="5">
        <item x="3"/>
        <item x="1"/>
        <item x="2"/>
        <item x="0"/>
        <item t="default"/>
      </items>
    </pivotField>
    <pivotField showAll="0"/>
    <pivotField showAll="0"/>
    <pivotField showAll="0"/>
    <pivotField showAll="0"/>
    <pivotField numFmtId="164" showAll="0"/>
    <pivotField showAll="0">
      <items count="4">
        <item x="1"/>
        <item x="2"/>
        <item x="0"/>
        <item t="default"/>
      </items>
    </pivotField>
    <pivotField showAll="0"/>
    <pivotField showAll="0"/>
    <pivotField dataField="1"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tenure" fld="12" subtotal="average" baseField="0" baseItem="0"/>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3CBA6B-894E-4901-95F8-3056F206494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6:G32" firstHeaderRow="1" firstDataRow="2" firstDataCol="1"/>
  <pivotFields count="18">
    <pivotField dataField="1" showAll="0"/>
    <pivotField showAll="0"/>
    <pivotField axis="axisCol" showAll="0">
      <items count="3">
        <item x="1"/>
        <item x="0"/>
        <item t="default"/>
      </items>
    </pivotField>
    <pivotField showAll="0">
      <items count="5">
        <item x="3"/>
        <item x="1"/>
        <item x="2"/>
        <item x="0"/>
        <item t="default"/>
      </items>
    </pivotField>
    <pivotField showAll="0"/>
    <pivotField axis="axisRow" showAll="0">
      <items count="5">
        <item x="1"/>
        <item x="0"/>
        <item x="3"/>
        <item x="2"/>
        <item t="default"/>
      </items>
    </pivotField>
    <pivotField showAll="0"/>
    <pivotField showAll="0"/>
    <pivotField numFmtId="164" showAll="0"/>
    <pivotField showAll="0">
      <items count="4">
        <item x="1"/>
        <item x="2"/>
        <item x="0"/>
        <item t="default"/>
      </items>
    </pivotField>
    <pivotField showAll="0"/>
    <pivotField showAll="0"/>
    <pivotField showAll="0"/>
    <pivotField showAll="0">
      <items count="12">
        <item x="10"/>
        <item x="3"/>
        <item x="4"/>
        <item x="2"/>
        <item x="6"/>
        <item x="9"/>
        <item x="1"/>
        <item x="8"/>
        <item x="0"/>
        <item x="5"/>
        <item x="7"/>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5"/>
  </rowFields>
  <rowItems count="5">
    <i>
      <x/>
    </i>
    <i>
      <x v="1"/>
    </i>
    <i>
      <x v="2"/>
    </i>
    <i>
      <x v="3"/>
    </i>
    <i t="grand">
      <x/>
    </i>
  </rowItems>
  <colFields count="1">
    <field x="2"/>
  </colFields>
  <colItems count="3">
    <i>
      <x/>
    </i>
    <i>
      <x v="1"/>
    </i>
    <i t="grand">
      <x/>
    </i>
  </colItems>
  <dataFields count="1">
    <dataField name="Count of CustomerID" fld="0" subtotal="count" baseField="0" baseItem="0"/>
  </dataFields>
  <formats count="1">
    <format dxfId="97">
      <pivotArea outline="0" collapsedLevelsAreSubtotals="1" fieldPosition="0"/>
    </format>
  </formats>
  <chartFormats count="3">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2704C8-FB5D-43A1-A5C3-5F8B7A7401CB}" name="PivotTable5" cacheId="14" applyNumberFormats="0" applyBorderFormats="0" applyFontFormats="0" applyPatternFormats="0" applyAlignmentFormats="0" applyWidthHeightFormats="1" dataCaption="Values" tag="ad21b406-e9c4-4f5e-92bc-56aca362a1dd" updatedVersion="8" minRefreshableVersion="3" useAutoFormatting="1" subtotalHiddenItems="1" itemPrintTitles="1" createdVersion="8" indent="0" outline="1" outlineData="1" multipleFieldFilters="0" chartFormat="1">
  <location ref="I30:N34" firstHeaderRow="1" firstDataRow="2" firstDataCol="1"/>
  <pivotFields count="7">
    <pivotField allDrilled="1" subtotalTop="0" showAll="0" dataSourceSort="1" defaultSubtotal="0" defaultAttributeDrillState="1">
      <items count="2">
        <item s="1" x="0"/>
        <item s="1" x="1"/>
      </items>
    </pivotField>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Fields count="1">
    <field x="1"/>
  </colFields>
  <colItems count="5">
    <i>
      <x/>
    </i>
    <i>
      <x v="1"/>
    </i>
    <i>
      <x v="2"/>
    </i>
    <i>
      <x v="3"/>
    </i>
    <i t="grand">
      <x/>
    </i>
  </colItems>
  <dataFields count="1">
    <dataField name="Count of TransID" fld="3" subtotal="count" baseField="0" baseItem="0"/>
  </dataFields>
  <formats count="1">
    <format dxfId="62">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0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activeTabTopLevelEntity name="[transactions]"/>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31FDC3-238D-4DAA-AA0F-C3C5A4F695A0}" name="PivotTable6" cacheId="15" applyNumberFormats="0" applyBorderFormats="0" applyFontFormats="0" applyPatternFormats="0" applyAlignmentFormats="0" applyWidthHeightFormats="1" dataCaption="Values" tag="3644ea95-c495-415b-a7ba-8f458c265a15" updatedVersion="8" minRefreshableVersion="3" useAutoFormatting="1" subtotalHiddenItems="1" itemPrintTitles="1" createdVersion="8" indent="0" outline="1" outlineData="1" multipleFieldFilters="0" chartFormat="7">
  <location ref="I36:J39" firstHeaderRow="1" firstDataRow="1" firstDataCol="1"/>
  <pivotFields count="5">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Average of Credit_Score" fld="1" subtotal="average" baseField="0" baseItem="0"/>
  </dataFields>
  <formats count="1">
    <format dxfId="63">
      <pivotArea outline="0" collapsedLevelsAreSubtotals="1" fieldPosition="0"/>
    </format>
  </formats>
  <chartFormats count="3">
    <chartFormat chart="4"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caption="Average of Loan_Amount"/>
    <pivotHierarchy dragToData="1"/>
    <pivotHierarchy dragToData="1"/>
    <pivotHierarchy dragToData="1" caption="Distinct Count of Accou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activeTabTopLevelEntity name="[transactions]"/>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D004211-54FF-49A6-A436-28C222681D58}" name="PivotTable60" cacheId="16" applyNumberFormats="0" applyBorderFormats="0" applyFontFormats="0" applyPatternFormats="0" applyAlignmentFormats="0" applyWidthHeightFormats="1" dataCaption="Values" tag="bfabff5d-21e6-4773-ae71-76c85d88f9a4" updatedVersion="8" minRefreshableVersion="3" useAutoFormatting="1" subtotalHiddenItems="1" itemPrintTitles="1" createdVersion="8" indent="0" outline="1" outlineData="1" multipleFieldFilters="0" chartFormat="6">
  <location ref="A23:B35" firstHeaderRow="1" firstDataRow="1" firstDataCol="1"/>
  <pivotFields count="7">
    <pivotField allDrilled="1" subtotalTop="0" showAll="0" dataSourceSort="1" defaultSubtotal="0" defaultAttributeDrillState="1">
      <items count="2">
        <item s="1" x="0"/>
        <item s="1" x="1"/>
      </items>
    </pivotField>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Items count="1">
    <i/>
  </colItems>
  <dataFields count="1">
    <dataField name="Average of Credit_Score" fld="3" subtotal="average" baseField="2" baseItem="0" numFmtId="1"/>
  </dataFields>
  <formats count="1">
    <format dxfId="64">
      <pivotArea outline="0" collapsedLevelsAreSubtotals="1" fieldPosition="0"/>
    </format>
  </formats>
  <chartFormats count="3">
    <chartFormat chart="3" format="19"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F5ACBBB-2A32-400E-AFB3-95EBB7626059}" name="PivotTable1" cacheId="19" applyNumberFormats="0" applyBorderFormats="0" applyFontFormats="0" applyPatternFormats="0" applyAlignmentFormats="0" applyWidthHeightFormats="1" dataCaption="Values" tag="27671533-30e4-46a1-8166-a972ca5bd531" updatedVersion="8" minRefreshableVersion="3" useAutoFormatting="1" subtotalHiddenItems="1" itemPrintTitles="1" createdVersion="8" indent="0" outline="1" outlineData="1" multipleFieldFilters="0" chartFormat="1">
  <location ref="K11:M16" firstHeaderRow="0" firstDataRow="1" firstDataCol="1"/>
  <pivotFields count="7">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5">
    <i>
      <x/>
    </i>
    <i>
      <x v="1"/>
    </i>
    <i>
      <x v="2"/>
    </i>
    <i>
      <x v="3"/>
    </i>
    <i t="grand">
      <x/>
    </i>
  </rowItems>
  <colFields count="1">
    <field x="-2"/>
  </colFields>
  <colItems count="2">
    <i>
      <x/>
    </i>
    <i i="1">
      <x v="1"/>
    </i>
  </colItems>
  <dataFields count="2">
    <dataField name="Count of Account_Type" fld="2" subtotal="count" showDataAs="percentOfTotal" baseField="0" baseItem="0" numFmtId="9"/>
    <dataField name="Count of Account_Type2" fld="6" subtotal="count" baseField="0" baseItem="0">
      <extLst>
        <ext xmlns:x14="http://schemas.microsoft.com/office/spreadsheetml/2009/9/main" uri="{E15A36E0-9728-4e99-A89B-3F7291B0FE68}">
          <x14:dataField sourceField="2" uniqueName="[__Xl2].[Measures].[Count of Account_Type]"/>
        </ext>
      </extLst>
    </dataField>
  </dataFields>
  <formats count="3">
    <format dxfId="67">
      <pivotArea outline="0" collapsedLevelsAreSubtotals="1" fieldPosition="0"/>
    </format>
    <format dxfId="66">
      <pivotArea outline="0" fieldPosition="0">
        <references count="1">
          <reference field="4294967294" count="1">
            <x v="0"/>
          </reference>
        </references>
      </pivotArea>
    </format>
    <format dxfId="65">
      <pivotArea outline="0" collapsedLevelsAreSubtotals="1" fieldPosition="0">
        <references count="1">
          <reference field="4294967294" count="1" selected="0">
            <x v="0"/>
          </reference>
        </references>
      </pivotArea>
    </format>
  </formats>
  <pivotHierarchies count="1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3094D84-5AEC-4082-9921-9DE57F51FCFD}" name="PivotTable62"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1:C63" firstHeaderRow="0" firstDataRow="1" firstDataCol="1"/>
  <pivotFields count="8">
    <pivotField allDrilled="1" subtotalTop="0" showAll="0" dataSourceSort="1" defaultSubtotal="0" defaultAttributeDrillState="1">
      <items count="2">
        <item s="1" x="0"/>
        <item s="1" x="1"/>
      </items>
    </pivotField>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Balance" fld="3" baseField="0" baseItem="0"/>
    <dataField name="Count of Account_Type" fld="4" subtotal="count" baseField="0" baseItem="0"/>
  </dataFields>
  <formats count="2">
    <format dxfId="69">
      <pivotArea outline="0" collapsedLevelsAreSubtotals="1" fieldPosition="0"/>
    </format>
    <format dxfId="68">
      <pivotArea outline="0" collapsedLevelsAreSubtotals="1" fieldPosition="0">
        <references count="1">
          <reference field="4294967294" count="1" selected="0">
            <x v="1"/>
          </reference>
        </references>
      </pivotArea>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caption="Average of Loan_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4D87C3C-A24A-4B81-924F-8E7D7D039E37}" name="PivotTable4"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I22:L28" firstHeaderRow="1" firstDataRow="2" firstDataCol="1"/>
  <pivotFields count="7">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x v="1"/>
    </i>
    <i t="grand">
      <x/>
    </i>
  </colItems>
  <dataFields count="1">
    <dataField name="Count of TransID" fld="3" subtotal="count" baseField="0" baseItem="0"/>
  </dataFields>
  <formats count="1">
    <format dxfId="70">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55577AD-0563-4F32-9515-BD7D0BE8CE01}" name="PivotTable2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redit_Score" fld="0" subtotal="average" baseField="0" baseItem="0" numFmtId="1"/>
  </dataFields>
  <formats count="1">
    <format dxfId="71">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A34AF65-F7FD-4E89-866D-01B2B7C8ACA8}" name="PivotTable61"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7:B49" firstHeaderRow="1" firstDataRow="1" firstDataCol="1"/>
  <pivotFields count="7">
    <pivotField allDrilled="1" subtotalTop="0" showAll="0" dataSourceSort="1" defaultSubtotal="0" defaultAttributeDrillState="1">
      <items count="2">
        <item s="1" x="0"/>
        <item s="1" x="1"/>
      </items>
    </pivotField>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Items count="1">
    <i/>
  </colItems>
  <dataFields count="1">
    <dataField name="Average of Loan_Amount" fld="3" subtotal="average" baseField="2" baseItem="1"/>
  </dataFields>
  <formats count="1">
    <format dxfId="72">
      <pivotArea outline="0" collapsedLevelsAreSubtotals="1" fieldPosition="0"/>
    </format>
  </formats>
  <chartFormats count="3">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caption="Average of Loan_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700DAE4-738D-4ABD-8C2C-E96F2F60FF28}" name="PivotTable3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8:D12"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Balance" fld="0" subtotal="average" baseField="0" baseItem="0"/>
  </dataFields>
  <formats count="1">
    <format dxfId="73">
      <pivotArea outline="0" collapsedLevelsAreSubtotals="1" fieldPosition="0"/>
    </format>
  </formats>
  <chartFormats count="3">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EBA3098-F484-45C6-8109-C39CB546EF2D}" name="PivotTable3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1:D6"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Balance" fld="1" subtotal="average" baseField="0" baseItem="0"/>
  </dataFields>
  <formats count="1">
    <format dxfId="74">
      <pivotArea outline="0" collapsedLevelsAreSubtotals="1" fieldPosition="0"/>
    </format>
  </formats>
  <chartFormats count="15">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0" count="1" selected="0">
            <x v="0"/>
          </reference>
        </references>
      </pivotArea>
    </chartFormat>
    <chartFormat chart="3" format="19">
      <pivotArea type="data" outline="0" fieldPosition="0">
        <references count="2">
          <reference field="4294967294" count="1" selected="0">
            <x v="0"/>
          </reference>
          <reference field="0" count="1" selected="0">
            <x v="1"/>
          </reference>
        </references>
      </pivotArea>
    </chartFormat>
    <chartFormat chart="3" format="20">
      <pivotArea type="data" outline="0" fieldPosition="0">
        <references count="2">
          <reference field="4294967294" count="1" selected="0">
            <x v="0"/>
          </reference>
          <reference field="0" count="1" selected="0">
            <x v="2"/>
          </reference>
        </references>
      </pivotArea>
    </chartFormat>
    <chartFormat chart="3" format="21">
      <pivotArea type="data" outline="0" fieldPosition="0">
        <references count="2">
          <reference field="4294967294" count="1" selected="0">
            <x v="0"/>
          </reference>
          <reference field="0" count="1" selected="0">
            <x v="3"/>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0" count="1" selected="0">
            <x v="0"/>
          </reference>
        </references>
      </pivotArea>
    </chartFormat>
    <chartFormat chart="4" format="24">
      <pivotArea type="data" outline="0" fieldPosition="0">
        <references count="2">
          <reference field="4294967294" count="1" selected="0">
            <x v="0"/>
          </reference>
          <reference field="0" count="1" selected="0">
            <x v="1"/>
          </reference>
        </references>
      </pivotArea>
    </chartFormat>
    <chartFormat chart="4" format="25">
      <pivotArea type="data" outline="0" fieldPosition="0">
        <references count="2">
          <reference field="4294967294" count="1" selected="0">
            <x v="0"/>
          </reference>
          <reference field="0" count="1" selected="0">
            <x v="2"/>
          </reference>
        </references>
      </pivotArea>
    </chartFormat>
    <chartFormat chart="4" format="26">
      <pivotArea type="data" outline="0" fieldPosition="0">
        <references count="2">
          <reference field="4294967294" count="1" selected="0">
            <x v="0"/>
          </reference>
          <reference field="0" count="1" selected="0">
            <x v="3"/>
          </reference>
        </references>
      </pivotArea>
    </chartFormat>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0" count="1" selected="0">
            <x v="0"/>
          </reference>
        </references>
      </pivotArea>
    </chartFormat>
    <chartFormat chart="5" format="29">
      <pivotArea type="data" outline="0" fieldPosition="0">
        <references count="2">
          <reference field="4294967294" count="1" selected="0">
            <x v="0"/>
          </reference>
          <reference field="0" count="1" selected="0">
            <x v="1"/>
          </reference>
        </references>
      </pivotArea>
    </chartFormat>
    <chartFormat chart="5" format="30">
      <pivotArea type="data" outline="0" fieldPosition="0">
        <references count="2">
          <reference field="4294967294" count="1" selected="0">
            <x v="0"/>
          </reference>
          <reference field="0" count="1" selected="0">
            <x v="2"/>
          </reference>
        </references>
      </pivotArea>
    </chartFormat>
    <chartFormat chart="5" format="31">
      <pivotArea type="data" outline="0" fieldPosition="0">
        <references count="2">
          <reference field="4294967294" count="1" selected="0">
            <x v="0"/>
          </reference>
          <reference field="0" count="1" selected="0">
            <x v="3"/>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7ABEE5E-DAD8-4F49-8608-29E41EB6989E}" name="PivotTable34"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G4" firstHeaderRow="1" firstDataRow="1" firstDataCol="1"/>
  <pivotFields count="5">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Average of Credit_Score" fld="1" subtotal="average" baseField="0" baseItem="1"/>
  </dataFields>
  <formats count="4">
    <format dxfId="78">
      <pivotArea outline="0" collapsedLevelsAreSubtotals="1" fieldPosition="0"/>
    </format>
    <format dxfId="77">
      <pivotArea collapsedLevelsAreSubtotals="1" fieldPosition="0">
        <references count="1">
          <reference field="0" count="1">
            <x v="0"/>
          </reference>
        </references>
      </pivotArea>
    </format>
    <format dxfId="76">
      <pivotArea collapsedLevelsAreSubtotals="1" fieldPosition="0">
        <references count="1">
          <reference field="0" count="1">
            <x v="1"/>
          </reference>
        </references>
      </pivotArea>
    </format>
    <format dxfId="75">
      <pivotArea grandRow="1"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4427F8E-D869-444C-9768-05C446C15132}" name="PivotTable30"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Loan_Amount" fld="0" baseField="0" baseItem="0" numFmtId="166"/>
  </dataFields>
  <formats count="1">
    <format dxfId="79">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DA63858-11B2-4B4B-BB3D-D5DCB7CF77A0}" name="PivotTable35"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6:G9" firstHeaderRow="1" firstDataRow="1" firstDataCol="1"/>
  <pivotFields count="6">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Balance" fld="2" baseField="0" baseItem="0"/>
  </dataFields>
  <formats count="1">
    <format dxfId="80">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953B112-C649-4ECF-AE69-C53F62E1D473}" name="PivotTable3" cacheId="5" applyNumberFormats="0" applyBorderFormats="0" applyFontFormats="0" applyPatternFormats="0" applyAlignmentFormats="0" applyWidthHeightFormats="1" dataCaption="Values" tag="abc05e7c-26f4-44c6-85ea-9c91ac048a5e" updatedVersion="8" minRefreshableVersion="3" useAutoFormatting="1" subtotalHiddenItems="1" itemPrintTitles="1" createdVersion="8" indent="0" outline="1" outlineData="1" multipleFieldFilters="0" chartFormat="7">
  <location ref="F37:G49" firstHeaderRow="1" firstDataRow="1" firstDataCol="1" rowPageCount="1" colPageCount="1"/>
  <pivotFields count="6">
    <pivotField axis="axisPage"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pageFields count="1">
    <pageField fld="0" hier="2" name="[accounts].[Account_Type].&amp;[Savings]" cap="Savings"/>
  </pageFields>
  <dataFields count="1">
    <dataField name="Average of Balance" fld="2" subtotal="average" baseField="1" baseItem="0" numFmtId="166"/>
  </dataFields>
  <formats count="1">
    <format dxfId="81">
      <pivotArea outline="0" collapsedLevelsAreSubtotals="1" fieldPosition="0"/>
    </format>
  </formats>
  <chartFormats count="3">
    <chartFormat chart="3"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s>
  <pivotHierarchies count="163">
    <pivotHierarchy dragToData="1"/>
    <pivotHierarchy dragToData="1"/>
    <pivotHierarchy multipleItemSelectionAllowed="1" dragToData="1">
      <members count="2" level="1">
        <member name="[accounts].[Account_Type].&amp;[Savings]"/>
        <member name="[accounts].[Account_Type].&amp;[Check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75A5235-6D69-4C3F-AD61-830B909610B0}" name="PivotTable36" cacheId="12" applyNumberFormats="0" applyBorderFormats="0" applyFontFormats="0" applyPatternFormats="0" applyAlignmentFormats="0" applyWidthHeightFormats="1" dataCaption="Values" tag="27671533-30e4-46a1-8166-a972ca5bd531" updatedVersion="8" minRefreshableVersion="3" useAutoFormatting="1" subtotalHiddenItems="1" itemPrintTitles="1" createdVersion="8" indent="0" outline="1" outlineData="1" multipleFieldFilters="0" chartFormat="1">
  <location ref="F11:H16" firstHeaderRow="0" firstDataRow="1" firstDataCol="1"/>
  <pivotFields count="7">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5">
    <i>
      <x/>
    </i>
    <i>
      <x v="1"/>
    </i>
    <i>
      <x v="2"/>
    </i>
    <i>
      <x v="3"/>
    </i>
    <i t="grand">
      <x/>
    </i>
  </rowItems>
  <colFields count="1">
    <field x="-2"/>
  </colFields>
  <colItems count="2">
    <i>
      <x/>
    </i>
    <i i="1">
      <x v="1"/>
    </i>
  </colItems>
  <dataFields count="2">
    <dataField name="Count of Account_Type" fld="2" subtotal="count" showDataAs="percentOfTotal" baseField="0" baseItem="0" numFmtId="9"/>
    <dataField name="Count of Account_Type2" fld="6" subtotal="count" baseField="0" baseItem="0">
      <extLst>
        <ext xmlns:x14="http://schemas.microsoft.com/office/spreadsheetml/2009/9/main" uri="{E15A36E0-9728-4e99-A89B-3F7291B0FE68}">
          <x14:dataField sourceField="2" uniqueName="[__Xl2].[Measures].[Count of Account_Type]"/>
        </ext>
      </extLst>
    </dataField>
  </dataFields>
  <formats count="3">
    <format dxfId="84">
      <pivotArea outline="0" collapsedLevelsAreSubtotals="1" fieldPosition="0"/>
    </format>
    <format dxfId="83">
      <pivotArea outline="0" fieldPosition="0">
        <references count="1">
          <reference field="4294967294" count="1">
            <x v="0"/>
          </reference>
        </references>
      </pivotArea>
    </format>
    <format dxfId="82">
      <pivotArea outline="0" collapsedLevelsAreSubtotals="1" fieldPosition="0">
        <references count="1">
          <reference field="4294967294" count="1" selected="0">
            <x v="0"/>
          </reference>
        </references>
      </pivotArea>
    </format>
  </formats>
  <pivotHierarchies count="1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9D51F7D-21CA-4D60-A59E-8717FD0F023C}" name="PivotTable29"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A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Balance" fld="0" baseField="0" baseItem="0" numFmtId="166"/>
  </dataFields>
  <formats count="1">
    <format dxfId="85">
      <pivotArea outline="0" collapsedLevelsAreSubtotals="1" fieldPosition="0"/>
    </format>
  </formats>
  <pivotHierarchies count="163">
    <pivotHierarchy dragToData="1"/>
    <pivotHierarchy dragToData="1"/>
    <pivotHierarchy multipleItemSelectionAllowed="1" dragToData="1">
      <members count="1" level="1">
        <member name="[accounts].[Account_Type].&amp;[Checking]"/>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D897759-5B31-4C36-9186-AFF388822490}" name="PivotTable33" cacheId="9" applyNumberFormats="0" applyBorderFormats="0" applyFontFormats="0" applyPatternFormats="0" applyAlignmentFormats="0" applyWidthHeightFormats="1" dataCaption="Values" tag="c9226945-b9f0-48cb-a2e8-96daa0fc61e2" updatedVersion="8" minRefreshableVersion="3" useAutoFormatting="1" subtotalHiddenItems="1" itemPrintTitles="1" createdVersion="8" indent="0" outline="1" outlineData="1" multipleFieldFilters="0" chartFormat="9">
  <location ref="A8:B20" firstHeaderRow="1"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Balance" fld="1" baseField="0" baseItem="0"/>
  </dataFields>
  <formats count="1">
    <format dxfId="86">
      <pivotArea outline="0" collapsedLevelsAreSubtotals="1" fieldPosition="0"/>
    </format>
  </formats>
  <chartFormats count="3">
    <chartFormat chart="4"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Balance"/>
    <pivotHierarchy dragToData="1" caption="Average of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56BB973-2B07-42AB-A4C6-BBA764FC69AC}" name="PivotTable32" cacheId="28" applyNumberFormats="0" applyBorderFormats="0" applyFontFormats="0" applyPatternFormats="0" applyAlignmentFormats="0" applyWidthHeightFormats="1" dataCaption="Values" tag="9535cc27-9fdb-47d9-ba22-d8ace21f2f70" updatedVersion="8" minRefreshableVersion="3" useAutoFormatting="1" subtotalHiddenItems="1" itemPrintTitles="1" createdVersion="8" indent="0" outline="1" outlineData="1" multipleFieldFilters="0" chartFormat="27">
  <location ref="A25:B31"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Count of TransID" fld="1" subtotal="count" baseField="0" baseItem="0"/>
  </dataFields>
  <formats count="3">
    <format dxfId="7">
      <pivotArea collapsedLevelsAreSubtotals="1" fieldPosition="0">
        <references count="1">
          <reference field="0" count="0"/>
        </references>
      </pivotArea>
    </format>
    <format dxfId="6">
      <pivotArea grandRow="1" outline="0" collapsedLevelsAreSubtotals="1" fieldPosition="0"/>
    </format>
    <format dxfId="5">
      <pivotArea outline="0" collapsedLevelsAreSubtotals="1" fieldPosition="0"/>
    </format>
  </formats>
  <chartFormats count="1">
    <chartFormat chart="18" format="14"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1">
      <autoFilter ref="A1">
        <filterColumn colId="0">
          <top10 val="5" filterVal="5"/>
        </filterColumn>
      </autoFilter>
    </filter>
  </filters>
  <rowHierarchiesUsage count="1">
    <rowHierarchyUsage hierarchyUsage="10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EA1B517-058A-447B-BA90-FF9E200D2DEF}" name="PivotTable19" cacheId="64" applyNumberFormats="0" applyBorderFormats="0" applyFontFormats="0" applyPatternFormats="0" applyAlignmentFormats="0" applyWidthHeightFormats="1" dataCaption="Values" tag="55331b35-ca32-4f48-a54c-d7f2e3ed6473" updatedVersion="8" minRefreshableVersion="3" useAutoFormatting="1" subtotalHiddenItems="1" itemPrintTitles="1" createdVersion="8" indent="0" outline="1" outlineData="1" multipleFieldFilters="0" chartFormat="24">
  <location ref="AG4:AH10" firstHeaderRow="1" firstDataRow="1" firstDataCol="1"/>
  <pivotFields count="6">
    <pivotField allDrilled="1" subtotalTop="0" showAll="0" measureFilter="1" defaultSubtotal="0" defaultAttributeDrillState="1">
      <items count="5">
        <item x="0"/>
        <item x="1"/>
        <item x="2"/>
        <item x="3"/>
        <item x="4"/>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1"/>
    </i>
    <i>
      <x v="4"/>
    </i>
    <i>
      <x v="3"/>
    </i>
    <i>
      <x v="2"/>
    </i>
    <i>
      <x/>
    </i>
    <i t="grand">
      <x/>
    </i>
  </rowItems>
  <colItems count="1">
    <i/>
  </colItems>
  <dataFields count="1">
    <dataField name="Count of ComplaintID" fld="2" subtotal="count" baseField="0" baseItem="0"/>
  </dataFields>
  <formats count="1">
    <format dxfId="8">
      <pivotArea outline="0" collapsedLevelsAreSubtotals="1" fieldPosition="0"/>
    </format>
  </formats>
  <chartFormats count="5">
    <chartFormat chart="4" format="13" series="1">
      <pivotArea type="data" outline="0" fieldPosition="0">
        <references count="1">
          <reference field="4294967294" count="1" selected="0">
            <x v="0"/>
          </reference>
        </references>
      </pivotArea>
    </chartFormat>
    <chartFormat chart="9" format="29" series="1">
      <pivotArea type="data" outline="0" fieldPosition="0">
        <references count="1">
          <reference field="4294967294" count="1" selected="0">
            <x v="0"/>
          </reference>
        </references>
      </pivotArea>
    </chartFormat>
    <chartFormat chart="9" format="30">
      <pivotArea type="data" outline="0" fieldPosition="0">
        <references count="2">
          <reference field="4294967294" count="1" selected="0">
            <x v="0"/>
          </reference>
          <reference field="1" count="1" selected="0">
            <x v="4"/>
          </reference>
        </references>
      </pivotArea>
    </chartFormat>
    <chartFormat chart="21" format="2"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accounts.Account_Type].&amp;[Savings]"/>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8">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activeTabTopLevelEntity name="[Copy of complaints]"/>
        <x15:activeTabTopLevelEntity name="[transaction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57B31CB0-8ADE-460B-97DE-5CE5D8F62BE9}" name="PivotTable24" cacheId="22" applyNumberFormats="0" applyBorderFormats="0" applyFontFormats="0" applyPatternFormats="0" applyAlignmentFormats="0" applyWidthHeightFormats="1" dataCaption="Values" tag="dddef762-6cea-4f33-815d-f4f279aa4e2f" updatedVersion="8" minRefreshableVersion="3" useAutoFormatting="1" subtotalHiddenItems="1" itemPrintTitles="1" createdVersion="8" indent="0" outline="1" outlineData="1" multipleFieldFilters="0" chartFormat="12">
  <location ref="A1:F5" firstHeaderRow="1" firstDataRow="2" firstDataCol="1"/>
  <pivotFields count="6">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5">
    <i>
      <x/>
    </i>
    <i>
      <x v="1"/>
    </i>
    <i>
      <x v="2"/>
    </i>
    <i>
      <x v="3"/>
    </i>
    <i t="grand">
      <x/>
    </i>
  </colItems>
  <dataFields count="1">
    <dataField name="Count of TransID" fld="1" subtotal="count" baseField="0" baseItem="0"/>
  </dataFields>
  <chartFormats count="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 chart="5" format="10" series="1">
      <pivotArea type="data" outline="0" fieldPosition="0">
        <references count="2">
          <reference field="4294967294" count="1" selected="0">
            <x v="0"/>
          </reference>
          <reference field="2" count="1" selected="0">
            <x v="2"/>
          </reference>
        </references>
      </pivotArea>
    </chartFormat>
    <chartFormat chart="5" format="11" series="1">
      <pivotArea type="data" outline="0" fieldPosition="0">
        <references count="2">
          <reference field="4294967294" count="1" selected="0">
            <x v="0"/>
          </reference>
          <reference field="2" count="1" selected="0">
            <x v="3"/>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0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A642B21-6072-4B3F-AF4A-BD37F87DA768}" name="PivotTable34" cacheId="49" applyNumberFormats="0" applyBorderFormats="0" applyFontFormats="0" applyPatternFormats="0" applyAlignmentFormats="0" applyWidthHeightFormats="1" dataCaption="Values" tag="479223c9-79c0-4133-9108-4a3a4849567d" updatedVersion="8" minRefreshableVersion="3" useAutoFormatting="1" subtotalHiddenItems="1" itemPrintTitles="1" createdVersion="8" indent="0" outline="1" outlineData="1" multipleFieldFilters="0">
  <location ref="AS4:AS5" firstHeaderRow="1" firstDataRow="1" firstDataCol="0"/>
  <pivotFields count="2">
    <pivotField allDrilled="1" subtotalTop="0" showAll="0" dataSourceSort="1" defaultSubtotal="0" defaultAttributeDrillState="1">
      <items count="1">
        <item s="1" x="0"/>
      </items>
    </pivotField>
    <pivotField dataField="1" subtotalTop="0" showAll="0" defaultSubtotal="0"/>
  </pivotFields>
  <rowItems count="1">
    <i/>
  </rowItems>
  <colItems count="1">
    <i/>
  </colItems>
  <dataFields count="1">
    <dataField fld="1" subtotal="count" baseField="0" baseItem="0"/>
  </dataField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DFC15D4C-021C-4536-BD83-08AE7F5C2754}" name="PivotTable27" cacheId="24" applyNumberFormats="0" applyBorderFormats="0" applyFontFormats="0" applyPatternFormats="0" applyAlignmentFormats="0" applyWidthHeightFormats="1" dataCaption="Values" tag="e8fc835d-ec39-4896-99c7-0c8c80a9243c" updatedVersion="8" minRefreshableVersion="3" useAutoFormatting="1" subtotalHiddenItems="1" itemPrintTitles="1" createdVersion="8" indent="0" outline="1" outlineData="1" multipleFieldFilters="0" chartFormat="13">
  <location ref="H2:I14" firstHeaderRow="1"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Amount" fld="1" baseField="0" baseItem="0"/>
  </dataFields>
  <chartFormats count="1">
    <chartFormat chart="7" format="4" series="1">
      <pivotArea type="data" outline="0" fieldPosition="0">
        <references count="1">
          <reference field="4294967294" count="1" selected="0">
            <x v="0"/>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1162989D-7362-4743-B49B-78F09D0B955D}" name="PivotTable26" cacheId="47" applyNumberFormats="0" applyBorderFormats="0" applyFontFormats="0" applyPatternFormats="0" applyAlignmentFormats="0" applyWidthHeightFormats="1" dataCaption="Values" tag="8ff62c1c-c515-488c-9ac8-43d97c4d81d0" updatedVersion="8" minRefreshableVersion="3" useAutoFormatting="1" subtotalHiddenItems="1" itemPrintTitles="1" createdVersion="8" indent="0" outline="1" outlineData="1" multipleFieldFilters="0">
  <location ref="AK39:AL4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Distinct Count of ComplaintID" fld="1" subtotal="count" baseField="0" baseItem="0">
      <extLst>
        <ext xmlns:x15="http://schemas.microsoft.com/office/spreadsheetml/2010/11/main" uri="{FABC7310-3BB5-11E1-824E-6D434824019B}">
          <x15:dataField isCountDistinct="1"/>
        </ext>
      </extLst>
    </dataField>
  </dataFields>
  <formats count="4">
    <format dxfId="12">
      <pivotArea collapsedLevelsAreSubtotals="1" fieldPosition="0">
        <references count="1">
          <reference field="0" count="1">
            <x v="0"/>
          </reference>
        </references>
      </pivotArea>
    </format>
    <format dxfId="11">
      <pivotArea collapsedLevelsAreSubtotals="1" fieldPosition="0">
        <references count="1">
          <reference field="0" count="1">
            <x v="2"/>
          </reference>
        </references>
      </pivotArea>
    </format>
    <format dxfId="10">
      <pivotArea collapsedLevelsAreSubtotals="1" fieldPosition="0">
        <references count="1">
          <reference field="0" count="1">
            <x v="1"/>
          </reference>
        </references>
      </pivotArea>
    </format>
    <format dxfId="9">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mplai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F7B0C26-7891-4623-B285-6CE9B9C231F0}" name="PivotTable46" cacheId="32" applyNumberFormats="0" applyBorderFormats="0" applyFontFormats="0" applyPatternFormats="0" applyAlignmentFormats="0" applyWidthHeightFormats="1" dataCaption="Values" tag="073436f3-0587-4ca5-be23-9a4461f82f4b" updatedVersion="8" minRefreshableVersion="3" useAutoFormatting="1" subtotalHiddenItems="1" itemPrintTitles="1" createdVersion="8" indent="0" outline="1" outlineData="1" multipleFieldFilters="0" chartFormat="1">
  <location ref="AS14:AT25" firstHeaderRow="1" firstDataRow="1" firstDataCol="1"/>
  <pivotFields count="3">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Count of Trans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activeTabTopLevelEntity name="[Merge1]"/>
        <x15:activeTabTopLevelEntity name="[branche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9E6B4C6A-79E7-4288-B5BA-202A3FCD77F1}" name="PivotTable15" cacheId="35" applyNumberFormats="0" applyBorderFormats="0" applyFontFormats="0" applyPatternFormats="0" applyAlignmentFormats="0" applyWidthHeightFormats="1" dataCaption="Values" tag="aebf96f6-d063-4e87-9f96-05e32599673c" updatedVersion="8" minRefreshableVersion="3" useAutoFormatting="1" subtotalHiddenItems="1" itemPrintTitles="1" createdVersion="8" indent="0" outline="1" outlineData="1" multipleFieldFilters="0" chartFormat="6">
  <location ref="X28:Y34" firstHeaderRow="1" firstDataRow="1" firstDataCol="1"/>
  <pivotFields count="3">
    <pivotField axis="axisRow"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2">
    <format dxfId="14">
      <pivotArea outline="0" collapsedLevelsAreSubtotals="1" fieldPosition="0"/>
    </format>
    <format dxfId="13">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10">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A5D7C1CA-7CF7-462E-B0DD-E00967368957}" name="PivotTable40" cacheId="61" applyNumberFormats="0" applyBorderFormats="0" applyFontFormats="0" applyPatternFormats="0" applyAlignmentFormats="0" applyWidthHeightFormats="1" dataCaption="Values" tag="2580fd5b-688a-49c8-8da3-36798547f543" updatedVersion="8" minRefreshableVersion="3" useAutoFormatting="1" subtotalHiddenItems="1" itemPrintTitles="1" createdVersion="8" indent="0" outline="1" outlineData="1" multipleFieldFilters="0">
  <location ref="AF34:AG3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Resolution_Time(days)" fld="1" subtotal="average" baseField="0" baseItem="0"/>
  </dataFields>
  <formats count="2">
    <format dxfId="16">
      <pivotArea outline="0" collapsedLevelsAreSubtotals="1" fieldPosition="0"/>
    </format>
    <format dxfId="15">
      <pivotArea collapsedLevelsAreSubtotals="1" fieldPosition="0">
        <references count="1">
          <reference field="0" count="0"/>
        </references>
      </pivotArea>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mplaintID"/>
    <pivotHierarchy dragToData="1"/>
    <pivotHierarchy dragToData="1"/>
    <pivotHierarchy dragToData="1"/>
    <pivotHierarchy dragToData="1"/>
    <pivotHierarchy dragToData="1"/>
    <pivotHierarchy dragToData="1" caption="Average of Resolution_Time(days)"/>
    <pivotHierarchy dragToData="1"/>
    <pivotHierarchy dragToData="1" caption="Average of Backlo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7AAAC811-458B-408C-9A49-5373C05B1D27}" name="PivotTable43" cacheId="52" applyNumberFormats="0" applyBorderFormats="0" applyFontFormats="0" applyPatternFormats="0" applyAlignmentFormats="0" applyWidthHeightFormats="1" dataCaption="Values" tag="3a868138-b0c9-410e-9a3d-8b7566bb6a6a" updatedVersion="8" minRefreshableVersion="3" useAutoFormatting="1" subtotalHiddenItems="1" itemPrintTitles="1" createdVersion="8" indent="0" outline="1" outlineData="1" multipleFieldFilters="0" chartFormat="12">
  <location ref="AQ39:AQ40" firstHeaderRow="1" firstDataRow="1" firstDataCol="0"/>
  <pivotFields count="2">
    <pivotField allDrilled="1" subtotalTop="0" showAll="0" dataSourceSort="1" defaultSubtotal="0" defaultAttributeDrillState="1">
      <items count="1">
        <item s="1" x="0"/>
      </items>
    </pivotField>
    <pivotField dataField="1" subtotalTop="0" showAll="0" defaultSubtotal="0"/>
  </pivotFields>
  <rowItems count="1">
    <i/>
  </rowItems>
  <colItems count="1">
    <i/>
  </colItems>
  <dataFields count="1">
    <dataField name="Count of ComplaintID" fld="1" subtotal="count" baseField="0" baseItem="0"/>
  </dataFields>
  <formats count="1">
    <format dxfId="1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omplaintID"/>
    <pivotHierarchy dragToData="1" caption="Distinct Count of ComplaintID"/>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38EAF49F-8897-46E9-AB80-E407DC27301F}" name="PivotTable28" cacheId="25" applyNumberFormats="0" applyBorderFormats="0" applyFontFormats="0" applyPatternFormats="0" applyAlignmentFormats="0" applyWidthHeightFormats="1" dataCaption="Values" tag="8975fcd6-096c-4eb1-a9e0-f4fcbc5e6ce7" updatedVersion="8" minRefreshableVersion="3" useAutoFormatting="1" subtotalHiddenItems="1" itemPrintTitles="1" createdVersion="8" indent="0" outline="1" outlineData="1" multipleFieldFilters="0" chartFormat="20">
  <location ref="K2:L14" firstHeaderRow="1"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Count of TransID" fld="1"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7327EB5B-F37A-454B-BD83-CC776F2BF718}" name="PivotTable37" cacheId="51" applyNumberFormats="0" applyBorderFormats="0" applyFontFormats="0" applyPatternFormats="0" applyAlignmentFormats="0" applyWidthHeightFormats="1" dataCaption="Values" tag="d168979d-c99a-493c-a92b-09b00f16ec4c" updatedVersion="8" minRefreshableVersion="3" useAutoFormatting="1" subtotalHiddenItems="1" itemPrintTitles="1" createdVersion="8" indent="0" outline="1" outlineData="1" multipleFieldFilters="0" chartFormat="12">
  <location ref="AP21:AP22" firstHeaderRow="1" firstDataRow="1" firstDataCol="0"/>
  <pivotFields count="2">
    <pivotField allDrilled="1" subtotalTop="0" showAll="0" dataSourceSort="1" defaultSubtotal="0" defaultAttributeDrillState="1">
      <items count="1">
        <item s="1" x="0"/>
      </items>
    </pivotField>
    <pivotField dataField="1" subtotalTop="0" showAll="0" defaultSubtotal="0"/>
  </pivotFields>
  <rowItems count="1">
    <i/>
  </rowItems>
  <colItems count="1">
    <i/>
  </colItems>
  <dataFields count="1">
    <dataField name="Count of ComplaintID" fld="1" subtotal="count" baseField="0" baseItem="0"/>
  </dataFields>
  <formats count="1">
    <format dxfId="1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omplaintID"/>
    <pivotHierarchy dragToData="1" caption="Distinct Count of ComplaintID"/>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EFD31701-9085-408C-B2BA-5DC62DA727E3}" name="PivotTable17" cacheId="34" applyNumberFormats="0" applyBorderFormats="0" applyFontFormats="0" applyPatternFormats="0" applyAlignmentFormats="0" applyWidthHeightFormats="1" dataCaption="Values" tag="ff269d59-664d-4941-8a96-07dc40d534c0" updatedVersion="8" minRefreshableVersion="3" useAutoFormatting="1" subtotalHiddenItems="1" itemPrintTitles="1" createdVersion="8" indent="0" outline="1" outlineData="1" multipleFieldFilters="0" chartFormat="4">
  <location ref="AD6:AD7" firstHeaderRow="1" firstDataRow="1" firstDataCol="0"/>
  <pivotFields count="2">
    <pivotField allDrilled="1" subtotalTop="0" showAll="0" measureFilter="1" defaultSubtotal="0" defaultAttributeDrillState="1">
      <items count="5">
        <item x="0"/>
        <item x="1"/>
        <item x="2"/>
        <item x="3"/>
        <item x="4"/>
      </items>
    </pivotField>
    <pivotField dataField="1" subtotalTop="0" showAll="0" defaultSubtotal="0"/>
  </pivotFields>
  <rowItems count="1">
    <i/>
  </rowItems>
  <colItems count="1">
    <i/>
  </colItems>
  <dataFields count="1">
    <dataField fld="1" subtotal="count" baseField="0" baseItem="0"/>
  </dataFields>
  <formats count="1">
    <format dxfId="19">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17CA32E4-74C1-4A56-851C-2F73257B2599}" name="PivotTable33" cacheId="48" applyNumberFormats="0" applyBorderFormats="0" applyFontFormats="0" applyPatternFormats="0" applyAlignmentFormats="0" applyWidthHeightFormats="1" dataCaption="Values" tag="1ccf9f72-33f1-4eb6-abd4-8d894072c603" updatedVersion="8" minRefreshableVersion="3" useAutoFormatting="1" subtotalHiddenItems="1" itemPrintTitles="1" createdVersion="8" indent="0" outline="1" outlineData="1" multipleFieldFilters="0">
  <location ref="AJ4:AK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ComplaintID" fld="1" subtotal="count" showDataAs="percentOfTotal" baseField="0" baseItem="0" numFmtId="10"/>
  </dataFields>
  <formats count="3">
    <format dxfId="22">
      <pivotArea collapsedLevelsAreSubtotals="1" fieldPosition="0">
        <references count="1">
          <reference field="0" count="1">
            <x v="0"/>
          </reference>
        </references>
      </pivotArea>
    </format>
    <format dxfId="21">
      <pivotArea collapsedLevelsAreSubtotals="1" fieldPosition="0">
        <references count="1">
          <reference field="0" count="1">
            <x v="2"/>
          </reference>
        </references>
      </pivotArea>
    </format>
    <format dxfId="20">
      <pivotArea collapsedLevelsAreSubtotals="1" fieldPosition="0">
        <references count="1">
          <reference field="0" count="1">
            <x v="1"/>
          </reference>
        </references>
      </pivotArea>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EC2898ED-6D11-4F59-90B8-43590C08815F}" name="PivotTable9" cacheId="43" applyNumberFormats="0" applyBorderFormats="0" applyFontFormats="0" applyPatternFormats="0" applyAlignmentFormats="0" applyWidthHeightFormats="1" dataCaption="Values" tag="892db831-7379-475b-b5e8-18ed6745bbe8" updatedVersion="8" minRefreshableVersion="3" useAutoFormatting="1" subtotalHiddenItems="1" itemPrintTitles="1" createdVersion="8" indent="0" outline="1" outlineData="1" multipleFieldFilters="0" chartFormat="8">
  <location ref="T5:U11"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i>
    <i>
      <x v="2"/>
    </i>
    <i>
      <x v="1"/>
    </i>
    <i t="grand">
      <x/>
    </i>
  </rowItems>
  <colItems count="1">
    <i/>
  </colItems>
  <dataFields count="1">
    <dataField fld="0" subtotal="count" baseField="0" baseItem="0" numFmtId="169"/>
  </dataFields>
  <formats count="1">
    <format dxfId="23">
      <pivotArea outline="0" collapsedLevelsAreSubtotals="1" fieldPosition="0"/>
    </format>
  </formats>
  <chartFormats count="2">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1" count="1" selected="0">
            <x v="1"/>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08">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activeTabTopLevelEntity name="[transaction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6C130976-0FAC-45E9-8E4E-AC23A3F8A5A9}" name="PivotTable45" cacheId="1" applyNumberFormats="0" applyBorderFormats="0" applyFontFormats="0" applyPatternFormats="0" applyAlignmentFormats="0" applyWidthHeightFormats="1" dataCaption="Values" tag="3bda8ed9-dc44-48f8-9ede-c7e6c890a464" updatedVersion="8" minRefreshableVersion="3" useAutoFormatting="1" subtotalHiddenItems="1" itemPrintTitles="1" createdVersion="8" indent="0" outline="1" outlineData="1" multipleFieldFilters="0" chartFormat="4">
  <location ref="AR35:AR36" firstHeaderRow="1" firstDataRow="1" firstDataCol="0"/>
  <pivotFields count="2">
    <pivotField allDrilled="1" subtotalTop="0" showAll="0" dataSourceSort="1" defaultSubtotal="0" defaultAttributeDrillState="1">
      <items count="1">
        <item s="1" x="0"/>
      </items>
    </pivotField>
    <pivotField dataField="1" subtotalTop="0" showAll="0" defaultSubtotal="0"/>
  </pivotFields>
  <rowItems count="1">
    <i/>
  </rowItems>
  <colItems count="1">
    <i/>
  </colItems>
  <dataFields count="1">
    <dataField name="Count of ComplaintID" fld="1" subtotal="count" baseField="0" baseItem="0"/>
  </dataFields>
  <formats count="1">
    <format dxfId="24">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omplaintID"/>
    <pivotHierarchy dragToData="1" caption="Distinct Count of ComplaintID"/>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activeTabTopLevelEntity name="[COMPLAINT ACCOUNT 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617793D0-2BFC-4ABF-9B70-86DDA443ECF2}" name="PivotTable23" cacheId="2" applyNumberFormats="0" applyBorderFormats="0" applyFontFormats="0" applyPatternFormats="0" applyAlignmentFormats="0" applyWidthHeightFormats="1" dataCaption="Values" tag="073436f3-0587-4ca5-be23-9a4461f82f4b" updatedVersion="8" minRefreshableVersion="3" useAutoFormatting="1" subtotalHiddenItems="1" itemPrintTitles="1" createdVersion="8" indent="0" outline="1" outlineData="1" multipleFieldFilters="0">
  <location ref="AS2:AS3" firstHeaderRow="1" firstDataRow="1" firstDataCol="0"/>
  <pivotFields count="2">
    <pivotField allDrilled="1" subtotalTop="0" showAll="0" dataSourceSort="1" defaultSubtotal="0" defaultAttributeDrillState="1">
      <items count="1">
        <item s="1" x="0"/>
      </items>
    </pivotField>
    <pivotField dataField="1" subtotalTop="0" showAll="0" defaultSubtotal="0"/>
  </pivotFields>
  <rowItems count="1">
    <i/>
  </rowItems>
  <colItems count="1">
    <i/>
  </colItems>
  <dataFields count="1">
    <dataField fld="1" subtotal="count" baseField="0" baseItem="0"/>
  </dataField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A1789874-4C88-4CDB-8762-559234F9FA11}" name="PivotTable39" cacheId="60" applyNumberFormats="0" applyBorderFormats="0" applyFontFormats="0" applyPatternFormats="0" applyAlignmentFormats="0" applyWidthHeightFormats="1" dataCaption="Values" tag="d9dbec9e-9285-4e55-be50-4a5abd115d48" updatedVersion="8" minRefreshableVersion="3" useAutoFormatting="1" subtotalHiddenItems="1" itemPrintTitles="1" createdVersion="8" indent="0" outline="1" outlineData="1" multipleFieldFilters="0" chartFormat="17">
  <location ref="AH48:AI61"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ComplaintID" fld="0" subtotal="count" baseField="0" baseItem="0"/>
  </dataFields>
  <formats count="1">
    <format dxfId="25">
      <pivotArea outline="0" collapsedLevelsAreSubtotals="1" fieldPosition="0"/>
    </format>
  </formats>
  <chartFormats count="5">
    <chartFormat chart="3"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 count="1" selected="0">
            <x v="0"/>
          </reference>
        </references>
      </pivotArea>
    </chartFormat>
    <chartFormat chart="8" format="10">
      <pivotArea type="data" outline="0" fieldPosition="0">
        <references count="2">
          <reference field="4294967294" count="1" selected="0">
            <x v="0"/>
          </reference>
          <reference field="1" count="1" selected="0">
            <x v="11"/>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mplai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ECEB8C3A-6FB7-40F4-8ED8-3B6A12779E67}" name="PivotTable12" cacheId="37" applyNumberFormats="0" applyBorderFormats="0" applyFontFormats="0" applyPatternFormats="0" applyAlignmentFormats="0" applyWidthHeightFormats="1" dataCaption="Values" tag="f2c663d5-1f1f-48e3-8e96-35ed8e342321" updatedVersion="8" minRefreshableVersion="3" useAutoFormatting="1" subtotalHiddenItems="1" itemPrintTitles="1" createdVersion="8" indent="0" outline="1" outlineData="1" multipleFieldFilters="0" chartFormat="15">
  <location ref="AA28:AB49"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2" subtotal="count" baseField="0" baseItem="0" numFmtId="9"/>
  </dataFields>
  <formats count="5">
    <format dxfId="30">
      <pivotArea collapsedLevelsAreSubtotals="1" fieldPosition="0">
        <references count="1">
          <reference field="1" count="1">
            <x v="0"/>
          </reference>
        </references>
      </pivotArea>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s>
  <chartFormats count="1">
    <chartFormat chart="10" format="2"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8">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F673073C-6A08-42CE-87C7-2853362ED932}" name="PivotTable3" cacheId="39" applyNumberFormats="0" applyBorderFormats="0" applyFontFormats="0" applyPatternFormats="0" applyAlignmentFormats="0" applyWidthHeightFormats="1" dataCaption="Values" tag="cb382a9f-ca78-4de0-929c-56c84ea4dd87" updatedVersion="8" minRefreshableVersion="3" useAutoFormatting="1" subtotalHiddenItems="1" itemPrintTitles="1" createdVersion="8" indent="0" outline="1" outlineData="1" multipleFieldFilters="0">
  <location ref="U2:U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perating_Cost" fld="0" baseField="0" baseItem="0" numFmtId="168"/>
  </dataFields>
  <formats count="1">
    <format dxfId="31">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DCAC612F-6DA9-4C3E-9694-EDCA90AB9B1B}" name="PivotTable22" cacheId="46" applyNumberFormats="0" applyBorderFormats="0" applyFontFormats="0" applyPatternFormats="0" applyAlignmentFormats="0" applyWidthHeightFormats="1" dataCaption="Values" tag="a04b905d-9758-4e05-8460-ec5f9c103509" updatedVersion="8" minRefreshableVersion="3" useAutoFormatting="1" subtotalHiddenItems="1" itemPrintTitles="1" createdVersion="8" indent="0" outline="1" outlineData="1" multipleFieldFilters="0">
  <location ref="AK34:AL3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Distinct Count of ComplaintID" fld="1" subtotal="count" baseField="0" baseItem="0">
      <extLst>
        <ext xmlns:x15="http://schemas.microsoft.com/office/spreadsheetml/2010/11/main" uri="{FABC7310-3BB5-11E1-824E-6D434824019B}">
          <x15:dataField isCountDistinct="1"/>
        </ext>
      </extLst>
    </dataField>
  </dataFields>
  <formats count="4">
    <format dxfId="35">
      <pivotArea collapsedLevelsAreSubtotals="1" fieldPosition="0">
        <references count="1">
          <reference field="0" count="1">
            <x v="0"/>
          </reference>
        </references>
      </pivotArea>
    </format>
    <format dxfId="34">
      <pivotArea collapsedLevelsAreSubtotals="1" fieldPosition="0">
        <references count="1">
          <reference field="0" count="1">
            <x v="2"/>
          </reference>
        </references>
      </pivotArea>
    </format>
    <format dxfId="33">
      <pivotArea collapsedLevelsAreSubtotals="1" fieldPosition="0">
        <references count="1">
          <reference field="0" count="1">
            <x v="1"/>
          </reference>
        </references>
      </pivotArea>
    </format>
    <format dxfId="32">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mplaintID"/>
    <pivotHierarchy dragToData="1"/>
    <pivotHierarchy dragToData="1"/>
    <pivotHierarchy dragToData="1"/>
    <pivotHierarchy dragToData="1"/>
    <pivotHierarchy dragToData="1"/>
    <pivotHierarchy dragToData="1"/>
    <pivotHierarchy dragToData="1"/>
    <pivotHierarchy dragToData="1" caption="Average of Backlo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303730FA-4D1A-4AAD-AFD8-BE05AFC1CE17}" name="PivotTable25" cacheId="30" applyNumberFormats="0" applyBorderFormats="0" applyFontFormats="0" applyPatternFormats="0" applyAlignmentFormats="0" applyWidthHeightFormats="1" dataCaption="Values" tag="310e1133-259b-4f97-a502-eee98fff50bf" updatedVersion="8" minRefreshableVersion="3" useAutoFormatting="1" subtotalHiddenItems="1" itemPrintTitles="1" createdVersion="8" indent="0" outline="1" outlineData="1" multipleFieldFilters="0" chartFormat="8">
  <location ref="A7:F13" firstHeaderRow="1" firstDataRow="2"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5">
    <i>
      <x/>
    </i>
    <i>
      <x v="1"/>
    </i>
    <i>
      <x v="2"/>
    </i>
    <i>
      <x v="3"/>
    </i>
    <i t="grand">
      <x/>
    </i>
  </colItems>
  <dataFields count="1">
    <dataField name="Count of TransID" fld="2" subtotal="count" baseField="0" baseItem="0"/>
  </dataFields>
  <chartFormats count="4">
    <chartFormat chart="4" format="20" series="1">
      <pivotArea type="data" outline="0" fieldPosition="0">
        <references count="2">
          <reference field="4294967294" count="1" selected="0">
            <x v="0"/>
          </reference>
          <reference field="1" count="1" selected="0">
            <x v="0"/>
          </reference>
        </references>
      </pivotArea>
    </chartFormat>
    <chartFormat chart="4" format="21" series="1">
      <pivotArea type="data" outline="0" fieldPosition="0">
        <references count="2">
          <reference field="4294967294" count="1" selected="0">
            <x v="0"/>
          </reference>
          <reference field="1" count="1" selected="0">
            <x v="1"/>
          </reference>
        </references>
      </pivotArea>
    </chartFormat>
    <chartFormat chart="4" format="22" series="1">
      <pivotArea type="data" outline="0" fieldPosition="0">
        <references count="2">
          <reference field="4294967294" count="1" selected="0">
            <x v="0"/>
          </reference>
          <reference field="1" count="1" selected="0">
            <x v="2"/>
          </reference>
        </references>
      </pivotArea>
    </chartFormat>
    <chartFormat chart="4" format="23" series="1">
      <pivotArea type="data" outline="0" fieldPosition="0">
        <references count="2">
          <reference field="4294967294" count="1" selected="0">
            <x v="0"/>
          </reference>
          <reference field="1" count="1" selected="0">
            <x v="3"/>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8"/>
  </rowHierarchiesUsage>
  <colHierarchiesUsage count="1">
    <colHierarchyUsage hierarchyUsage="10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B8FB73D9-76DB-488E-B88A-9574C76D90EE}" name="PivotTable13" cacheId="53" applyNumberFormats="0" applyBorderFormats="0" applyFontFormats="0" applyPatternFormats="0" applyAlignmentFormats="0" applyWidthHeightFormats="1" dataCaption="Values" tag="dc429ae4-aaeb-4072-98e7-f7bc04370c9b" updatedVersion="8" minRefreshableVersion="3" useAutoFormatting="1" subtotalHiddenItems="1" itemPrintTitles="1" createdVersion="8" indent="0" outline="1" outlineData="1" multipleFieldFilters="0" chartFormat="4">
  <location ref="AG1:AG2" firstHeaderRow="1" firstDataRow="1" firstDataCol="0"/>
  <pivotFields count="2">
    <pivotField allDrilled="1" subtotalTop="0" showAll="0" measureFilter="1" defaultSubtotal="0" defaultAttributeDrillState="1">
      <items count="5">
        <item x="0"/>
        <item x="1"/>
        <item x="2"/>
        <item x="3"/>
        <item x="4"/>
      </items>
    </pivotField>
    <pivotField dataField="1" subtotalTop="0" showAll="0" defaultSubtotal="0"/>
  </pivotFields>
  <rowItems count="1">
    <i/>
  </rowItems>
  <colItems count="1">
    <i/>
  </colItems>
  <dataFields count="1">
    <dataField name="Count of ComplaintID" fld="1" subtotal="count" baseField="0" baseItem="0" numFmtId="1"/>
  </dataFields>
  <formats count="1">
    <format dxfId="36">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activeTabTopLevelEntity name="[Copy of 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A1F00465-BF2F-4A0F-8737-6921A4AFE694}" name="PivotTable20" cacheId="56" applyNumberFormats="0" applyBorderFormats="0" applyFontFormats="0" applyPatternFormats="0" applyAlignmentFormats="0" applyWidthHeightFormats="1" dataCaption="Values" tag="4a54dcc8-283d-46af-ba1f-7d907a9e4d14" updatedVersion="8" minRefreshableVersion="3" useAutoFormatting="1" subtotalHiddenItems="1" itemPrintTitles="1" createdVersion="8" indent="0" outline="1" outlineData="1" multipleFieldFilters="0" chartFormat="26">
  <location ref="AG12:AK19" firstHeaderRow="1" firstDataRow="2"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6">
    <i>
      <x v="1"/>
    </i>
    <i>
      <x v="4"/>
    </i>
    <i>
      <x v="3"/>
    </i>
    <i>
      <x v="2"/>
    </i>
    <i>
      <x/>
    </i>
    <i t="grand">
      <x/>
    </i>
  </rowItems>
  <colFields count="1">
    <field x="2"/>
  </colFields>
  <colItems count="4">
    <i>
      <x/>
    </i>
    <i>
      <x v="1"/>
    </i>
    <i>
      <x v="2"/>
    </i>
    <i t="grand">
      <x/>
    </i>
  </colItems>
  <dataFields count="1">
    <dataField name="Count of ComplaintID" fld="1" subtotal="count" baseField="0" baseItem="0"/>
  </dataFields>
  <formats count="1">
    <format dxfId="37">
      <pivotArea outline="0" collapsedLevelsAreSubtotals="1" fieldPosition="0"/>
    </format>
  </formats>
  <chartFormats count="13">
    <chartFormat chart="4" format="13" series="1">
      <pivotArea type="data" outline="0" fieldPosition="0">
        <references count="1">
          <reference field="4294967294" count="1" selected="0">
            <x v="0"/>
          </reference>
        </references>
      </pivotArea>
    </chartFormat>
    <chartFormat chart="12" format="6"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 chart="12" format="8" series="1">
      <pivotArea type="data" outline="0" fieldPosition="0">
        <references count="2">
          <reference field="4294967294" count="1" selected="0">
            <x v="0"/>
          </reference>
          <reference field="2" count="1" selected="0">
            <x v="2"/>
          </reference>
        </references>
      </pivotArea>
    </chartFormat>
    <chartFormat chart="13" format="0" series="1">
      <pivotArea type="data" outline="0" fieldPosition="0">
        <references count="2">
          <reference field="4294967294" count="1" selected="0">
            <x v="0"/>
          </reference>
          <reference field="2" count="1" selected="0">
            <x v="0"/>
          </reference>
        </references>
      </pivotArea>
    </chartFormat>
    <chartFormat chart="13" format="1" series="1">
      <pivotArea type="data" outline="0" fieldPosition="0">
        <references count="2">
          <reference field="4294967294" count="1" selected="0">
            <x v="0"/>
          </reference>
          <reference field="2" count="1" selected="0">
            <x v="1"/>
          </reference>
        </references>
      </pivotArea>
    </chartFormat>
    <chartFormat chart="13" format="2" series="1">
      <pivotArea type="data" outline="0" fieldPosition="0">
        <references count="2">
          <reference field="4294967294" count="1" selected="0">
            <x v="0"/>
          </reference>
          <reference field="2" count="1" selected="0">
            <x v="2"/>
          </reference>
        </references>
      </pivotArea>
    </chartFormat>
    <chartFormat chart="15" format="3" series="1">
      <pivotArea type="data" outline="0" fieldPosition="0">
        <references count="2">
          <reference field="4294967294" count="1" selected="0">
            <x v="0"/>
          </reference>
          <reference field="2" count="1" selected="0">
            <x v="0"/>
          </reference>
        </references>
      </pivotArea>
    </chartFormat>
    <chartFormat chart="15" format="4" series="1">
      <pivotArea type="data" outline="0" fieldPosition="0">
        <references count="2">
          <reference field="4294967294" count="1" selected="0">
            <x v="0"/>
          </reference>
          <reference field="2" count="1" selected="0">
            <x v="1"/>
          </reference>
        </references>
      </pivotArea>
    </chartFormat>
    <chartFormat chart="15" format="5" series="1">
      <pivotArea type="data" outline="0" fieldPosition="0">
        <references count="2">
          <reference field="4294967294" count="1" selected="0">
            <x v="0"/>
          </reference>
          <reference field="2" count="1" selected="0">
            <x v="2"/>
          </reference>
        </references>
      </pivotArea>
    </chartFormat>
    <chartFormat chart="16" format="6" series="1">
      <pivotArea type="data" outline="0" fieldPosition="0">
        <references count="2">
          <reference field="4294967294" count="1" selected="0">
            <x v="0"/>
          </reference>
          <reference field="2" count="1" selected="0">
            <x v="0"/>
          </reference>
        </references>
      </pivotArea>
    </chartFormat>
    <chartFormat chart="16" format="7" series="1">
      <pivotArea type="data" outline="0" fieldPosition="0">
        <references count="2">
          <reference field="4294967294" count="1" selected="0">
            <x v="0"/>
          </reference>
          <reference field="2" count="1" selected="0">
            <x v="1"/>
          </reference>
        </references>
      </pivotArea>
    </chartFormat>
    <chartFormat chart="16" format="8" series="1">
      <pivotArea type="data" outline="0" fieldPosition="0">
        <references count="2">
          <reference field="4294967294" count="1" selected="0">
            <x v="0"/>
          </reference>
          <reference field="2" count="1" selected="0">
            <x v="2"/>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8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activeTabTopLevelEntity name="[Copy of complaint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6ED67E06-8E38-4D9B-B701-1B162D71E97A}" name="PivotTable1" cacheId="21" applyNumberFormats="0" applyBorderFormats="0" applyFontFormats="0" applyPatternFormats="0" applyAlignmentFormats="0" applyWidthHeightFormats="1" dataCaption="Values" tag="c5f8c288-61b1-4a2f-ad88-ef677700b93d" updatedVersion="8" minRefreshableVersion="3" useAutoFormatting="1" subtotalHiddenItems="1" itemPrintTitles="1" createdVersion="8" indent="0" outline="1" outlineData="1" multipleFieldFilters="0" chartFormat="28">
  <location ref="A15:B21"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2"/>
    </i>
    <i>
      <x v="1"/>
    </i>
    <i>
      <x/>
    </i>
    <i t="grand">
      <x/>
    </i>
  </rowItems>
  <colItems count="1">
    <i/>
  </colItems>
  <dataFields count="1">
    <dataField name="Sum of Amount" fld="1" baseField="0" baseItem="0" numFmtId="169"/>
  </dataFields>
  <formats count="3">
    <format dxfId="40">
      <pivotArea collapsedLevelsAreSubtotals="1" fieldPosition="0">
        <references count="1">
          <reference field="0" count="0"/>
        </references>
      </pivotArea>
    </format>
    <format dxfId="39">
      <pivotArea grandRow="1" outline="0" collapsedLevelsAreSubtotals="1" fieldPosition="0"/>
    </format>
    <format dxfId="38">
      <pivotArea outline="0" collapsedLevelsAreSubtotals="1" fieldPosition="0"/>
    </format>
  </formats>
  <chartFormats count="1">
    <chartFormat chart="24" format="19" series="1">
      <pivotArea type="data" outline="0" fieldPosition="0">
        <references count="1">
          <reference field="4294967294" count="1" selected="0">
            <x v="0"/>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1">
      <autoFilter ref="A1">
        <filterColumn colId="0">
          <top10 val="5" filterVal="5"/>
        </filterColumn>
      </autoFilter>
    </filter>
  </filters>
  <rowHierarchiesUsage count="1">
    <rowHierarchyUsage hierarchyUsage="10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064294B4-9630-4945-B96E-B015D63CC750}" name="PivotTable18" cacheId="45" applyNumberFormats="0" applyBorderFormats="0" applyFontFormats="0" applyPatternFormats="0" applyAlignmentFormats="0" applyWidthHeightFormats="1" dataCaption="Values" tag="c5857e05-3f5c-4c7b-8d90-f5735e60b94c" updatedVersion="8" minRefreshableVersion="3" useAutoFormatting="1" subtotalHiddenItems="1" itemPrintTitles="1" createdVersion="8" indent="0" outline="1" outlineData="1" multipleFieldFilters="0">
  <location ref="AH34:AI39" firstHeaderRow="1" firstDataRow="1" firstDataCol="1"/>
  <pivotFields count="4">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4">
        <item s="1" x="0" e="0"/>
        <item s="1" x="1" e="0"/>
        <item s="1" x="2" e="0"/>
        <item s="1" x="3" e="0"/>
      </items>
    </pivotField>
  </pivotFields>
  <rowFields count="2">
    <field x="3"/>
    <field x="1"/>
  </rowFields>
  <rowItems count="5">
    <i>
      <x/>
    </i>
    <i>
      <x v="1"/>
    </i>
    <i>
      <x v="2"/>
    </i>
    <i>
      <x v="3"/>
    </i>
    <i t="grand">
      <x/>
    </i>
  </rowItems>
  <colItems count="1">
    <i/>
  </colItems>
  <dataFields count="1">
    <dataField name="Average of Resolution_Time(days)" fld="2" subtotal="average" baseField="1" baseItem="0" numFmtId="1"/>
  </dataFields>
  <formats count="1">
    <format dxfId="41">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caption="Average of Resolution_Time(day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9"/>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9AC79E2B-3292-41C6-BB06-7E9BAB7CB067}" name="PivotTable4" cacheId="40" applyNumberFormats="0" applyBorderFormats="0" applyFontFormats="0" applyPatternFormats="0" applyAlignmentFormats="0" applyWidthHeightFormats="1" dataCaption="Values" tag="769293fd-6539-42a5-a35f-71ef04ae0d2c" updatedVersion="8" minRefreshableVersion="3" useAutoFormatting="1" subtotalHiddenItems="1" itemPrintTitles="1" createdVersion="8" indent="0" outline="1" outlineData="1" multipleFieldFilters="0">
  <location ref="V2:V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1">
    <format dxfId="42">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AF9FA97A-0BA8-4FB9-A2BC-6C599F64F550}" name="PivotTable11" cacheId="36" applyNumberFormats="0" applyBorderFormats="0" applyFontFormats="0" applyPatternFormats="0" applyAlignmentFormats="0" applyWidthHeightFormats="1" dataCaption="Values" tag="e51036e2-7541-4e24-af65-b22dbaa41788" updatedVersion="8" minRefreshableVersion="3" useAutoFormatting="1" subtotalHiddenItems="1" itemPrintTitles="1" createdVersion="8" indent="0" outline="1" outlineData="1" multipleFieldFilters="0">
  <location ref="Y2:Y3"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taff_Count" fld="1" baseField="0" baseItem="0" numFmtId="164"/>
  </dataFields>
  <formats count="1">
    <format dxfId="43">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F0872C10-FE38-45EB-9F82-82ACEC5A7AC8}" name="PivotTable16" cacheId="3" applyNumberFormats="0" applyBorderFormats="0" applyFontFormats="0" applyPatternFormats="0" applyAlignmentFormats="0" applyWidthHeightFormats="1" dataCaption="Values" tag="c165514c-91ae-4134-aa85-67f4b556f9e8" updatedVersion="8" minRefreshableVersion="3" useAutoFormatting="1" subtotalHiddenItems="1" itemPrintTitles="1" createdVersion="8" indent="0" outline="1" outlineData="1" multipleFieldFilters="0">
  <location ref="AP13:AQ1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Distinct Count of CustomerID" fld="1" subtotal="count" baseField="0" baseItem="0">
      <extLst>
        <ext xmlns:x15="http://schemas.microsoft.com/office/spreadsheetml/2010/11/main" uri="{FABC7310-3BB5-11E1-824E-6D434824019B}">
          <x15:dataField isCountDistinct="1"/>
        </ext>
      </extLst>
    </dataField>
  </dataField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B0C2EB8C-16C8-40BD-9700-90269D496C98}" name="PivotTable14" cacheId="33" applyNumberFormats="0" applyBorderFormats="0" applyFontFormats="0" applyPatternFormats="0" applyAlignmentFormats="0" applyWidthHeightFormats="1" dataCaption="Values" tag="87eb78fe-dad1-431e-8128-8236bb0ac81e" updatedVersion="8" minRefreshableVersion="3" useAutoFormatting="1" subtotalHiddenItems="1" itemPrintTitles="1" createdVersion="8" indent="0" outline="1" outlineData="1" multipleFieldFilters="0" chartFormat="4">
  <location ref="T14:V35" firstHeaderRow="0"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Operating_Cost" fld="1" baseField="0" baseItem="0"/>
    <dataField fld="2" subtotal="count" baseField="0" baseItem="0"/>
  </dataFields>
  <formats count="1">
    <format dxfId="4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41EC1F13-AACF-409A-9C45-92A79886DB84}" name="PivotTable41" cacheId="62" applyNumberFormats="0" applyBorderFormats="0" applyFontFormats="0" applyPatternFormats="0" applyAlignmentFormats="0" applyWidthHeightFormats="1" dataCaption="Values" tag="073436f3-0587-4ca5-be23-9a4461f82f4b" updatedVersion="8" minRefreshableVersion="3" useAutoFormatting="1" subtotalHiddenItems="1" itemPrintTitles="1" createdVersion="8" indent="0" outline="1" outlineData="1" multipleFieldFilters="0" chartFormat="4">
  <location ref="AS8:AT10" firstHeaderRow="1" firstDataRow="1" firstDataCol="1" rowPageCount="1" colPageCount="1"/>
  <pivotFields count="6">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pageFields count="1">
    <pageField fld="2" hier="50" name="[Copy of complaints].[Status].[All]" cap="All"/>
  </pageFields>
  <dataFields count="1">
    <dataField name="Count of ComplaintID" fld="3" subtotal="count" baseField="0" baseItem="0"/>
  </dataField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594746D4-9EEA-437E-BB4F-64E314FA31F9}" name="PivotTable36" cacheId="50" applyNumberFormats="0" applyBorderFormats="0" applyFontFormats="0" applyPatternFormats="0" applyAlignmentFormats="0" applyWidthHeightFormats="1" dataCaption="Values" tag="cb52a7a3-7fbb-4793-bc0e-caccb8aedba0" updatedVersion="8" minRefreshableVersion="3" useAutoFormatting="1" subtotalHiddenItems="1" itemPrintTitles="1" createdVersion="8" indent="0" outline="1" outlineData="1" multipleFieldFilters="0">
  <location ref="AP6:AQ8"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Distinct Count of CustomerID" fld="1" subtotal="count" baseField="0" baseItem="0">
      <extLst>
        <ext xmlns:x15="http://schemas.microsoft.com/office/spreadsheetml/2010/11/main" uri="{FABC7310-3BB5-11E1-824E-6D434824019B}">
          <x15:dataField isCountDistinct="1"/>
        </ext>
      </extLst>
    </dataField>
  </dataField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mplaintID"/>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648B7CC3-7DC6-4256-83B9-A9518A548755}" name="PivotTable21" cacheId="54" applyNumberFormats="0" applyBorderFormats="0" applyFontFormats="0" applyPatternFormats="0" applyAlignmentFormats="0" applyWidthHeightFormats="1" dataCaption="Values" tag="fbae0216-8715-4027-9614-22c0c1a3f81b" updatedVersion="8" minRefreshableVersion="3" useAutoFormatting="1" subtotalHiddenItems="1" itemPrintTitles="1" createdVersion="8" indent="0" outline="1" outlineData="1" multipleFieldFilters="0" chartFormat="7">
  <location ref="AG21:AL28" firstHeaderRow="1" firstDataRow="2" firstDataCol="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6">
    <i>
      <x/>
    </i>
    <i>
      <x v="1"/>
    </i>
    <i>
      <x v="2"/>
    </i>
    <i>
      <x v="3"/>
    </i>
    <i>
      <x v="4"/>
    </i>
    <i t="grand">
      <x/>
    </i>
  </rowItems>
  <colFields count="1">
    <field x="3"/>
  </colFields>
  <colItems count="5">
    <i>
      <x/>
    </i>
    <i>
      <x v="1"/>
    </i>
    <i>
      <x v="2"/>
    </i>
    <i>
      <x v="3"/>
    </i>
    <i t="grand">
      <x/>
    </i>
  </colItems>
  <dataFields count="1">
    <dataField name="Count of ComplaintID" fld="2" subtotal="count" baseField="0" baseItem="0"/>
  </dataFields>
  <formats count="1">
    <format dxfId="45">
      <pivotArea outline="0" collapsedLevelsAreSubtotals="1" fieldPosition="0"/>
    </format>
  </formats>
  <chartFormats count="5">
    <chartFormat chart="4" format="13"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3"/>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Merge1].[accounts.Account_Type].&amp;[Savings]"/>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8">
      <autoFilter ref="A1">
        <filterColumn colId="0">
          <top10 val="5" filterVal="5"/>
        </filterColumn>
      </autoFilter>
    </filter>
  </filters>
  <rowHierarchiesUsage count="1">
    <rowHierarchyUsage hierarchyUsage="49"/>
  </rowHierarchiesUsage>
  <colHierarchiesUsage count="1">
    <colHierarchyUsage hierarchyUsage="7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activeTabTopLevelEntity name="[Copy of complaints]"/>
        <x15:activeTabTopLevelEntity name="[transaction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31D107F3-E96F-4C61-9938-EBDAC6B602C4}" name="PivotTable29" cacheId="26" applyNumberFormats="0" applyBorderFormats="0" applyFontFormats="0" applyPatternFormats="0" applyAlignmentFormats="0" applyWidthHeightFormats="1" dataCaption="Values" tag="c50ca2c0-c381-48a1-b9e3-58e9de9bdfa3" updatedVersion="8" minRefreshableVersion="3" useAutoFormatting="1" subtotalHiddenItems="1" itemPrintTitles="1" createdVersion="8" indent="0" outline="1" outlineData="1" multipleFieldFilters="0" chartFormat="20">
  <location ref="N2:O14" firstHeaderRow="1"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Average of Amount" fld="1" subtotal="average" baseField="0" baseItem="0" numFmtId="168"/>
  </dataFields>
  <formats count="1">
    <format dxfId="46">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0"/>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DA38739F-B55A-4974-90F6-CD180D9F4C7B}" name="PivotTable48" cacheId="55" applyNumberFormats="0" applyBorderFormats="0" applyFontFormats="0" applyPatternFormats="0" applyAlignmentFormats="0" applyWidthHeightFormats="1" dataCaption="Values" tag="97977d0f-c38e-46e3-8624-1bb228eae99b" updatedVersion="8" minRefreshableVersion="3" useAutoFormatting="1" subtotalHiddenItems="1" itemPrintTitles="1" createdVersion="8" indent="0" outline="1" outlineData="1" multipleFieldFilters="0" chartFormat="7">
  <location ref="AZ20:BE27" firstHeaderRow="1" firstDataRow="2" firstDataCol="1"/>
  <pivotFields count="7">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s="1" x="0"/>
        <item s="1" x="1"/>
        <item s="1" x="2"/>
        <item s="1"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5">
    <i>
      <x/>
    </i>
    <i>
      <x v="1"/>
    </i>
    <i>
      <x v="2"/>
    </i>
    <i>
      <x v="3"/>
    </i>
    <i t="grand">
      <x/>
    </i>
  </colItems>
  <dataFields count="1">
    <dataField name="Count of ComplaintID" fld="0" subtotal="count" baseField="0" baseItem="0"/>
  </dataFields>
  <chartFormats count="19">
    <chartFormat chart="0" format="0" series="1">
      <pivotArea type="data" outline="0" fieldPosition="0">
        <references count="2">
          <reference field="4294967294" count="1" selected="0">
            <x v="0"/>
          </reference>
          <reference field="2" count="1" selected="0">
            <x v="4"/>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1" format="0" series="1">
      <pivotArea type="data" outline="0" fieldPosition="0">
        <references count="2">
          <reference field="4294967294" count="1" selected="0">
            <x v="0"/>
          </reference>
          <reference field="2" count="1" selected="0">
            <x v="4"/>
          </reference>
        </references>
      </pivotArea>
    </chartFormat>
    <chartFormat chart="1" format="1" series="1">
      <pivotArea type="data" outline="0" fieldPosition="0">
        <references count="2">
          <reference field="4294967294" count="1" selected="0">
            <x v="0"/>
          </reference>
          <reference field="2" count="1" selected="0">
            <x v="0"/>
          </reference>
        </references>
      </pivotArea>
    </chartFormat>
    <chartFormat chart="1" format="2" series="1">
      <pivotArea type="data" outline="0" fieldPosition="0">
        <references count="2">
          <reference field="4294967294" count="1" selected="0">
            <x v="0"/>
          </reference>
          <reference field="2" count="1" selected="0">
            <x v="1"/>
          </reference>
        </references>
      </pivotArea>
    </chartFormat>
    <chartFormat chart="1" format="3" series="1">
      <pivotArea type="data" outline="0" fieldPosition="0">
        <references count="2">
          <reference field="4294967294" count="1" selected="0">
            <x v="0"/>
          </reference>
          <reference field="2" count="1" selected="0">
            <x v="2"/>
          </reference>
        </references>
      </pivotArea>
    </chartFormat>
    <chartFormat chart="1" format="4" series="1">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2">
          <reference field="4294967294" count="1" selected="0">
            <x v="0"/>
          </reference>
          <reference field="2" count="1" selected="0">
            <x v="4"/>
          </reference>
        </references>
      </pivotArea>
    </chartFormat>
    <chartFormat chart="3" format="11" series="1">
      <pivotArea type="data" outline="0" fieldPosition="0">
        <references count="2">
          <reference field="4294967294" count="1" selected="0">
            <x v="0"/>
          </reference>
          <reference field="2" count="1" selected="0">
            <x v="0"/>
          </reference>
        </references>
      </pivotArea>
    </chartFormat>
    <chartFormat chart="3" format="12" series="1">
      <pivotArea type="data" outline="0" fieldPosition="0">
        <references count="2">
          <reference field="4294967294" count="1" selected="0">
            <x v="0"/>
          </reference>
          <reference field="2" count="1" selected="0">
            <x v="1"/>
          </reference>
        </references>
      </pivotArea>
    </chartFormat>
    <chartFormat chart="3" format="13" series="1">
      <pivotArea type="data" outline="0" fieldPosition="0">
        <references count="2">
          <reference field="4294967294" count="1" selected="0">
            <x v="0"/>
          </reference>
          <reference field="2" count="1" selected="0">
            <x v="2"/>
          </reference>
        </references>
      </pivotArea>
    </chartFormat>
    <chartFormat chart="3" format="14" series="1">
      <pivotArea type="data" outline="0" fieldPosition="0">
        <references count="2">
          <reference field="4294967294" count="1" selected="0">
            <x v="0"/>
          </reference>
          <reference field="2" count="1" selected="0">
            <x v="3"/>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2">
          <reference field="4294967294" count="1" selected="0">
            <x v="0"/>
          </reference>
          <reference field="2" count="1" selected="0">
            <x v="3"/>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accounts].[Loan_Amount].&amp;[8681]"/>
      </members>
    </pivotHierarchy>
    <pivotHierarchy dragToData="1"/>
    <pivotHierarchy dragToData="1"/>
    <pivotHierarchy dragToData="1"/>
    <pivotHierarchy dragToData="1"/>
    <pivotHierarchy multipleItemSelectionAllowed="1" dragToData="1">
      <members count="1" level="1">
        <member name="[branches].[BranchID].&amp;[BR0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colHierarchiesUsage count="1">
    <colHierarchyUsage hierarchyUsage="7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activeTabTopLevelEntity name="[Copy of complaints]"/>
        <x15:activeTabTopLevelEntity name="[COMPLAINT ACCOUNT MERGE]"/>
        <x15:activeTabTopLevelEntity name="[branche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20F83FE5-F77D-4BEB-9E62-0B787EAB9656}" name="PivotTable10" cacheId="44" applyNumberFormats="0" applyBorderFormats="0" applyFontFormats="0" applyPatternFormats="0" applyAlignmentFormats="0" applyWidthHeightFormats="1" dataCaption="Values" tag="4afb2182-6f0d-4861-a67a-e574ec8e4712" updatedVersion="8" minRefreshableVersion="3" useAutoFormatting="1" subtotalHiddenItems="1" itemPrintTitles="1" createdVersion="8" indent="0" outline="1" outlineData="1" multipleFieldFilters="0">
  <location ref="W5:Y26" firstHeaderRow="0" firstDataRow="1" firstDataCol="1"/>
  <pivotFields count="4">
    <pivotField axis="axisRow" allDrilled="1" subtotalTop="0" showAll="0" defaultSubtotal="0" defaultAttributeDrillState="1">
      <items count="20">
        <item x="0"/>
        <item x="4"/>
        <item x="8"/>
        <item x="10"/>
        <item x="13"/>
        <item x="16"/>
        <item x="1"/>
        <item x="2"/>
        <item x="3"/>
        <item x="5"/>
        <item x="6"/>
        <item x="7"/>
        <item x="9"/>
        <item x="11"/>
        <item x="12"/>
        <item x="14"/>
        <item x="15"/>
        <item x="17"/>
        <item x="18"/>
        <item x="1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fld="1" subtotal="count" baseField="0" baseItem="0" numFmtId="167"/>
    <dataField name="Sum of Staff_Count" fld="2" baseField="0" baseItem="0"/>
  </dataFields>
  <formats count="2">
    <format dxfId="48">
      <pivotArea outline="0" collapsedLevelsAreSubtotals="1" fieldPosition="0"/>
    </format>
    <format dxfId="47">
      <pivotArea outline="0" collapsedLevelsAreSubtotals="1" fieldPosition="0">
        <references count="1">
          <reference field="4294967294" count="1" selected="0">
            <x v="0"/>
          </reference>
        </references>
      </pivotArea>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ranches]"/>
        <x15:activeTabTopLevelEntity name="[Tabl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EA0150DB-648A-46A0-9F25-90494187F8C8}" name="PivotTable31" cacheId="57" applyNumberFormats="0" applyBorderFormats="0" applyFontFormats="0" applyPatternFormats="0" applyAlignmentFormats="0" applyWidthHeightFormats="1" dataCaption="Values" tag="540efb69-d919-4c60-a5cd-45fee16fe615" updatedVersion="8" minRefreshableVersion="3" useAutoFormatting="1" subtotalHiddenItems="1" itemPrintTitles="1" createdVersion="8" indent="0" outline="1" outlineData="1" multipleFieldFilters="0">
  <location ref="AQ2:AQ3" firstHeaderRow="1" firstDataRow="1" firstDataCol="0"/>
  <pivotFields count="3">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9"/>
  </dataFields>
  <formats count="1">
    <format dxfId="49">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EE6E4CC8-2756-4324-B0B1-F2E3B333E088}" name="PivotTable8" cacheId="29" applyNumberFormats="0" applyBorderFormats="0" applyFontFormats="0" applyPatternFormats="0" applyAlignmentFormats="0" applyWidthHeightFormats="1" dataCaption="Values" tag="9477b6f2-78c9-4840-9fd9-2bb55fb436de" updatedVersion="8" minRefreshableVersion="3" useAutoFormatting="1" subtotalHiddenItems="1" itemPrintTitles="1" createdVersion="8" indent="0" outline="1" outlineData="1" multipleFieldFilters="0" chartFormat="28">
  <location ref="I24:J29" firstHeaderRow="1" firstDataRow="1" firstDataCol="1"/>
  <pivotFields count="5">
    <pivotField allDrilled="1" subtotalTop="0" showAll="0" dataSourceSort="1" defaultSubtotal="0" defaultAttributeDrillState="1"/>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Amount" fld="2" baseField="0" baseItem="0" numFmtId="169"/>
  </dataFields>
  <formats count="1">
    <format dxfId="50">
      <pivotArea outline="0" collapsedLevelsAreSubtotals="1" fieldPosition="0"/>
    </format>
  </formats>
  <chartFormats count="3">
    <chartFormat chart="20" format="6"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1" format="11" series="1">
      <pivotArea type="data" outline="0" fieldPosition="0">
        <references count="1">
          <reference field="4294967294" count="1" selected="0">
            <x v="0"/>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mount"/>
    <pivotHierarchy dragToData="1"/>
    <pivotHierarchy dragToData="1" caption="Average of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790A39A8-3502-4EAE-8F2D-7D476EFFB180}" name="PivotTable38" cacheId="59" applyNumberFormats="0" applyBorderFormats="0" applyFontFormats="0" applyPatternFormats="0" applyAlignmentFormats="0" applyWidthHeightFormats="1" dataCaption="Values" tag="9f8a1ef3-7219-41e4-9a58-3a7afcad9539" updatedVersion="8" minRefreshableVersion="3" useAutoFormatting="1" subtotalHiddenItems="1" itemPrintTitles="1" createdVersion="8" indent="0" outline="1" outlineData="1" multipleFieldFilters="0">
  <location ref="AH45:AI46" firstHeaderRow="0" firstDataRow="1" firstDataCol="0" rowPageCount="1" colPageCount="1"/>
  <pivotFields count="5">
    <pivotField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pageFields count="1">
    <pageField fld="1" hier="50" name="[Copy of complaints].[Status].[All]" cap="All"/>
  </pageFields>
  <dataFields count="2">
    <dataField name="Count of ComplaintID" fld="2" subtotal="count" baseField="0" baseItem="0"/>
    <dataField name="Average of Backlog" fld="3" subtotal="average" baseField="0" baseItem="1" numFmtId="1"/>
  </dataFields>
  <formats count="1">
    <format dxfId="51">
      <pivotArea outline="0" collapsedLevelsAreSubtotals="1" fieldPosition="0">
        <references count="1">
          <reference field="4294967294" count="1" selected="0">
            <x v="1"/>
          </reference>
        </references>
      </pivotArea>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caption="Average of Backlog"/>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activeTabTopLevelEntity name="[Table1]"/>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260A3549-1494-42B8-9DB1-635D379F2F2D}" name="PivotTable5" cacheId="41" applyNumberFormats="0" applyBorderFormats="0" applyFontFormats="0" applyPatternFormats="0" applyAlignmentFormats="0" applyWidthHeightFormats="1" dataCaption="Values" tag="e7b8176e-f7e3-42e9-a8b6-34a10e587a76" updatedVersion="8" minRefreshableVersion="3" useAutoFormatting="1" subtotalHiddenItems="1" itemPrintTitles="1" createdVersion="8" indent="0" outline="1" outlineData="1" multipleFieldFilters="0">
  <location ref="W2:W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52">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F05957CC-8F9C-4D46-9B16-9860BE630496}" name="PivotTable30" cacheId="27" applyNumberFormats="0" applyBorderFormats="0" applyFontFormats="0" applyPatternFormats="0" applyAlignmentFormats="0" applyWidthHeightFormats="1" dataCaption="Values" tag="9c83bf68-c32d-4b21-a431-ac1aafc6bd89" updatedVersion="8" minRefreshableVersion="3" useAutoFormatting="1" subtotalHiddenItems="1" itemPrintTitles="1" createdVersion="8" indent="0" outline="1" outlineData="1" multipleFieldFilters="0" chartFormat="11">
  <location ref="K17:N29" firstHeaderRow="0" firstDataRow="1" firstDataCol="1"/>
  <pivotFields count="7">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Amount" fld="1" baseField="0" baseItem="0" numFmtId="168"/>
    <dataField name="Average of Amount2" fld="2" subtotal="average" baseField="0" baseItem="0" numFmtId="168"/>
    <dataField name="Count of TransID" fld="3" subtotal="count" baseField="0" baseItem="0"/>
  </dataFields>
  <formats count="1">
    <format dxfId="53">
      <pivotArea outline="0" collapsedLevelsAreSubtotals="1" fieldPosition="0">
        <references count="1">
          <reference field="4294967294" count="2" selected="0">
            <x v="0"/>
            <x v="1"/>
          </reference>
        </references>
      </pivotArea>
    </format>
  </formats>
  <chartFormats count="1">
    <chartFormat chart="7" format="4"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59EF3771-A8F2-476A-BC57-7E7E897F7D48}" name="PivotTable35" cacheId="58" applyNumberFormats="0" applyBorderFormats="0" applyFontFormats="0" applyPatternFormats="0" applyAlignmentFormats="0" applyWidthHeightFormats="1" dataCaption="Values" tag="dc429ae4-aaeb-4072-98e7-f7bc04370c9b" updatedVersion="8" minRefreshableVersion="3" useAutoFormatting="1" subtotalHiddenItems="1" itemPrintTitles="1" createdVersion="8" indent="0" outline="1" outlineData="1" multipleFieldFilters="0" chartFormat="4">
  <location ref="AL1:AM4"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ComplaintID" fld="1" subtotal="count" showDataAs="percentOfTotal" baseField="0" baseItem="0" numFmtId="10"/>
  </dataFields>
  <formats count="4">
    <format dxfId="57">
      <pivotArea outline="0" collapsedLevelsAreSubtotals="1" fieldPosition="0"/>
    </format>
    <format dxfId="56">
      <pivotArea outline="0" fieldPosition="0">
        <references count="1">
          <reference field="4294967294" count="1">
            <x v="0"/>
          </reference>
        </references>
      </pivotArea>
    </format>
    <format dxfId="55">
      <pivotArea collapsedLevelsAreSubtotals="1" fieldPosition="0">
        <references count="1">
          <reference field="2" count="1">
            <x v="0"/>
          </reference>
        </references>
      </pivotArea>
    </format>
    <format dxfId="54">
      <pivotArea collapsedLevelsAreSubtotals="1" fieldPosition="0">
        <references count="1">
          <reference field="2" count="1">
            <x v="1"/>
          </reference>
        </references>
      </pivotArea>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8">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activeTabTopLevelEntity name="[Copy of 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5A022A05-94E1-48DB-8658-160BC953B7BF}" name="PivotTable44" cacheId="63" applyNumberFormats="0" applyBorderFormats="0" applyFontFormats="0" applyPatternFormats="0" applyAlignmentFormats="0" applyWidthHeightFormats="1" dataCaption="Values" tag="dddc6381-bb15-40d8-a88c-3d2d66d0f5a0" updatedVersion="8" minRefreshableVersion="3" useAutoFormatting="1" subtotalHiddenItems="1" itemPrintTitles="1" createdVersion="8" indent="0" outline="1" outlineData="1" multipleFieldFilters="0" chartFormat="12">
  <location ref="AL10:AM1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omplaintID" fld="0" subtotal="count" showDataAs="percentOfTotal" baseField="0" baseItem="0" numFmtId="1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py of 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B2111203-4979-470A-BBF8-36D767A9FCEC}" name="PivotTable6" cacheId="42" applyNumberFormats="0" applyBorderFormats="0" applyFontFormats="0" applyPatternFormats="0" applyAlignmentFormats="0" applyWidthHeightFormats="1" dataCaption="Values" tag="417bb55e-c178-4dcd-b695-bbcb8a9e2a52" updatedVersion="8" minRefreshableVersion="3" useAutoFormatting="1" subtotalHiddenItems="1" itemPrintTitles="1" createdVersion="8" indent="0" outline="1" outlineData="1" multipleFieldFilters="0">
  <location ref="X2:X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58">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C640AD7E-551A-43ED-BCEA-6F206D906F1D}" name="PivotTable7" cacheId="23" applyNumberFormats="0" applyBorderFormats="0" applyFontFormats="0" applyPatternFormats="0" applyAlignmentFormats="0" applyWidthHeightFormats="1" dataCaption="Values" tag="b1fd76dc-3b2d-4211-b035-db359f51b8e2" updatedVersion="8" minRefreshableVersion="3" useAutoFormatting="1" subtotalHiddenItems="1" itemPrintTitles="1" createdVersion="8" indent="0" outline="1" outlineData="1" multipleFieldFilters="0" chartFormat="24">
  <location ref="F24:G29"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Amount" fld="2" baseField="0" baseItem="0" numFmtId="169"/>
  </dataFields>
  <formats count="1">
    <format dxfId="59">
      <pivotArea outline="0" collapsedLevelsAreSubtotals="1" fieldPosition="0"/>
    </format>
  </formats>
  <chartFormats count="2">
    <chartFormat chart="18"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Hierarchies count="1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ransactions].[Merchant].&amp;[Walmar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A14A9DB8-B763-401D-B9CC-7A857382AEBD}" name="PivotTable2" cacheId="38" applyNumberFormats="0" applyBorderFormats="0" applyFontFormats="0" applyPatternFormats="0" applyAlignmentFormats="0" applyWidthHeightFormats="1" dataCaption="Values" tag="d86e6b77-3746-443d-aa7c-9a057fdd6954" updatedVersion="8" minRefreshableVersion="3" useAutoFormatting="1" subtotalHiddenItems="1" itemPrintTitles="1" createdVersion="8" indent="0" outline="1" outlineData="1" multipleFieldFilters="0">
  <location ref="T2:T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BranchID" fld="0" subtotal="count" baseField="0" baseItem="0"/>
  </dataField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4C570E4F-D626-4545-BBEE-2F42418076A2}" name="PivotTable42" cacheId="31" applyNumberFormats="0" applyBorderFormats="0" applyFontFormats="0" applyPatternFormats="0" applyAlignmentFormats="0" applyWidthHeightFormats="1" dataCaption="Values" tag="0ed08363-5cfb-4ea3-ace8-fd00aa3840c0" updatedVersion="8" minRefreshableVersion="3" useAutoFormatting="1" subtotalHiddenItems="1" itemPrintTitles="1" createdVersion="8" indent="0" outline="1" outlineData="1" multipleFieldFilters="0" chartFormat="28">
  <location ref="A34:B39"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Count of TransID" fld="2" subtotal="count" baseField="0" baseItem="0" numFmtId="164"/>
  </dataFields>
  <formats count="2">
    <format dxfId="61">
      <pivotArea grandRow="1" outline="0" collapsedLevelsAreSubtotals="1" fieldPosition="0"/>
    </format>
    <format dxfId="60">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1">
      <autoFilter ref="A1">
        <filterColumn colId="0">
          <top10 val="5" filterVal="5"/>
        </filterColumn>
      </autoFilter>
    </filter>
  </filters>
  <rowHierarchiesUsage count="1">
    <rowHierarchyUsage hierarchyUsage="10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transactions]"/>
        <x15:activeTabTopLevelEntity name="[Table1]"/>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B24BBBE-3DC0-4447-9E45-801508A95164}" sourceName="Customer_Segment">
  <pivotTables>
    <pivotTable tabId="4" name="PivotTable8"/>
    <pivotTable tabId="4" name="PivotTable1"/>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s>
  <data>
    <tabular pivotCacheId="120538171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88AF745-D0E8-47C2-BE8D-0A3309196C70}" sourceName="Age group">
  <pivotTables>
    <pivotTable tabId="4" name="PivotTable8"/>
    <pivotTable tabId="4" name="PivotTable1"/>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s>
  <data>
    <tabular pivotCacheId="1205381719">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racket" xr10:uid="{865883DD-4666-45D8-B8CF-081C8B2FB11B}" sourceName="[Table1].[income bracket]">
  <pivotTables>
    <pivotTable tabId="22" name="PivotTable26"/>
    <pivotTable tabId="22" name="PivotTable29"/>
    <pivotTable tabId="22" name="PivotTable3"/>
    <pivotTable tabId="22" name="PivotTable30"/>
    <pivotTable tabId="22" name="PivotTable31"/>
    <pivotTable tabId="22" name="PivotTable32"/>
    <pivotTable tabId="22" name="PivotTable33"/>
    <pivotTable tabId="22" name="PivotTable34"/>
    <pivotTable tabId="22" name="PivotTable35"/>
    <pivotTable tabId="22" name="PivotTable36"/>
    <pivotTable tabId="22" name="PivotTable4"/>
    <pivotTable tabId="22" name="PivotTable5"/>
    <pivotTable tabId="22" name="PivotTable6"/>
    <pivotTable tabId="22" name="PivotTable60"/>
    <pivotTable tabId="22" name="PivotTable61"/>
    <pivotTable tabId="22" name="PivotTable62"/>
    <pivotTable tabId="22" name="PivotTable1"/>
  </pivotTables>
  <data>
    <olap pivotCacheId="36725233">
      <levels count="2">
        <level uniqueName="[Table1].[income bracket].[(All)]" sourceCaption="(All)" count="0"/>
        <level uniqueName="[Table1].[income bracket].[income bracket]" sourceCaption="income bracket" count="4">
          <ranges>
            <range startItem="0">
              <i n="[Table1].[income bracket].&amp;[High]" c="High"/>
              <i n="[Table1].[income bracket].&amp;[Low]" c="Low"/>
              <i n="[Table1].[income bracket].&amp;[Medium]" c="Medium"/>
              <i n="[Table1].[income bracket].&amp;[Premium]" c="Premium"/>
            </range>
          </ranges>
        </level>
      </levels>
      <selections count="1">
        <selection n="[Table1].[income bracke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038FFC-AA28-4E9F-8DF5-4D5FEA1E4E28}" sourceName="[branches].[Region]">
  <pivotTables>
    <pivotTable tabId="18" name="PivotTable15"/>
    <pivotTable tabId="18" name="PivotTable10"/>
    <pivotTable tabId="18" name="PivotTable11"/>
    <pivotTable tabId="18" name="PivotTable12"/>
    <pivotTable tabId="18" name="PivotTable2"/>
    <pivotTable tabId="18" name="PivotTable3"/>
    <pivotTable tabId="18" name="PivotTable4"/>
    <pivotTable tabId="18" name="PivotTable5"/>
    <pivotTable tabId="18" name="PivotTable6"/>
    <pivotTable tabId="18" name="PivotTable9"/>
  </pivotTables>
  <data>
    <olap pivotCacheId="581568339">
      <levels count="2">
        <level uniqueName="[branches].[Region].[(All)]" sourceCaption="(All)" count="0"/>
        <level uniqueName="[branches].[Region].[Region]" sourceCaption="Region" count="4">
          <ranges>
            <range startItem="0">
              <i n="[branches].[Region].&amp;[East]" c="East"/>
              <i n="[branches].[Region].&amp;[North]" c="North"/>
              <i n="[branches].[Region].&amp;[South]" c="South"/>
              <i n="[branches].[Region].&amp;[West]" c="West"/>
            </range>
          </ranges>
        </level>
      </levels>
      <selections count="1">
        <selection n="[branche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439F513-0B3F-4083-A719-D7E94F02F7F6}" sourceName="[Table1].[Region]">
  <pivotTables>
    <pivotTable tabId="18" name="PivotTable41"/>
  </pivotTables>
  <data>
    <olap pivotCacheId="1556159944">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t_Type" xr10:uid="{7CCCB1D8-1C25-4B4F-825A-E4B6B907F005}" sourceName="[Copy of complaints].[Complaint_Type]">
  <pivotTables>
    <pivotTable tabId="18" name="PivotTable19"/>
  </pivotTables>
  <data>
    <olap pivotCacheId="1556159944">
      <levels count="2">
        <level uniqueName="[Copy of complaints].[Complaint_Type].[(All)]" sourceCaption="(All)" count="0"/>
        <level uniqueName="[Copy of complaints].[Complaint_Type].[Complaint_Type]" sourceCaption="Complaint_Type" count="5">
          <ranges>
            <range startItem="0">
              <i n="[Copy of complaints].[Complaint_Type].&amp;[Charges Dispute]" c="Charges Dispute"/>
              <i n="[Copy of complaints].[Complaint_Type].&amp;[Fraud]" c="Fraud"/>
              <i n="[Copy of complaints].[Complaint_Type].&amp;[Others]" c="Others"/>
              <i n="[Copy of complaints].[Complaint_Type].&amp;[Service Delay]" c="Service Delay"/>
              <i n="[Copy of complaints].[Complaint_Type].&amp;[Technical Issue]" c="Technical Issue"/>
            </range>
          </ranges>
        </level>
      </levels>
      <selections count="1">
        <selection n="[Copy of complaints].[Complaint_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0EBB941-765C-4B60-B61C-B81C1093FA0C}" sourceName="[Copy of complaints].[Date (Year)]">
  <pivotTables>
    <pivotTable tabId="18" name="PivotTable19"/>
    <pivotTable tabId="18" name="PivotTable48"/>
  </pivotTables>
  <data>
    <olap pivotCacheId="1556159944">
      <levels count="2">
        <level uniqueName="[Copy of complaints].[Date (Year)].[(All)]" sourceCaption="(All)" count="0"/>
        <level uniqueName="[Copy of complaints].[Date (Year)].[Date (Year)]" sourceCaption="Date (Year)" count="3">
          <ranges>
            <range startItem="0">
              <i n="[Copy of complaints].[Date (Year)].&amp;[2023]" c="2023"/>
              <i n="[Copy of complaints].[Date (Year)].&amp;[2024]" c="2024"/>
              <i n="[Copy of complaints].[Date (Year)].&amp;[2025]" c="2025"/>
            </range>
          </ranges>
        </level>
      </levels>
      <selections count="1">
        <selection n="[Copy of complaints].[Date (Yea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2" xr10:uid="{568C48E7-2543-46FE-AC61-EB918C915C73}" sourceName="[Table1].[Customer_Segment]">
  <pivotTables>
    <pivotTable tabId="22" name="PivotTable26"/>
    <pivotTable tabId="22" name="PivotTable29"/>
    <pivotTable tabId="22" name="PivotTable3"/>
    <pivotTable tabId="22" name="PivotTable30"/>
    <pivotTable tabId="22" name="PivotTable31"/>
    <pivotTable tabId="22" name="PivotTable32"/>
    <pivotTable tabId="22" name="PivotTable33"/>
    <pivotTable tabId="22" name="PivotTable34"/>
    <pivotTable tabId="22" name="PivotTable35"/>
    <pivotTable tabId="22" name="PivotTable36"/>
    <pivotTable tabId="22" name="PivotTable4"/>
    <pivotTable tabId="22" name="PivotTable5"/>
    <pivotTable tabId="22" name="PivotTable6"/>
    <pivotTable tabId="22" name="PivotTable60"/>
    <pivotTable tabId="22" name="PivotTable61"/>
    <pivotTable tabId="22" name="PivotTable62"/>
    <pivotTable tabId="22" name="PivotTable1"/>
  </pivotTables>
  <data>
    <olap pivotCacheId="36725233">
      <levels count="2">
        <level uniqueName="[Table1].[Customer_Segment].[(All)]" sourceCaption="(All)" count="0"/>
        <level uniqueName="[Table1].[Customer_Segment].[Customer_Segment]" sourceCaption="Customer_Segment" count="3">
          <ranges>
            <range startItem="0">
              <i n="[Table1].[Customer_Segment].&amp;[Corporate]" c="Corporate"/>
              <i n="[Table1].[Customer_Segment].&amp;[Private]" c="Private"/>
              <i n="[Table1].[Customer_Segment].&amp;[Retail]" c="Retail"/>
            </range>
          </ranges>
        </level>
      </levels>
      <selections count="1">
        <selection n="[Table1].[Customer_Segment].[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racket1" xr10:uid="{79B93519-D379-41FB-B515-F8BC90C4216B}" sourceName="[Table1].[income bracket]">
  <pivotTables>
    <pivotTable tabId="18" name="PivotTable25"/>
    <pivotTable tabId="18" name="PivotTable1"/>
    <pivotTable tabId="18" name="PivotTable24"/>
    <pivotTable tabId="18" name="PivotTable7"/>
    <pivotTable tabId="18" name="PivotTable27"/>
    <pivotTable tabId="18" name="PivotTable28"/>
    <pivotTable tabId="18" name="PivotTable29"/>
    <pivotTable tabId="18" name="PivotTable30"/>
    <pivotTable tabId="18" name="PivotTable32"/>
    <pivotTable tabId="18" name="PivotTable8"/>
  </pivotTables>
  <data>
    <olap pivotCacheId="15795286">
      <levels count="2">
        <level uniqueName="[Table1].[income bracket].[(All)]" sourceCaption="(All)" count="0"/>
        <level uniqueName="[Table1].[income bracket].[income bracket]" sourceCaption="income bracket" count="4">
          <ranges>
            <range startItem="0">
              <i n="[Table1].[income bracket].&amp;[High]" c="High"/>
              <i n="[Table1].[income bracket].&amp;[Low]" c="Low"/>
              <i n="[Table1].[income bracket].&amp;[Medium]" c="Medium"/>
              <i n="[Table1].[income bracket].&amp;[Premium]" c="Premium"/>
            </range>
          </ranges>
        </level>
      </levels>
      <selections count="1">
        <selection n="[Table1].[income bracket].[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4AF827D9-513B-4C28-8417-5D12A4ADFE8D}" sourceName="[Table1].[Customer_Segment]">
  <pivotTables>
    <pivotTable tabId="18" name="PivotTable25"/>
    <pivotTable tabId="18" name="PivotTable24"/>
    <pivotTable tabId="18" name="PivotTable27"/>
    <pivotTable tabId="18" name="PivotTable28"/>
    <pivotTable tabId="18" name="PivotTable29"/>
    <pivotTable tabId="18" name="PivotTable30"/>
    <pivotTable tabId="18" name="PivotTable32"/>
    <pivotTable tabId="18" name="PivotTable7"/>
    <pivotTable tabId="18" name="PivotTable8"/>
  </pivotTables>
  <data>
    <olap pivotCacheId="15795286">
      <levels count="2">
        <level uniqueName="[Table1].[Customer_Segment].[(All)]" sourceCaption="(All)" count="0"/>
        <level uniqueName="[Table1].[Customer_Segment].[Customer_Segment]" sourceCaption="Customer_Segment" count="3">
          <ranges>
            <range startItem="0">
              <i n="[Table1].[Customer_Segment].&amp;[Corporate]" c="Corporate"/>
              <i n="[Table1].[Customer_Segment].&amp;[Private]" c="Private"/>
              <i n="[Table1].[Customer_Segment].&amp;[Retail]" c="Retail"/>
            </range>
          </ranges>
        </level>
      </levels>
      <selections count="1">
        <selection n="[Table1].[Customer_Segment].[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3" xr10:uid="{8BB4597D-4EAB-4D75-A051-93536D3EEFF3}" sourceName="[Table1].[Customer_Segment]">
  <pivotTables>
    <pivotTable tabId="18" name="PivotTable48"/>
    <pivotTable tabId="18" name="PivotTable19"/>
    <pivotTable tabId="18" name="PivotTable20"/>
    <pivotTable tabId="18" name="PivotTable31"/>
    <pivotTable tabId="18" name="PivotTable35"/>
    <pivotTable tabId="18" name="PivotTable38"/>
    <pivotTable tabId="18" name="PivotTable39"/>
    <pivotTable tabId="18" name="PivotTable40"/>
    <pivotTable tabId="18" name="PivotTable41"/>
    <pivotTable tabId="18" name="PivotTable44"/>
  </pivotTables>
  <data>
    <olap pivotCacheId="1556159944">
      <levels count="2">
        <level uniqueName="[Table1].[Customer_Segment].[(All)]" sourceCaption="(All)" count="0"/>
        <level uniqueName="[Table1].[Customer_Segment].[Customer_Segment]" sourceCaption="Customer_Segment" count="3">
          <ranges>
            <range startItem="0">
              <i n="[Table1].[Customer_Segment].&amp;[Corporate]" c="Corporate"/>
              <i n="[Table1].[Customer_Segment].&amp;[Private]" c="Private"/>
              <i n="[Table1].[Customer_Segment].&amp;[Retail]" c="Retail"/>
            </range>
          </ranges>
        </level>
      </levels>
      <selections count="1">
        <selection n="[Table1].[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2FB1867F-2D65-4D72-94B6-2E47EF040D32}" cache="Slicer_Customer_Segment" caption="Customer_Segment" columnCount="3" showCaption="0" style="Slicer Style 1 2 2" rowHeight="288000"/>
  <slicer name="Age group" xr10:uid="{B9707E30-C4A2-44A6-8031-19E3077630E0}" cache="Slicer_Age_group" caption="Age group" columnCount="2" showCaption="0" style="Slicer Style 1 2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bracket 1" xr10:uid="{AE88E70A-96D8-4DA6-8A5C-F448315CE4BB}" cache="Slicer_income_bracket" caption="income bracket" columnCount="4" showCaption="0" level="1" style="Slicer Style 1 2 2" rowHeight="216000"/>
  <slicer name="Customer_Segment 1" xr10:uid="{2DD0E6A7-E7CC-4CCB-9B8E-25CA6D69A92F}" cache="Slicer_Customer_Segment2" caption="Customer_Segment" columnCount="3" showCaption="0" level="1" style="Slicer Style 1 2 2" rowHeight="21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bracket" xr10:uid="{B8E31E44-430E-44FF-B16E-E896EE89AB99}" cache="Slicer_income_bracket1" caption="income bracket" columnCount="4" showCaption="0" level="1" style="Slicer Style 1 2 2" rowHeight="257175"/>
  <slicer name="Customer_Segment 2" xr10:uid="{784E3128-238D-48B2-B731-A96DB7800EFE}" cache="Slicer_Customer_Segment1" caption="Customer_Segment" columnCount="3" showCaption="0" level="1" style="Slicer Style 1 2 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B503987-520B-43E4-A9ED-3E802CC0E22C}" cache="Slicer_Region" caption="Region" columnCount="4" showCaption="0" level="1" style="Slicer Style 1" rowHeight="252000"/>
  <slicer name="Region 2" xr10:uid="{CE0766B3-4C1E-4029-8065-EE9008DDA47E}" cache="Slicer_Region" caption="Region" columnCount="4" showCaption="0" level="1" style="Slicer Style 1 2 2" rowHeight="252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3FB9DD2-5EA2-43B5-B0AA-609ED86B51C8}" cache="Slicer_Region1" caption="Region" columnCount="4" showCaption="0" level="1" style="Slicer Style 1" rowHeight="144000"/>
  <slicer name="Complaint_Type" xr10:uid="{34876E8A-DA77-496A-A4E7-BE19C2D41C3A}" cache="Slicer_Complaint_Type" caption="Complaint_Type" level="1" rowHeight="257175"/>
  <slicer name="Date (Year)" xr10:uid="{958A6B49-219E-4BD5-B9A9-C1C43CE59882}" cache="Slicer_Date__Year" caption="Date (Year)" level="1" rowHeight="257175"/>
  <slicer name="Customer_Segment 3" xr10:uid="{84EDE7E0-977B-46BF-A69C-2A16E4BDB341}" cache="Slicer_Customer_Segment3" caption="Customer_Segment" columnCount="3" showCaption="0" level="1" style="Slicer Style 1 2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953AEC-E395-41D9-B616-E293DD4FEC88}" name="Table1" displayName="Table1" ref="A1:O501" totalsRowShown="0">
  <autoFilter ref="A1:O501" xr:uid="{C9953AEC-E395-41D9-B616-E293DD4FEC88}"/>
  <tableColumns count="15">
    <tableColumn id="1" xr3:uid="{E1E170D5-847A-4F74-A262-03E8F311406B}" name="CustomerID"/>
    <tableColumn id="2" xr3:uid="{DCCB43B2-7749-42F2-8C07-193AEC5367EC}" name="Name"/>
    <tableColumn id="3" xr3:uid="{CC3F84C9-DDCE-40A3-B4F5-6154C94319CF}" name="Gender"/>
    <tableColumn id="4" xr3:uid="{CC1BAA08-DD3D-4DD8-8E72-3DF36832D10C}" name="Age group"/>
    <tableColumn id="5" xr3:uid="{72A5C6DB-5FAC-4FA8-83A7-8FC75F623A8F}" name="Age"/>
    <tableColumn id="6" xr3:uid="{F8142631-3A83-4FED-92D4-AE1A0E93BCF6}" name="Region"/>
    <tableColumn id="7" xr3:uid="{0B576BC2-61B5-4E03-B358-2E48756C6E7E}" name="Occupation"/>
    <tableColumn id="8" xr3:uid="{390023A5-C4CF-4256-8158-82664A0019E4}" name="income bracket">
      <calculatedColumnFormula array="1">_xlfn.IFS(I2&lt;30000,"Low",I2&lt;60000,"Medium",I2&lt;100000,"High",TRUE,"Premium")</calculatedColumnFormula>
    </tableColumn>
    <tableColumn id="9" xr3:uid="{FF8B54C3-41F3-4DC9-8C45-413C84E8410F}" name="Income" dataDxfId="4" dataCellStyle="Comma"/>
    <tableColumn id="10" xr3:uid="{EFAA46E9-8519-4BFF-ABA2-C4A451DE0DB9}" name="Customer_Segment"/>
    <tableColumn id="14" xr3:uid="{E0A6E1AE-7D16-4511-86D1-4766CF537282}" name="tenure bracket" dataDxfId="3">
      <calculatedColumnFormula array="1">_xlfn.IFS(Table1[[#This Row],[tenure]]&lt;=2,"New",Table1[[#This Row],[tenure]]&lt;=5,"Emerging",Table1[[#This Row],[tenure]]&lt;=8,"Loyal",Table1[[#This Row],[tenure]]&lt;=10,"Legacy")</calculatedColumnFormula>
    </tableColumn>
    <tableColumn id="15" xr3:uid="{1AB46F4B-C9D7-42AC-9737-C889AF2E1C19}" name="MONTH YEAR" dataDxfId="2">
      <calculatedColumnFormula>TEXT(Table1[[#This Row],[Join_Date]],"mmm-yyyy")</calculatedColumnFormula>
    </tableColumn>
    <tableColumn id="12" xr3:uid="{B5AFAC56-585B-4207-B62A-97FAA7BEB52D}" name="tenure"/>
    <tableColumn id="11" xr3:uid="{495C1086-6473-4373-B151-1C41F51BCDA6}" name="YEAR" dataDxfId="1">
      <calculatedColumnFormula>YEAR(Table1[[#This Row],[Join_Date]])</calculatedColumnFormula>
    </tableColumn>
    <tableColumn id="13" xr3:uid="{0C1268B8-CA02-44BC-97F4-BBB311BDCBEE}" name="Join_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6.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ivotTable" Target="../pivotTables/pivotTable25.xml"/><Relationship Id="rId18" Type="http://schemas.openxmlformats.org/officeDocument/2006/relationships/printerSettings" Target="../printerSettings/printerSettings7.bin"/><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17" Type="http://schemas.openxmlformats.org/officeDocument/2006/relationships/pivotTable" Target="../pivotTables/pivotTable29.xml"/><Relationship Id="rId2" Type="http://schemas.openxmlformats.org/officeDocument/2006/relationships/pivotTable" Target="../pivotTables/pivotTable14.xml"/><Relationship Id="rId16" Type="http://schemas.openxmlformats.org/officeDocument/2006/relationships/pivotTable" Target="../pivotTables/pivotTable28.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5" Type="http://schemas.openxmlformats.org/officeDocument/2006/relationships/pivotTable" Target="../pivotTables/pivotTable27.xml"/><Relationship Id="rId10" Type="http://schemas.openxmlformats.org/officeDocument/2006/relationships/pivotTable" Target="../pivotTables/pivotTable22.xml"/><Relationship Id="rId19" Type="http://schemas.openxmlformats.org/officeDocument/2006/relationships/drawing" Target="../drawings/drawing6.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pivotTable" Target="../pivotTables/pivotTable26.xml"/></Relationships>
</file>

<file path=xl/worksheets/_rels/sheet8.xml.rels><?xml version="1.0" encoding="UTF-8" standalone="yes"?>
<Relationships xmlns="http://schemas.openxmlformats.org/package/2006/relationships"><Relationship Id="rId13" Type="http://schemas.openxmlformats.org/officeDocument/2006/relationships/pivotTable" Target="../pivotTables/pivotTable42.xml"/><Relationship Id="rId18" Type="http://schemas.openxmlformats.org/officeDocument/2006/relationships/pivotTable" Target="../pivotTables/pivotTable47.xml"/><Relationship Id="rId26" Type="http://schemas.openxmlformats.org/officeDocument/2006/relationships/pivotTable" Target="../pivotTables/pivotTable55.xml"/><Relationship Id="rId39" Type="http://schemas.openxmlformats.org/officeDocument/2006/relationships/pivotTable" Target="../pivotTables/pivotTable68.xml"/><Relationship Id="rId21" Type="http://schemas.openxmlformats.org/officeDocument/2006/relationships/pivotTable" Target="../pivotTables/pivotTable50.xml"/><Relationship Id="rId34" Type="http://schemas.openxmlformats.org/officeDocument/2006/relationships/pivotTable" Target="../pivotTables/pivotTable63.xml"/><Relationship Id="rId42" Type="http://schemas.openxmlformats.org/officeDocument/2006/relationships/pivotTable" Target="../pivotTables/pivotTable71.xml"/><Relationship Id="rId47" Type="http://schemas.openxmlformats.org/officeDocument/2006/relationships/pivotTable" Target="../pivotTables/pivotTable76.xml"/><Relationship Id="rId7" Type="http://schemas.openxmlformats.org/officeDocument/2006/relationships/pivotTable" Target="../pivotTables/pivotTable36.xml"/><Relationship Id="rId2" Type="http://schemas.openxmlformats.org/officeDocument/2006/relationships/pivotTable" Target="../pivotTables/pivotTable31.xml"/><Relationship Id="rId16" Type="http://schemas.openxmlformats.org/officeDocument/2006/relationships/pivotTable" Target="../pivotTables/pivotTable45.xml"/><Relationship Id="rId29" Type="http://schemas.openxmlformats.org/officeDocument/2006/relationships/pivotTable" Target="../pivotTables/pivotTable58.xml"/><Relationship Id="rId1" Type="http://schemas.openxmlformats.org/officeDocument/2006/relationships/pivotTable" Target="../pivotTables/pivotTable30.xml"/><Relationship Id="rId6" Type="http://schemas.openxmlformats.org/officeDocument/2006/relationships/pivotTable" Target="../pivotTables/pivotTable35.xml"/><Relationship Id="rId11" Type="http://schemas.openxmlformats.org/officeDocument/2006/relationships/pivotTable" Target="../pivotTables/pivotTable40.xml"/><Relationship Id="rId24" Type="http://schemas.openxmlformats.org/officeDocument/2006/relationships/pivotTable" Target="../pivotTables/pivotTable53.xml"/><Relationship Id="rId32" Type="http://schemas.openxmlformats.org/officeDocument/2006/relationships/pivotTable" Target="../pivotTables/pivotTable61.xml"/><Relationship Id="rId37" Type="http://schemas.openxmlformats.org/officeDocument/2006/relationships/pivotTable" Target="../pivotTables/pivotTable66.xml"/><Relationship Id="rId40" Type="http://schemas.openxmlformats.org/officeDocument/2006/relationships/pivotTable" Target="../pivotTables/pivotTable69.xml"/><Relationship Id="rId45" Type="http://schemas.openxmlformats.org/officeDocument/2006/relationships/pivotTable" Target="../pivotTables/pivotTable74.xml"/><Relationship Id="rId5" Type="http://schemas.openxmlformats.org/officeDocument/2006/relationships/pivotTable" Target="../pivotTables/pivotTable34.xml"/><Relationship Id="rId15" Type="http://schemas.openxmlformats.org/officeDocument/2006/relationships/pivotTable" Target="../pivotTables/pivotTable44.xml"/><Relationship Id="rId23" Type="http://schemas.openxmlformats.org/officeDocument/2006/relationships/pivotTable" Target="../pivotTables/pivotTable52.xml"/><Relationship Id="rId28" Type="http://schemas.openxmlformats.org/officeDocument/2006/relationships/pivotTable" Target="../pivotTables/pivotTable57.xml"/><Relationship Id="rId36" Type="http://schemas.openxmlformats.org/officeDocument/2006/relationships/pivotTable" Target="../pivotTables/pivotTable65.xml"/><Relationship Id="rId10" Type="http://schemas.openxmlformats.org/officeDocument/2006/relationships/pivotTable" Target="../pivotTables/pivotTable39.xml"/><Relationship Id="rId19" Type="http://schemas.openxmlformats.org/officeDocument/2006/relationships/pivotTable" Target="../pivotTables/pivotTable48.xml"/><Relationship Id="rId31" Type="http://schemas.openxmlformats.org/officeDocument/2006/relationships/pivotTable" Target="../pivotTables/pivotTable60.xml"/><Relationship Id="rId44" Type="http://schemas.openxmlformats.org/officeDocument/2006/relationships/pivotTable" Target="../pivotTables/pivotTable73.xml"/><Relationship Id="rId4" Type="http://schemas.openxmlformats.org/officeDocument/2006/relationships/pivotTable" Target="../pivotTables/pivotTable33.xml"/><Relationship Id="rId9" Type="http://schemas.openxmlformats.org/officeDocument/2006/relationships/pivotTable" Target="../pivotTables/pivotTable38.xml"/><Relationship Id="rId14" Type="http://schemas.openxmlformats.org/officeDocument/2006/relationships/pivotTable" Target="../pivotTables/pivotTable43.xml"/><Relationship Id="rId22" Type="http://schemas.openxmlformats.org/officeDocument/2006/relationships/pivotTable" Target="../pivotTables/pivotTable51.xml"/><Relationship Id="rId27" Type="http://schemas.openxmlformats.org/officeDocument/2006/relationships/pivotTable" Target="../pivotTables/pivotTable56.xml"/><Relationship Id="rId30" Type="http://schemas.openxmlformats.org/officeDocument/2006/relationships/pivotTable" Target="../pivotTables/pivotTable59.xml"/><Relationship Id="rId35" Type="http://schemas.openxmlformats.org/officeDocument/2006/relationships/pivotTable" Target="../pivotTables/pivotTable64.xml"/><Relationship Id="rId43" Type="http://schemas.openxmlformats.org/officeDocument/2006/relationships/pivotTable" Target="../pivotTables/pivotTable72.xml"/><Relationship Id="rId48" Type="http://schemas.openxmlformats.org/officeDocument/2006/relationships/printerSettings" Target="../printerSettings/printerSettings8.bin"/><Relationship Id="rId8" Type="http://schemas.openxmlformats.org/officeDocument/2006/relationships/pivotTable" Target="../pivotTables/pivotTable37.xml"/><Relationship Id="rId3" Type="http://schemas.openxmlformats.org/officeDocument/2006/relationships/pivotTable" Target="../pivotTables/pivotTable32.xml"/><Relationship Id="rId12" Type="http://schemas.openxmlformats.org/officeDocument/2006/relationships/pivotTable" Target="../pivotTables/pivotTable41.xml"/><Relationship Id="rId17" Type="http://schemas.openxmlformats.org/officeDocument/2006/relationships/pivotTable" Target="../pivotTables/pivotTable46.xml"/><Relationship Id="rId25" Type="http://schemas.openxmlformats.org/officeDocument/2006/relationships/pivotTable" Target="../pivotTables/pivotTable54.xml"/><Relationship Id="rId33" Type="http://schemas.openxmlformats.org/officeDocument/2006/relationships/pivotTable" Target="../pivotTables/pivotTable62.xml"/><Relationship Id="rId38" Type="http://schemas.openxmlformats.org/officeDocument/2006/relationships/pivotTable" Target="../pivotTables/pivotTable67.xml"/><Relationship Id="rId46" Type="http://schemas.openxmlformats.org/officeDocument/2006/relationships/pivotTable" Target="../pivotTables/pivotTable75.xml"/><Relationship Id="rId20" Type="http://schemas.openxmlformats.org/officeDocument/2006/relationships/pivotTable" Target="../pivotTables/pivotTable49.xml"/><Relationship Id="rId41" Type="http://schemas.openxmlformats.org/officeDocument/2006/relationships/pivotTable" Target="../pivotTables/pivotTable7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18C9E-5752-4C42-941C-9E78973D51DE}">
  <dimension ref="A1"/>
  <sheetViews>
    <sheetView showGridLines="0" topLeftCell="A2" zoomScale="68" zoomScaleNormal="68" workbookViewId="0">
      <selection activeCell="B7" sqref="B7"/>
    </sheetView>
  </sheetViews>
  <sheetFormatPr defaultRowHeight="15" x14ac:dyDescent="0.25"/>
  <cols>
    <col min="1" max="16384" width="9.140625" style="1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B070-02D8-4790-9CC8-20ABE46C882D}">
  <sheetPr>
    <pageSetUpPr fitToPage="1"/>
  </sheetPr>
  <dimension ref="W24"/>
  <sheetViews>
    <sheetView showGridLines="0" topLeftCell="B1" zoomScale="68" zoomScaleNormal="68" workbookViewId="0">
      <selection activeCell="D15" sqref="D15"/>
    </sheetView>
  </sheetViews>
  <sheetFormatPr defaultRowHeight="15" x14ac:dyDescent="0.25"/>
  <cols>
    <col min="1" max="16384" width="9.140625" style="18"/>
  </cols>
  <sheetData>
    <row r="24" spans="23:23" x14ac:dyDescent="0.25">
      <c r="W24" s="18" t="s">
        <v>1070</v>
      </c>
    </row>
  </sheetData>
  <pageMargins left="1" right="1" top="1" bottom="1" header="0.5" footer="0.5"/>
  <pageSetup paperSize="9" scale="33"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3512-3717-4017-A349-1ED056ECE5EF}">
  <sheetPr>
    <pageSetUpPr fitToPage="1"/>
  </sheetPr>
  <dimension ref="G43"/>
  <sheetViews>
    <sheetView showGridLines="0" tabSelected="1" topLeftCell="A2" zoomScale="73" zoomScaleNormal="73" workbookViewId="0">
      <selection activeCell="AB12" sqref="AB12"/>
    </sheetView>
  </sheetViews>
  <sheetFormatPr defaultRowHeight="15" x14ac:dyDescent="0.25"/>
  <cols>
    <col min="1" max="16384" width="9.140625" style="18"/>
  </cols>
  <sheetData>
    <row r="43" spans="7:7" x14ac:dyDescent="0.25">
      <c r="G43" s="18" t="s">
        <v>1092</v>
      </c>
    </row>
  </sheetData>
  <pageMargins left="0.7" right="0.7" top="0.75" bottom="0.75" header="0.3" footer="0.3"/>
  <pageSetup paperSize="9" scale="36"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F277-32E6-4073-9059-C92CC37BF799}">
  <sheetPr>
    <pageSetUpPr fitToPage="1"/>
  </sheetPr>
  <dimension ref="A1"/>
  <sheetViews>
    <sheetView topLeftCell="B5" zoomScale="80" zoomScaleNormal="80" workbookViewId="0">
      <selection activeCell="C11" sqref="C11"/>
    </sheetView>
  </sheetViews>
  <sheetFormatPr defaultRowHeight="15" x14ac:dyDescent="0.25"/>
  <cols>
    <col min="1" max="16384" width="9.140625" style="18"/>
  </cols>
  <sheetData/>
  <pageMargins left="0.70866141732283472" right="0.70866141732283472" top="0.74803149606299213" bottom="0.74803149606299213" header="0.31496062992125984" footer="0.31496062992125984"/>
  <pageSetup paperSize="9" scale="34" fitToHeight="0"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DD048-EEF2-4971-A45A-614F3122EA39}">
  <dimension ref="A1"/>
  <sheetViews>
    <sheetView topLeftCell="D1" zoomScale="70" zoomScaleNormal="70" workbookViewId="0"/>
  </sheetViews>
  <sheetFormatPr defaultRowHeight="15" x14ac:dyDescent="0.25"/>
  <cols>
    <col min="1" max="16384" width="9.140625" style="1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D6A8D-0D2F-48E7-8ADD-9531AFA39380}">
  <dimension ref="A3:I49"/>
  <sheetViews>
    <sheetView zoomScale="77" workbookViewId="0">
      <selection activeCell="E37" sqref="E37"/>
    </sheetView>
  </sheetViews>
  <sheetFormatPr defaultRowHeight="15" x14ac:dyDescent="0.25"/>
  <cols>
    <col min="1" max="1" width="13.42578125" bestFit="1" customWidth="1"/>
    <col min="2" max="2" width="20.5703125" bestFit="1" customWidth="1"/>
    <col min="3" max="3" width="17.85546875" bestFit="1" customWidth="1"/>
    <col min="4" max="4" width="17" bestFit="1" customWidth="1"/>
    <col min="5" max="5" width="17.85546875" bestFit="1" customWidth="1"/>
    <col min="6" max="6" width="4.5703125" bestFit="1" customWidth="1"/>
    <col min="7" max="7" width="8.28515625" bestFit="1" customWidth="1"/>
    <col min="8" max="8" width="9.140625" bestFit="1" customWidth="1"/>
    <col min="9" max="9" width="11.28515625" bestFit="1" customWidth="1"/>
    <col min="10" max="463" width="10.42578125" bestFit="1" customWidth="1"/>
    <col min="464" max="464" width="11.28515625" bestFit="1" customWidth="1"/>
  </cols>
  <sheetData>
    <row r="3" spans="1:9" x14ac:dyDescent="0.25">
      <c r="A3" t="s">
        <v>1035</v>
      </c>
      <c r="B3" t="s">
        <v>1036</v>
      </c>
      <c r="C3" t="s">
        <v>1037</v>
      </c>
      <c r="D3" t="s">
        <v>1038</v>
      </c>
    </row>
    <row r="4" spans="1:9" x14ac:dyDescent="0.25">
      <c r="A4">
        <v>500</v>
      </c>
      <c r="B4" s="4">
        <v>46.28</v>
      </c>
      <c r="C4" s="6">
        <v>114398.822</v>
      </c>
      <c r="D4" s="4">
        <v>5.1539999999999999</v>
      </c>
    </row>
    <row r="6" spans="1:9" x14ac:dyDescent="0.25">
      <c r="A6" s="3" t="s">
        <v>1039</v>
      </c>
      <c r="B6" t="s">
        <v>1035</v>
      </c>
      <c r="D6" s="3" t="s">
        <v>1039</v>
      </c>
      <c r="E6" t="s">
        <v>1035</v>
      </c>
    </row>
    <row r="7" spans="1:9" x14ac:dyDescent="0.25">
      <c r="A7" s="5">
        <v>2015</v>
      </c>
      <c r="B7">
        <v>18</v>
      </c>
      <c r="D7" s="5" t="s">
        <v>19</v>
      </c>
      <c r="E7" s="4">
        <v>149</v>
      </c>
    </row>
    <row r="8" spans="1:9" x14ac:dyDescent="0.25">
      <c r="A8" s="5">
        <v>2016</v>
      </c>
      <c r="B8">
        <v>42</v>
      </c>
      <c r="D8" s="5" t="s">
        <v>43</v>
      </c>
      <c r="E8" s="4">
        <v>73</v>
      </c>
    </row>
    <row r="9" spans="1:9" x14ac:dyDescent="0.25">
      <c r="A9" s="5">
        <v>2017</v>
      </c>
      <c r="B9">
        <v>66</v>
      </c>
      <c r="D9" s="5" t="s">
        <v>31</v>
      </c>
      <c r="E9" s="4">
        <v>167</v>
      </c>
    </row>
    <row r="10" spans="1:9" x14ac:dyDescent="0.25">
      <c r="A10" s="5">
        <v>2018</v>
      </c>
      <c r="B10">
        <v>45</v>
      </c>
      <c r="D10" s="5" t="s">
        <v>1074</v>
      </c>
      <c r="E10" s="4">
        <v>111</v>
      </c>
    </row>
    <row r="11" spans="1:9" x14ac:dyDescent="0.25">
      <c r="A11" s="5">
        <v>2019</v>
      </c>
      <c r="B11">
        <v>59</v>
      </c>
      <c r="D11" s="5" t="s">
        <v>1040</v>
      </c>
      <c r="E11" s="4">
        <v>500</v>
      </c>
    </row>
    <row r="12" spans="1:9" x14ac:dyDescent="0.25">
      <c r="A12" s="5">
        <v>2020</v>
      </c>
      <c r="B12">
        <v>45</v>
      </c>
    </row>
    <row r="13" spans="1:9" x14ac:dyDescent="0.25">
      <c r="A13" s="5">
        <v>2021</v>
      </c>
      <c r="B13">
        <v>49</v>
      </c>
      <c r="D13" s="3" t="s">
        <v>1035</v>
      </c>
      <c r="E13" s="3" t="s">
        <v>1052</v>
      </c>
    </row>
    <row r="14" spans="1:9" x14ac:dyDescent="0.25">
      <c r="A14" s="5">
        <v>2022</v>
      </c>
      <c r="B14">
        <v>52</v>
      </c>
      <c r="D14" s="3" t="s">
        <v>1039</v>
      </c>
      <c r="E14" t="s">
        <v>1053</v>
      </c>
      <c r="F14" t="s">
        <v>1054</v>
      </c>
      <c r="G14" t="s">
        <v>1055</v>
      </c>
      <c r="H14" t="s">
        <v>1056</v>
      </c>
      <c r="I14" t="s">
        <v>1040</v>
      </c>
    </row>
    <row r="15" spans="1:9" x14ac:dyDescent="0.25">
      <c r="A15" s="5">
        <v>2023</v>
      </c>
      <c r="B15">
        <v>48</v>
      </c>
      <c r="D15" s="5" t="s">
        <v>54</v>
      </c>
      <c r="E15" s="4">
        <v>31</v>
      </c>
      <c r="F15" s="4">
        <v>5</v>
      </c>
      <c r="G15" s="4">
        <v>13</v>
      </c>
      <c r="H15" s="4">
        <v>77</v>
      </c>
      <c r="I15" s="4">
        <v>126</v>
      </c>
    </row>
    <row r="16" spans="1:9" x14ac:dyDescent="0.25">
      <c r="A16" s="5">
        <v>2024</v>
      </c>
      <c r="B16">
        <v>51</v>
      </c>
      <c r="D16" s="5" t="s">
        <v>23</v>
      </c>
      <c r="E16" s="4">
        <v>33</v>
      </c>
      <c r="F16" s="4">
        <v>7</v>
      </c>
      <c r="G16" s="4">
        <v>20</v>
      </c>
      <c r="H16" s="4">
        <v>81</v>
      </c>
      <c r="I16" s="4">
        <v>141</v>
      </c>
    </row>
    <row r="17" spans="1:9" x14ac:dyDescent="0.25">
      <c r="A17" s="5">
        <v>2025</v>
      </c>
      <c r="B17">
        <v>25</v>
      </c>
      <c r="D17" s="5" t="s">
        <v>37</v>
      </c>
      <c r="E17" s="4">
        <v>23</v>
      </c>
      <c r="F17" s="4">
        <v>3</v>
      </c>
      <c r="G17" s="4">
        <v>15</v>
      </c>
      <c r="H17" s="4">
        <v>45</v>
      </c>
      <c r="I17" s="4">
        <v>86</v>
      </c>
    </row>
    <row r="18" spans="1:9" x14ac:dyDescent="0.25">
      <c r="A18" s="5" t="s">
        <v>1040</v>
      </c>
      <c r="B18">
        <v>500</v>
      </c>
      <c r="D18" s="5" t="s">
        <v>15</v>
      </c>
      <c r="E18" s="4">
        <v>28</v>
      </c>
      <c r="F18" s="4">
        <v>11</v>
      </c>
      <c r="G18" s="4">
        <v>22</v>
      </c>
      <c r="H18" s="4">
        <v>86</v>
      </c>
      <c r="I18" s="4">
        <v>147</v>
      </c>
    </row>
    <row r="19" spans="1:9" x14ac:dyDescent="0.25">
      <c r="D19" s="5" t="s">
        <v>1040</v>
      </c>
      <c r="E19" s="4">
        <v>115</v>
      </c>
      <c r="F19" s="4">
        <v>26</v>
      </c>
      <c r="G19" s="4">
        <v>70</v>
      </c>
      <c r="H19" s="4">
        <v>289</v>
      </c>
      <c r="I19" s="4">
        <v>500</v>
      </c>
    </row>
    <row r="20" spans="1:9" x14ac:dyDescent="0.25">
      <c r="D20" s="3" t="s">
        <v>1039</v>
      </c>
      <c r="E20" t="s">
        <v>1037</v>
      </c>
    </row>
    <row r="21" spans="1:9" x14ac:dyDescent="0.25">
      <c r="D21" s="5" t="s">
        <v>26</v>
      </c>
      <c r="E21" s="6">
        <v>112910.04142011834</v>
      </c>
    </row>
    <row r="22" spans="1:9" x14ac:dyDescent="0.25">
      <c r="D22" s="5" t="s">
        <v>30</v>
      </c>
      <c r="E22" s="6">
        <v>118774.17777777778</v>
      </c>
    </row>
    <row r="23" spans="1:9" x14ac:dyDescent="0.25">
      <c r="A23" s="3" t="s">
        <v>1039</v>
      </c>
      <c r="B23" t="s">
        <v>1037</v>
      </c>
      <c r="D23" s="5" t="s">
        <v>18</v>
      </c>
      <c r="E23" s="6">
        <v>114590.12587412588</v>
      </c>
    </row>
    <row r="24" spans="1:9" x14ac:dyDescent="0.25">
      <c r="A24" s="5" t="s">
        <v>1041</v>
      </c>
      <c r="B24" s="6">
        <v>106916.27777777778</v>
      </c>
      <c r="D24" s="5" t="s">
        <v>1040</v>
      </c>
      <c r="E24" s="6">
        <v>114398.822</v>
      </c>
    </row>
    <row r="25" spans="1:9" x14ac:dyDescent="0.25">
      <c r="A25" s="5" t="s">
        <v>1042</v>
      </c>
      <c r="B25" s="6">
        <v>101878.73809523809</v>
      </c>
    </row>
    <row r="26" spans="1:9" x14ac:dyDescent="0.25">
      <c r="A26" s="5" t="s">
        <v>1043</v>
      </c>
      <c r="B26" s="6">
        <v>113301.93939393939</v>
      </c>
      <c r="D26" s="3" t="s">
        <v>1035</v>
      </c>
      <c r="E26" s="3" t="s">
        <v>1052</v>
      </c>
    </row>
    <row r="27" spans="1:9" x14ac:dyDescent="0.25">
      <c r="A27" s="5" t="s">
        <v>1044</v>
      </c>
      <c r="B27" s="6">
        <v>116536.48888888888</v>
      </c>
      <c r="D27" s="3" t="s">
        <v>1039</v>
      </c>
      <c r="E27" t="s">
        <v>22</v>
      </c>
      <c r="F27" t="s">
        <v>14</v>
      </c>
      <c r="G27" t="s">
        <v>1040</v>
      </c>
    </row>
    <row r="28" spans="1:9" x14ac:dyDescent="0.25">
      <c r="A28" s="5" t="s">
        <v>1045</v>
      </c>
      <c r="B28" s="6">
        <v>113918.22033898305</v>
      </c>
      <c r="D28" s="5" t="s">
        <v>24</v>
      </c>
      <c r="E28" s="4">
        <v>71</v>
      </c>
      <c r="F28" s="4">
        <v>62</v>
      </c>
      <c r="G28" s="4">
        <v>133</v>
      </c>
    </row>
    <row r="29" spans="1:9" x14ac:dyDescent="0.25">
      <c r="A29" s="5" t="s">
        <v>1046</v>
      </c>
      <c r="B29" s="6">
        <v>120721.28888888888</v>
      </c>
      <c r="D29" s="5" t="s">
        <v>16</v>
      </c>
      <c r="E29" s="4">
        <v>57</v>
      </c>
      <c r="F29" s="4">
        <v>63</v>
      </c>
      <c r="G29" s="4">
        <v>120</v>
      </c>
    </row>
    <row r="30" spans="1:9" x14ac:dyDescent="0.25">
      <c r="A30" s="5" t="s">
        <v>1047</v>
      </c>
      <c r="B30" s="6">
        <v>112730.14285714286</v>
      </c>
      <c r="D30" s="5" t="s">
        <v>42</v>
      </c>
      <c r="E30" s="4">
        <v>70</v>
      </c>
      <c r="F30" s="4">
        <v>67</v>
      </c>
      <c r="G30" s="4">
        <v>137</v>
      </c>
    </row>
    <row r="31" spans="1:9" x14ac:dyDescent="0.25">
      <c r="A31" s="5" t="s">
        <v>1048</v>
      </c>
      <c r="B31" s="6">
        <v>109796.67307692308</v>
      </c>
      <c r="D31" s="5" t="s">
        <v>38</v>
      </c>
      <c r="E31" s="4">
        <v>58</v>
      </c>
      <c r="F31" s="4">
        <v>52</v>
      </c>
      <c r="G31" s="4">
        <v>110</v>
      </c>
    </row>
    <row r="32" spans="1:9" x14ac:dyDescent="0.25">
      <c r="A32" s="5" t="s">
        <v>1049</v>
      </c>
      <c r="B32" s="6">
        <v>127026.27083333333</v>
      </c>
      <c r="D32" s="5" t="s">
        <v>1040</v>
      </c>
      <c r="E32" s="4">
        <v>256</v>
      </c>
      <c r="F32" s="4">
        <v>244</v>
      </c>
      <c r="G32" s="4">
        <v>500</v>
      </c>
    </row>
    <row r="33" spans="1:5" x14ac:dyDescent="0.25">
      <c r="A33" s="5" t="s">
        <v>1050</v>
      </c>
      <c r="B33" s="6">
        <v>123050.49019607843</v>
      </c>
    </row>
    <row r="34" spans="1:5" x14ac:dyDescent="0.25">
      <c r="A34" s="5" t="s">
        <v>1051</v>
      </c>
      <c r="B34" s="6">
        <v>100570.72</v>
      </c>
      <c r="D34" s="3" t="s">
        <v>1039</v>
      </c>
      <c r="E34" t="s">
        <v>1038</v>
      </c>
    </row>
    <row r="35" spans="1:5" x14ac:dyDescent="0.25">
      <c r="A35" s="5" t="s">
        <v>1040</v>
      </c>
      <c r="B35" s="6">
        <v>114398.822</v>
      </c>
      <c r="D35" s="5" t="s">
        <v>1041</v>
      </c>
      <c r="E35" s="4">
        <v>10</v>
      </c>
    </row>
    <row r="36" spans="1:5" x14ac:dyDescent="0.25">
      <c r="B36" s="10"/>
      <c r="D36" s="5" t="s">
        <v>1042</v>
      </c>
      <c r="E36" s="4">
        <v>9.2857142857142865</v>
      </c>
    </row>
    <row r="37" spans="1:5" x14ac:dyDescent="0.25">
      <c r="A37" s="3" t="s">
        <v>1039</v>
      </c>
      <c r="B37" t="s">
        <v>1036</v>
      </c>
      <c r="D37" s="5" t="s">
        <v>1043</v>
      </c>
      <c r="E37" s="4">
        <v>8.1969696969696972</v>
      </c>
    </row>
    <row r="38" spans="1:5" x14ac:dyDescent="0.25">
      <c r="A38" s="5" t="s">
        <v>1041</v>
      </c>
      <c r="B38" s="4">
        <v>40.444444444444443</v>
      </c>
      <c r="D38" s="5" t="s">
        <v>1044</v>
      </c>
      <c r="E38" s="4">
        <v>7.1555555555555559</v>
      </c>
    </row>
    <row r="39" spans="1:5" x14ac:dyDescent="0.25">
      <c r="A39" s="5" t="s">
        <v>1042</v>
      </c>
      <c r="B39" s="4">
        <v>46.857142857142854</v>
      </c>
      <c r="D39" s="5" t="s">
        <v>1045</v>
      </c>
      <c r="E39" s="4">
        <v>6.1864406779661021</v>
      </c>
    </row>
    <row r="40" spans="1:5" x14ac:dyDescent="0.25">
      <c r="A40" s="5" t="s">
        <v>1043</v>
      </c>
      <c r="B40" s="4">
        <v>43.984848484848484</v>
      </c>
      <c r="D40" s="5" t="s">
        <v>1046</v>
      </c>
      <c r="E40" s="4">
        <v>5.2222222222222223</v>
      </c>
    </row>
    <row r="41" spans="1:5" x14ac:dyDescent="0.25">
      <c r="A41" s="5" t="s">
        <v>1044</v>
      </c>
      <c r="B41" s="4">
        <v>47.644444444444446</v>
      </c>
      <c r="D41" s="5" t="s">
        <v>1047</v>
      </c>
      <c r="E41" s="4">
        <v>4.2448979591836737</v>
      </c>
    </row>
    <row r="42" spans="1:5" x14ac:dyDescent="0.25">
      <c r="A42" s="5" t="s">
        <v>1045</v>
      </c>
      <c r="B42" s="4">
        <v>48.711864406779661</v>
      </c>
      <c r="D42" s="5" t="s">
        <v>1048</v>
      </c>
      <c r="E42" s="4">
        <v>3.1153846153846154</v>
      </c>
    </row>
    <row r="43" spans="1:5" x14ac:dyDescent="0.25">
      <c r="A43" s="5" t="s">
        <v>1046</v>
      </c>
      <c r="B43" s="4">
        <v>43.866666666666667</v>
      </c>
      <c r="D43" s="5" t="s">
        <v>1049</v>
      </c>
      <c r="E43" s="4">
        <v>2.2708333333333335</v>
      </c>
    </row>
    <row r="44" spans="1:5" x14ac:dyDescent="0.25">
      <c r="A44" s="5" t="s">
        <v>1047</v>
      </c>
      <c r="B44" s="4">
        <v>48.408163265306122</v>
      </c>
      <c r="D44" s="5" t="s">
        <v>1050</v>
      </c>
      <c r="E44" s="4">
        <v>1.0784313725490196</v>
      </c>
    </row>
    <row r="45" spans="1:5" x14ac:dyDescent="0.25">
      <c r="A45" s="5" t="s">
        <v>1048</v>
      </c>
      <c r="B45" s="4">
        <v>47.75</v>
      </c>
      <c r="D45" s="5" t="s">
        <v>1051</v>
      </c>
      <c r="E45" s="4">
        <v>0.4</v>
      </c>
    </row>
    <row r="46" spans="1:5" x14ac:dyDescent="0.25">
      <c r="A46" s="5" t="s">
        <v>1049</v>
      </c>
      <c r="B46" s="4">
        <v>46.5</v>
      </c>
      <c r="D46" s="5" t="s">
        <v>1040</v>
      </c>
      <c r="E46" s="4">
        <v>5.1539999999999999</v>
      </c>
    </row>
    <row r="47" spans="1:5" x14ac:dyDescent="0.25">
      <c r="A47" s="5" t="s">
        <v>1050</v>
      </c>
      <c r="B47" s="4">
        <v>44.980392156862742</v>
      </c>
    </row>
    <row r="48" spans="1:5" x14ac:dyDescent="0.25">
      <c r="A48" s="5" t="s">
        <v>1051</v>
      </c>
      <c r="B48" s="4">
        <v>46.72</v>
      </c>
    </row>
    <row r="49" spans="1:2" x14ac:dyDescent="0.25">
      <c r="A49" s="5" t="s">
        <v>1040</v>
      </c>
      <c r="B49" s="4">
        <v>46.28</v>
      </c>
    </row>
  </sheetData>
  <pageMargins left="0.7" right="0.7" top="0.75" bottom="0.75" header="0.3" footer="0.3"/>
  <pageSetup paperSize="9" orientation="portrait"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583E2-EBCA-4CCF-86AB-584EED389A69}">
  <dimension ref="A1:N63"/>
  <sheetViews>
    <sheetView topLeftCell="D1" zoomScale="76" workbookViewId="0">
      <selection activeCell="I30" sqref="I30:N34"/>
    </sheetView>
  </sheetViews>
  <sheetFormatPr defaultRowHeight="15" x14ac:dyDescent="0.25"/>
  <cols>
    <col min="1" max="2" width="14.85546875" bestFit="1" customWidth="1"/>
    <col min="3" max="3" width="22.140625" bestFit="1" customWidth="1"/>
    <col min="4" max="4" width="18.140625" bestFit="1" customWidth="1"/>
    <col min="5" max="5" width="22.140625" bestFit="1" customWidth="1"/>
    <col min="6" max="6" width="13.85546875" bestFit="1" customWidth="1"/>
    <col min="7" max="7" width="22.140625" bestFit="1" customWidth="1"/>
    <col min="8" max="8" width="23.140625" bestFit="1" customWidth="1"/>
    <col min="9" max="9" width="13.85546875" bestFit="1" customWidth="1"/>
    <col min="10" max="10" width="23" bestFit="1" customWidth="1"/>
    <col min="11" max="11" width="13.85546875" bestFit="1" customWidth="1"/>
    <col min="12" max="12" width="22.140625" bestFit="1" customWidth="1"/>
    <col min="13" max="13" width="23.140625" bestFit="1" customWidth="1"/>
    <col min="14" max="14" width="11.28515625" bestFit="1" customWidth="1"/>
    <col min="15" max="22" width="22.140625" bestFit="1" customWidth="1"/>
    <col min="23" max="23" width="19.85546875" bestFit="1" customWidth="1"/>
    <col min="24" max="24" width="27.140625" bestFit="1" customWidth="1"/>
  </cols>
  <sheetData>
    <row r="1" spans="1:13" x14ac:dyDescent="0.25">
      <c r="A1" t="s">
        <v>1066</v>
      </c>
      <c r="C1" s="3" t="s">
        <v>1039</v>
      </c>
      <c r="D1" t="s">
        <v>1067</v>
      </c>
      <c r="F1" s="3" t="s">
        <v>1039</v>
      </c>
      <c r="G1" t="s">
        <v>1066</v>
      </c>
    </row>
    <row r="2" spans="1:13" x14ac:dyDescent="0.25">
      <c r="A2" s="4">
        <v>579.52625</v>
      </c>
      <c r="C2" s="5" t="s">
        <v>54</v>
      </c>
      <c r="D2" s="9">
        <v>264878.38857142854</v>
      </c>
      <c r="F2" s="5" t="s">
        <v>1062</v>
      </c>
      <c r="G2" s="4">
        <v>580.50877192982455</v>
      </c>
    </row>
    <row r="3" spans="1:13" x14ac:dyDescent="0.25">
      <c r="A3" t="s">
        <v>1063</v>
      </c>
      <c r="C3" s="5" t="s">
        <v>23</v>
      </c>
      <c r="D3" s="9">
        <v>247707.29707112969</v>
      </c>
      <c r="F3" s="5" t="s">
        <v>1059</v>
      </c>
      <c r="G3" s="4">
        <v>591.8115942028985</v>
      </c>
    </row>
    <row r="4" spans="1:13" x14ac:dyDescent="0.25">
      <c r="A4" s="9">
        <v>43730664</v>
      </c>
      <c r="C4" s="5" t="s">
        <v>37</v>
      </c>
      <c r="D4" s="9">
        <v>267779.7074829932</v>
      </c>
      <c r="F4" s="5" t="s">
        <v>1040</v>
      </c>
      <c r="G4" s="4">
        <v>586.69841269841265</v>
      </c>
    </row>
    <row r="5" spans="1:13" x14ac:dyDescent="0.25">
      <c r="A5" t="s">
        <v>1064</v>
      </c>
      <c r="C5" s="5" t="s">
        <v>15</v>
      </c>
      <c r="D5" s="9">
        <v>282099.39330543933</v>
      </c>
    </row>
    <row r="6" spans="1:13" x14ac:dyDescent="0.25">
      <c r="A6" s="9">
        <v>212341134</v>
      </c>
      <c r="C6" s="5" t="s">
        <v>1040</v>
      </c>
      <c r="D6" s="9">
        <v>265426.41749999998</v>
      </c>
      <c r="F6" s="3" t="s">
        <v>1039</v>
      </c>
      <c r="G6" t="s">
        <v>1064</v>
      </c>
    </row>
    <row r="7" spans="1:13" x14ac:dyDescent="0.25">
      <c r="F7" s="5" t="s">
        <v>1057</v>
      </c>
      <c r="G7" s="9">
        <v>67663129</v>
      </c>
    </row>
    <row r="8" spans="1:13" x14ac:dyDescent="0.25">
      <c r="A8" s="3" t="s">
        <v>1039</v>
      </c>
      <c r="B8" t="s">
        <v>1064</v>
      </c>
      <c r="C8" s="3" t="s">
        <v>1039</v>
      </c>
      <c r="D8" t="s">
        <v>1067</v>
      </c>
      <c r="F8" s="5" t="s">
        <v>1058</v>
      </c>
      <c r="G8" s="9">
        <v>77350052</v>
      </c>
    </row>
    <row r="9" spans="1:13" x14ac:dyDescent="0.25">
      <c r="A9" s="5" t="s">
        <v>1041</v>
      </c>
      <c r="B9" s="9">
        <v>8601132</v>
      </c>
      <c r="C9" s="5" t="s">
        <v>26</v>
      </c>
      <c r="D9" s="9">
        <v>259460.32411067194</v>
      </c>
      <c r="F9" s="5" t="s">
        <v>1040</v>
      </c>
      <c r="G9" s="9">
        <v>145013181</v>
      </c>
    </row>
    <row r="10" spans="1:13" x14ac:dyDescent="0.25">
      <c r="A10" s="5" t="s">
        <v>1042</v>
      </c>
      <c r="B10" s="9">
        <v>19620986</v>
      </c>
      <c r="C10" s="5" t="s">
        <v>30</v>
      </c>
      <c r="D10" s="9">
        <v>275113.66216216219</v>
      </c>
    </row>
    <row r="11" spans="1:13" x14ac:dyDescent="0.25">
      <c r="A11" s="5" t="s">
        <v>1043</v>
      </c>
      <c r="B11" s="9">
        <v>17464395</v>
      </c>
      <c r="C11" s="5" t="s">
        <v>18</v>
      </c>
      <c r="D11" s="9">
        <v>267102.03171247354</v>
      </c>
      <c r="F11" s="3" t="s">
        <v>1039</v>
      </c>
      <c r="G11" t="s">
        <v>1065</v>
      </c>
      <c r="H11" t="s">
        <v>1068</v>
      </c>
      <c r="K11" s="3" t="s">
        <v>1039</v>
      </c>
      <c r="L11" t="s">
        <v>1065</v>
      </c>
      <c r="M11" t="s">
        <v>1068</v>
      </c>
    </row>
    <row r="12" spans="1:13" x14ac:dyDescent="0.25">
      <c r="A12" s="5" t="s">
        <v>1044</v>
      </c>
      <c r="B12" s="9">
        <v>23479359</v>
      </c>
      <c r="C12" s="5" t="s">
        <v>1040</v>
      </c>
      <c r="D12" s="9">
        <v>265426.41749999998</v>
      </c>
      <c r="F12" s="5" t="s">
        <v>1057</v>
      </c>
      <c r="G12" s="8">
        <v>0.3075</v>
      </c>
      <c r="H12" s="4">
        <v>246</v>
      </c>
      <c r="K12" s="5" t="s">
        <v>1057</v>
      </c>
      <c r="L12" s="8">
        <v>0.3075</v>
      </c>
      <c r="M12" s="4">
        <v>246</v>
      </c>
    </row>
    <row r="13" spans="1:13" x14ac:dyDescent="0.25">
      <c r="A13" s="5" t="s">
        <v>1045</v>
      </c>
      <c r="B13" s="9">
        <v>20215012</v>
      </c>
      <c r="F13" s="5" t="s">
        <v>1060</v>
      </c>
      <c r="G13" s="8">
        <v>0.21124999999999999</v>
      </c>
      <c r="H13" s="4">
        <v>169</v>
      </c>
      <c r="K13" s="5" t="s">
        <v>1060</v>
      </c>
      <c r="L13" s="8">
        <v>0.21124999999999999</v>
      </c>
      <c r="M13" s="4">
        <v>169</v>
      </c>
    </row>
    <row r="14" spans="1:13" x14ac:dyDescent="0.25">
      <c r="A14" s="5" t="s">
        <v>1046</v>
      </c>
      <c r="B14" s="9">
        <v>23565000</v>
      </c>
      <c r="F14" s="5" t="s">
        <v>1061</v>
      </c>
      <c r="G14" s="8">
        <v>0.10249999999999999</v>
      </c>
      <c r="H14" s="4">
        <v>82</v>
      </c>
      <c r="K14" s="5" t="s">
        <v>1061</v>
      </c>
      <c r="L14" s="8">
        <v>0.10249999999999999</v>
      </c>
      <c r="M14" s="4">
        <v>82</v>
      </c>
    </row>
    <row r="15" spans="1:13" x14ac:dyDescent="0.25">
      <c r="A15" s="5" t="s">
        <v>1047</v>
      </c>
      <c r="B15" s="9">
        <v>17705709</v>
      </c>
      <c r="F15" s="5" t="s">
        <v>1058</v>
      </c>
      <c r="G15" s="8">
        <v>0.37874999999999998</v>
      </c>
      <c r="H15" s="4">
        <v>303</v>
      </c>
      <c r="K15" s="5" t="s">
        <v>1058</v>
      </c>
      <c r="L15" s="8">
        <v>0.37874999999999998</v>
      </c>
      <c r="M15" s="4">
        <v>303</v>
      </c>
    </row>
    <row r="16" spans="1:13" x14ac:dyDescent="0.25">
      <c r="A16" s="5" t="s">
        <v>1048</v>
      </c>
      <c r="B16" s="9">
        <v>16583875</v>
      </c>
      <c r="F16" s="5" t="s">
        <v>1040</v>
      </c>
      <c r="G16" s="8">
        <v>1</v>
      </c>
      <c r="H16" s="4">
        <v>800</v>
      </c>
      <c r="K16" s="5" t="s">
        <v>1040</v>
      </c>
      <c r="L16" s="8">
        <v>1</v>
      </c>
      <c r="M16" s="4">
        <v>800</v>
      </c>
    </row>
    <row r="17" spans="1:14" x14ac:dyDescent="0.25">
      <c r="A17" s="5" t="s">
        <v>1049</v>
      </c>
      <c r="B17" s="9">
        <v>23273328</v>
      </c>
    </row>
    <row r="18" spans="1:14" x14ac:dyDescent="0.25">
      <c r="A18" s="5" t="s">
        <v>1050</v>
      </c>
      <c r="B18" s="9">
        <v>26602732</v>
      </c>
      <c r="F18" s="5" t="s">
        <v>1057</v>
      </c>
      <c r="G18" s="8">
        <v>0.3075</v>
      </c>
    </row>
    <row r="19" spans="1:14" x14ac:dyDescent="0.25">
      <c r="A19" s="5" t="s">
        <v>1051</v>
      </c>
      <c r="B19" s="9">
        <v>15229606</v>
      </c>
      <c r="F19" s="5" t="s">
        <v>1060</v>
      </c>
      <c r="G19" s="8">
        <v>0.21124999999999999</v>
      </c>
    </row>
    <row r="20" spans="1:14" x14ac:dyDescent="0.25">
      <c r="A20" s="5" t="s">
        <v>1040</v>
      </c>
      <c r="B20" s="9">
        <v>212341134</v>
      </c>
      <c r="F20" s="5" t="s">
        <v>1061</v>
      </c>
      <c r="G20" s="8">
        <v>0.10249999999999999</v>
      </c>
    </row>
    <row r="21" spans="1:14" x14ac:dyDescent="0.25">
      <c r="F21" s="5" t="s">
        <v>1058</v>
      </c>
      <c r="G21" s="8">
        <v>0.37874999999999998</v>
      </c>
    </row>
    <row r="22" spans="1:14" x14ac:dyDescent="0.25">
      <c r="I22" s="3" t="s">
        <v>1080</v>
      </c>
      <c r="J22" s="3" t="s">
        <v>1052</v>
      </c>
    </row>
    <row r="23" spans="1:14" x14ac:dyDescent="0.25">
      <c r="A23" s="3" t="s">
        <v>1039</v>
      </c>
      <c r="B23" t="s">
        <v>1066</v>
      </c>
      <c r="F23" s="5" t="s">
        <v>1057</v>
      </c>
      <c r="G23" s="8">
        <f>GETPIVOTDATA("[Measures].[Count of Account_Type]",$F$11,"[accounts].[Account_Type]","[accounts].[Account_Type].&amp;[Checking]")</f>
        <v>0.3075</v>
      </c>
      <c r="I23" s="3" t="s">
        <v>1039</v>
      </c>
      <c r="J23" t="s">
        <v>1083</v>
      </c>
      <c r="K23" t="s">
        <v>1084</v>
      </c>
      <c r="L23" t="s">
        <v>1040</v>
      </c>
    </row>
    <row r="24" spans="1:14" x14ac:dyDescent="0.25">
      <c r="A24" s="5" t="s">
        <v>1041</v>
      </c>
      <c r="B24" s="4">
        <v>601.5</v>
      </c>
      <c r="F24" s="5" t="s">
        <v>1069</v>
      </c>
      <c r="G24" s="8">
        <f>1-G23</f>
        <v>0.6925</v>
      </c>
      <c r="I24" s="5" t="s">
        <v>1075</v>
      </c>
      <c r="J24" s="4">
        <v>956</v>
      </c>
      <c r="K24" s="4">
        <v>268</v>
      </c>
      <c r="L24" s="4">
        <v>1224</v>
      </c>
    </row>
    <row r="25" spans="1:14" x14ac:dyDescent="0.25">
      <c r="A25" s="5" t="s">
        <v>1042</v>
      </c>
      <c r="B25" s="4">
        <v>562.29729729729729</v>
      </c>
      <c r="I25" s="5" t="s">
        <v>1076</v>
      </c>
      <c r="J25" s="4">
        <v>997</v>
      </c>
      <c r="K25" s="4">
        <v>269</v>
      </c>
      <c r="L25" s="4">
        <v>1266</v>
      </c>
    </row>
    <row r="26" spans="1:14" x14ac:dyDescent="0.25">
      <c r="A26" s="5" t="s">
        <v>1043</v>
      </c>
      <c r="B26" s="4">
        <v>607.35384615384612</v>
      </c>
      <c r="F26" s="5" t="s">
        <v>1060</v>
      </c>
      <c r="G26" s="8">
        <f>GETPIVOTDATA("[Measures].[Count of Account_Type]",$F$11,"[accounts].[Account_Type]","[accounts].[Account_Type].&amp;[CreditCard]")</f>
        <v>0.21124999999999999</v>
      </c>
      <c r="I26" s="5" t="s">
        <v>1077</v>
      </c>
      <c r="J26" s="4">
        <v>976</v>
      </c>
      <c r="K26" s="4">
        <v>268</v>
      </c>
      <c r="L26" s="4">
        <v>1244</v>
      </c>
    </row>
    <row r="27" spans="1:14" x14ac:dyDescent="0.25">
      <c r="A27" s="5" t="s">
        <v>1044</v>
      </c>
      <c r="B27" s="4">
        <v>542.8641975308642</v>
      </c>
      <c r="F27" s="5" t="s">
        <v>1069</v>
      </c>
      <c r="G27" s="8">
        <f>1-G26</f>
        <v>0.78875000000000006</v>
      </c>
      <c r="I27" s="5" t="s">
        <v>1078</v>
      </c>
      <c r="J27" s="4">
        <v>1014</v>
      </c>
      <c r="K27" s="4">
        <v>252</v>
      </c>
      <c r="L27" s="4">
        <v>1266</v>
      </c>
    </row>
    <row r="28" spans="1:14" x14ac:dyDescent="0.25">
      <c r="A28" s="5" t="s">
        <v>1045</v>
      </c>
      <c r="B28" s="4">
        <v>614.39240506329111</v>
      </c>
      <c r="I28" s="5" t="s">
        <v>1040</v>
      </c>
      <c r="J28" s="4">
        <v>3943</v>
      </c>
      <c r="K28" s="4">
        <v>1057</v>
      </c>
      <c r="L28" s="4">
        <v>5000</v>
      </c>
    </row>
    <row r="29" spans="1:14" x14ac:dyDescent="0.25">
      <c r="A29" s="5" t="s">
        <v>1046</v>
      </c>
      <c r="B29" s="4">
        <v>553.2967032967033</v>
      </c>
      <c r="F29" s="5" t="s">
        <v>1061</v>
      </c>
      <c r="G29" s="8">
        <f>GETPIVOTDATA("[Measures].[Count of Account_Type]",$F$11,"[accounts].[Account_Type]","[accounts].[Account_Type].&amp;[Loan]")</f>
        <v>0.10249999999999999</v>
      </c>
      <c r="H29" s="4"/>
    </row>
    <row r="30" spans="1:14" x14ac:dyDescent="0.25">
      <c r="A30" s="5" t="s">
        <v>1047</v>
      </c>
      <c r="B30" s="4">
        <v>600.72058823529414</v>
      </c>
      <c r="F30" s="5" t="s">
        <v>1069</v>
      </c>
      <c r="G30" s="8">
        <f>1-G29</f>
        <v>0.89749999999999996</v>
      </c>
      <c r="I30" s="3" t="s">
        <v>1080</v>
      </c>
      <c r="J30" s="3" t="s">
        <v>1052</v>
      </c>
    </row>
    <row r="31" spans="1:14" x14ac:dyDescent="0.25">
      <c r="A31" s="5" t="s">
        <v>1048</v>
      </c>
      <c r="B31" s="4">
        <v>558.33333333333337</v>
      </c>
      <c r="I31" s="3" t="s">
        <v>1039</v>
      </c>
      <c r="J31" t="s">
        <v>1075</v>
      </c>
      <c r="K31" t="s">
        <v>1076</v>
      </c>
      <c r="L31" t="s">
        <v>1077</v>
      </c>
      <c r="M31" t="s">
        <v>1078</v>
      </c>
      <c r="N31" t="s">
        <v>1040</v>
      </c>
    </row>
    <row r="32" spans="1:14" x14ac:dyDescent="0.25">
      <c r="A32" s="5" t="s">
        <v>1049</v>
      </c>
      <c r="B32" s="4">
        <v>600.5454545454545</v>
      </c>
      <c r="F32" s="5" t="s">
        <v>1058</v>
      </c>
      <c r="G32" s="8">
        <f>GETPIVOTDATA("[Measures].[Count of Account_Type]",$F$11,"[accounts].[Account_Type]","[accounts].[Account_Type].&amp;[Savings]")</f>
        <v>0.37874999999999998</v>
      </c>
      <c r="H32" s="4"/>
      <c r="I32" s="5" t="s">
        <v>1083</v>
      </c>
      <c r="J32" s="4">
        <v>956</v>
      </c>
      <c r="K32" s="4">
        <v>997</v>
      </c>
      <c r="L32" s="4">
        <v>976</v>
      </c>
      <c r="M32" s="4">
        <v>1014</v>
      </c>
      <c r="N32" s="4">
        <v>3943</v>
      </c>
    </row>
    <row r="33" spans="1:14" x14ac:dyDescent="0.25">
      <c r="A33" s="5" t="s">
        <v>1050</v>
      </c>
      <c r="B33" s="4">
        <v>587.59595959595958</v>
      </c>
      <c r="F33" s="5" t="s">
        <v>1069</v>
      </c>
      <c r="G33" s="8">
        <f>1-G32</f>
        <v>0.62125000000000008</v>
      </c>
      <c r="I33" s="5" t="s">
        <v>1084</v>
      </c>
      <c r="J33" s="4">
        <v>268</v>
      </c>
      <c r="K33" s="4">
        <v>269</v>
      </c>
      <c r="L33" s="4">
        <v>268</v>
      </c>
      <c r="M33" s="4">
        <v>252</v>
      </c>
      <c r="N33" s="4">
        <v>1057</v>
      </c>
    </row>
    <row r="34" spans="1:14" x14ac:dyDescent="0.25">
      <c r="A34" s="5" t="s">
        <v>1051</v>
      </c>
      <c r="B34" s="4">
        <v>559.32727272727277</v>
      </c>
      <c r="I34" s="5" t="s">
        <v>1040</v>
      </c>
      <c r="J34" s="4">
        <v>1224</v>
      </c>
      <c r="K34" s="4">
        <v>1266</v>
      </c>
      <c r="L34" s="4">
        <v>1244</v>
      </c>
      <c r="M34" s="4">
        <v>1266</v>
      </c>
      <c r="N34" s="4">
        <v>5000</v>
      </c>
    </row>
    <row r="35" spans="1:14" x14ac:dyDescent="0.25">
      <c r="A35" s="5" t="s">
        <v>1040</v>
      </c>
      <c r="B35" s="4">
        <v>579.52625</v>
      </c>
      <c r="F35" s="3" t="s">
        <v>1093</v>
      </c>
      <c r="G35" t="s" vm="1">
        <v>1094</v>
      </c>
    </row>
    <row r="36" spans="1:14" x14ac:dyDescent="0.25">
      <c r="I36" s="3" t="s">
        <v>1039</v>
      </c>
      <c r="J36" t="s">
        <v>1066</v>
      </c>
    </row>
    <row r="37" spans="1:14" x14ac:dyDescent="0.25">
      <c r="A37" s="3" t="s">
        <v>1039</v>
      </c>
      <c r="B37" t="s">
        <v>1071</v>
      </c>
      <c r="F37" s="3" t="s">
        <v>1039</v>
      </c>
      <c r="G37" t="s">
        <v>1067</v>
      </c>
      <c r="I37" s="5" t="s">
        <v>1062</v>
      </c>
      <c r="J37" s="4">
        <v>580.50877192982455</v>
      </c>
    </row>
    <row r="38" spans="1:14" x14ac:dyDescent="0.25">
      <c r="A38" s="5" t="s">
        <v>1041</v>
      </c>
      <c r="B38" s="9">
        <v>45919.392857142855</v>
      </c>
      <c r="F38" s="5" t="s">
        <v>1041</v>
      </c>
      <c r="G38" s="9">
        <v>329744.8823529412</v>
      </c>
      <c r="I38" s="5" t="s">
        <v>1059</v>
      </c>
      <c r="J38" s="4">
        <v>591.8115942028985</v>
      </c>
    </row>
    <row r="39" spans="1:14" x14ac:dyDescent="0.25">
      <c r="A39" s="5" t="s">
        <v>1042</v>
      </c>
      <c r="B39" s="9">
        <v>59131.175675675673</v>
      </c>
      <c r="F39" s="5" t="s">
        <v>1042</v>
      </c>
      <c r="G39" s="9">
        <v>286288.68</v>
      </c>
      <c r="I39" s="5" t="s">
        <v>1040</v>
      </c>
      <c r="J39" s="4">
        <v>586.69841269841265</v>
      </c>
    </row>
    <row r="40" spans="1:14" x14ac:dyDescent="0.25">
      <c r="A40" s="5" t="s">
        <v>1043</v>
      </c>
      <c r="B40" s="9">
        <v>59285.353846153848</v>
      </c>
      <c r="F40" s="5" t="s">
        <v>1043</v>
      </c>
      <c r="G40" s="9">
        <v>270138.77083333331</v>
      </c>
    </row>
    <row r="41" spans="1:14" x14ac:dyDescent="0.25">
      <c r="A41" s="5" t="s">
        <v>1044</v>
      </c>
      <c r="B41" s="9">
        <v>65111.703703703701</v>
      </c>
      <c r="F41" s="5" t="s">
        <v>1044</v>
      </c>
      <c r="G41" s="9">
        <v>289503.91935483873</v>
      </c>
    </row>
    <row r="42" spans="1:14" x14ac:dyDescent="0.25">
      <c r="A42" s="5" t="s">
        <v>1045</v>
      </c>
      <c r="B42" s="9">
        <v>68663.012658227846</v>
      </c>
      <c r="F42" s="5" t="s">
        <v>1045</v>
      </c>
      <c r="G42" s="9">
        <v>247428.35</v>
      </c>
    </row>
    <row r="43" spans="1:14" x14ac:dyDescent="0.25">
      <c r="A43" s="5" t="s">
        <v>1046</v>
      </c>
      <c r="B43" s="9">
        <v>52576.527472527472</v>
      </c>
      <c r="F43" s="5" t="s">
        <v>1046</v>
      </c>
      <c r="G43" s="9">
        <v>255474.26865671642</v>
      </c>
    </row>
    <row r="44" spans="1:14" x14ac:dyDescent="0.25">
      <c r="A44" s="5" t="s">
        <v>1047</v>
      </c>
      <c r="B44" s="9">
        <v>34468.970588235294</v>
      </c>
      <c r="F44" s="5" t="s">
        <v>1047</v>
      </c>
      <c r="G44" s="9">
        <v>255000.8108108108</v>
      </c>
    </row>
    <row r="45" spans="1:14" x14ac:dyDescent="0.25">
      <c r="A45" s="5" t="s">
        <v>1048</v>
      </c>
      <c r="B45" s="9">
        <v>54348.236111111109</v>
      </c>
      <c r="F45" s="5" t="s">
        <v>1048</v>
      </c>
      <c r="G45" s="9">
        <v>225687.16666666666</v>
      </c>
    </row>
    <row r="46" spans="1:14" x14ac:dyDescent="0.25">
      <c r="A46" s="5" t="s">
        <v>1049</v>
      </c>
      <c r="B46" s="9">
        <v>47336.227272727272</v>
      </c>
      <c r="F46" s="5" t="s">
        <v>1049</v>
      </c>
      <c r="G46" s="9">
        <v>249452.82258064515</v>
      </c>
    </row>
    <row r="47" spans="1:14" x14ac:dyDescent="0.25">
      <c r="A47" s="5" t="s">
        <v>1050</v>
      </c>
      <c r="B47" s="9">
        <v>64073.848484848488</v>
      </c>
      <c r="F47" s="5" t="s">
        <v>1050</v>
      </c>
      <c r="G47" s="9">
        <v>265150.65079365077</v>
      </c>
    </row>
    <row r="48" spans="1:14" x14ac:dyDescent="0.25">
      <c r="A48" s="5" t="s">
        <v>1051</v>
      </c>
      <c r="B48" s="9">
        <v>35762.072727272731</v>
      </c>
      <c r="F48" s="5" t="s">
        <v>1051</v>
      </c>
      <c r="G48" s="9">
        <v>271469.41463414632</v>
      </c>
    </row>
    <row r="49" spans="1:7" x14ac:dyDescent="0.25">
      <c r="A49" s="5" t="s">
        <v>1040</v>
      </c>
      <c r="B49" s="9">
        <v>54663.33</v>
      </c>
      <c r="F49" s="5" t="s">
        <v>1040</v>
      </c>
      <c r="G49" s="9">
        <v>264140.58469945355</v>
      </c>
    </row>
    <row r="51" spans="1:7" x14ac:dyDescent="0.25">
      <c r="A51" s="3" t="s">
        <v>1039</v>
      </c>
      <c r="B51" t="s">
        <v>1064</v>
      </c>
      <c r="C51" t="s">
        <v>1065</v>
      </c>
    </row>
    <row r="52" spans="1:7" x14ac:dyDescent="0.25">
      <c r="A52" s="5" t="s">
        <v>1041</v>
      </c>
      <c r="B52" s="9">
        <v>8601132</v>
      </c>
      <c r="C52">
        <v>28</v>
      </c>
    </row>
    <row r="53" spans="1:7" x14ac:dyDescent="0.25">
      <c r="A53" s="5" t="s">
        <v>1042</v>
      </c>
      <c r="B53" s="9">
        <v>19620986</v>
      </c>
      <c r="C53">
        <v>74</v>
      </c>
    </row>
    <row r="54" spans="1:7" x14ac:dyDescent="0.25">
      <c r="A54" s="5" t="s">
        <v>1043</v>
      </c>
      <c r="B54" s="9">
        <v>17464395</v>
      </c>
      <c r="C54">
        <v>65</v>
      </c>
    </row>
    <row r="55" spans="1:7" x14ac:dyDescent="0.25">
      <c r="A55" s="5" t="s">
        <v>1044</v>
      </c>
      <c r="B55" s="9">
        <v>23479359</v>
      </c>
      <c r="C55">
        <v>81</v>
      </c>
    </row>
    <row r="56" spans="1:7" x14ac:dyDescent="0.25">
      <c r="A56" s="5" t="s">
        <v>1045</v>
      </c>
      <c r="B56" s="9">
        <v>20215012</v>
      </c>
      <c r="C56">
        <v>79</v>
      </c>
    </row>
    <row r="57" spans="1:7" x14ac:dyDescent="0.25">
      <c r="A57" s="5" t="s">
        <v>1046</v>
      </c>
      <c r="B57" s="9">
        <v>23565000</v>
      </c>
      <c r="C57">
        <v>91</v>
      </c>
    </row>
    <row r="58" spans="1:7" x14ac:dyDescent="0.25">
      <c r="A58" s="5" t="s">
        <v>1047</v>
      </c>
      <c r="B58" s="9">
        <v>17705709</v>
      </c>
      <c r="C58">
        <v>68</v>
      </c>
    </row>
    <row r="59" spans="1:7" x14ac:dyDescent="0.25">
      <c r="A59" s="5" t="s">
        <v>1048</v>
      </c>
      <c r="B59" s="9">
        <v>16583875</v>
      </c>
      <c r="C59">
        <v>72</v>
      </c>
    </row>
    <row r="60" spans="1:7" x14ac:dyDescent="0.25">
      <c r="A60" s="5" t="s">
        <v>1049</v>
      </c>
      <c r="B60" s="9">
        <v>23273328</v>
      </c>
      <c r="C60">
        <v>88</v>
      </c>
    </row>
    <row r="61" spans="1:7" x14ac:dyDescent="0.25">
      <c r="A61" s="5" t="s">
        <v>1050</v>
      </c>
      <c r="B61" s="9">
        <v>26602732</v>
      </c>
      <c r="C61">
        <v>99</v>
      </c>
    </row>
    <row r="62" spans="1:7" x14ac:dyDescent="0.25">
      <c r="A62" s="5" t="s">
        <v>1051</v>
      </c>
      <c r="B62" s="9">
        <v>15229606</v>
      </c>
      <c r="C62">
        <v>55</v>
      </c>
    </row>
    <row r="63" spans="1:7" x14ac:dyDescent="0.25">
      <c r="A63" s="5" t="s">
        <v>1040</v>
      </c>
      <c r="B63" s="9">
        <v>212341134</v>
      </c>
      <c r="C63">
        <v>800</v>
      </c>
    </row>
  </sheetData>
  <pageMargins left="0.7" right="0.7" top="0.75" bottom="0.75" header="0.3" footer="0.3"/>
  <pageSetup paperSize="9" orientation="portrait" r:id="rId18"/>
  <drawing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7A03F-0483-45DD-834F-CDFEE6A31591}">
  <dimension ref="A1:BE61"/>
  <sheetViews>
    <sheetView topLeftCell="Q1" zoomScale="79" workbookViewId="0">
      <selection activeCell="X6" sqref="X6"/>
    </sheetView>
  </sheetViews>
  <sheetFormatPr defaultRowHeight="15" x14ac:dyDescent="0.25"/>
  <cols>
    <col min="1" max="1" width="14.28515625" bestFit="1" customWidth="1"/>
    <col min="2" max="2" width="16.28515625" bestFit="1" customWidth="1"/>
    <col min="3" max="3" width="7.5703125" bestFit="1" customWidth="1"/>
    <col min="4" max="4" width="7" bestFit="1" customWidth="1"/>
    <col min="5" max="5" width="5.5703125" bestFit="1" customWidth="1"/>
    <col min="6" max="6" width="11.28515625" bestFit="1" customWidth="1"/>
    <col min="7" max="7" width="15" bestFit="1" customWidth="1"/>
    <col min="8" max="9" width="14.28515625" bestFit="1" customWidth="1"/>
    <col min="10" max="10" width="15" bestFit="1" customWidth="1"/>
    <col min="11" max="11" width="14.28515625" bestFit="1" customWidth="1"/>
    <col min="12" max="12" width="15" bestFit="1" customWidth="1"/>
    <col min="13" max="13" width="19.42578125" bestFit="1" customWidth="1"/>
    <col min="14" max="14" width="16.28515625" bestFit="1" customWidth="1"/>
    <col min="15" max="15" width="18.28515625" bestFit="1" customWidth="1"/>
    <col min="20" max="20" width="14.28515625" bestFit="1" customWidth="1"/>
    <col min="21" max="21" width="11" bestFit="1" customWidth="1"/>
    <col min="22" max="22" width="15.85546875" bestFit="1" customWidth="1"/>
    <col min="23" max="23" width="17.7109375" bestFit="1" customWidth="1"/>
    <col min="24" max="24" width="16.5703125" bestFit="1" customWidth="1"/>
    <col min="25" max="25" width="18.7109375" bestFit="1" customWidth="1"/>
    <col min="26" max="26" width="14.140625" bestFit="1" customWidth="1"/>
    <col min="27" max="27" width="14.28515625" bestFit="1" customWidth="1"/>
    <col min="28" max="28" width="19" bestFit="1" customWidth="1"/>
    <col min="29" max="29" width="10.7109375" bestFit="1" customWidth="1"/>
    <col min="30" max="30" width="19.28515625" bestFit="1" customWidth="1"/>
    <col min="31" max="31" width="10.140625" bestFit="1" customWidth="1"/>
    <col min="32" max="32" width="14.28515625" bestFit="1" customWidth="1"/>
    <col min="33" max="33" width="15.85546875" bestFit="1" customWidth="1"/>
    <col min="34" max="35" width="21" bestFit="1" customWidth="1"/>
    <col min="36" max="36" width="6.42578125" bestFit="1" customWidth="1"/>
    <col min="37" max="37" width="11.28515625" bestFit="1" customWidth="1"/>
    <col min="38" max="38" width="14.28515625" bestFit="1" customWidth="1"/>
    <col min="39" max="39" width="21" bestFit="1" customWidth="1"/>
    <col min="40" max="40" width="4" bestFit="1" customWidth="1"/>
    <col min="41" max="41" width="3.42578125" bestFit="1" customWidth="1"/>
    <col min="42" max="42" width="21" bestFit="1" customWidth="1"/>
    <col min="43" max="43" width="25.28515625" bestFit="1" customWidth="1"/>
    <col min="44" max="44" width="21" bestFit="1" customWidth="1"/>
    <col min="45" max="45" width="14.28515625" bestFit="1" customWidth="1"/>
    <col min="46" max="46" width="21" bestFit="1" customWidth="1"/>
    <col min="47" max="47" width="6.28515625" bestFit="1" customWidth="1"/>
    <col min="48" max="48" width="7.42578125" bestFit="1" customWidth="1"/>
    <col min="49" max="49" width="13.42578125" bestFit="1" customWidth="1"/>
    <col min="50" max="50" width="15.140625" bestFit="1" customWidth="1"/>
    <col min="51" max="51" width="11.28515625" bestFit="1" customWidth="1"/>
    <col min="52" max="52" width="21" bestFit="1" customWidth="1"/>
    <col min="53" max="53" width="17.7109375" bestFit="1" customWidth="1"/>
    <col min="54" max="54" width="11.140625" bestFit="1" customWidth="1"/>
    <col min="55" max="55" width="5.5703125" bestFit="1" customWidth="1"/>
    <col min="56" max="56" width="8.140625" bestFit="1" customWidth="1"/>
    <col min="57" max="58" width="11.28515625" bestFit="1" customWidth="1"/>
    <col min="59" max="60" width="21" bestFit="1" customWidth="1"/>
    <col min="61" max="62" width="26.140625" bestFit="1" customWidth="1"/>
    <col min="63" max="63" width="7.85546875" bestFit="1" customWidth="1"/>
    <col min="64" max="64" width="11.28515625" bestFit="1" customWidth="1"/>
  </cols>
  <sheetData>
    <row r="1" spans="1:46" x14ac:dyDescent="0.25">
      <c r="A1" s="3" t="s">
        <v>1080</v>
      </c>
      <c r="B1" s="3" t="s">
        <v>1052</v>
      </c>
      <c r="AG1" t="s">
        <v>1129</v>
      </c>
      <c r="AL1" s="3" t="s">
        <v>1039</v>
      </c>
      <c r="AM1" t="s">
        <v>1129</v>
      </c>
    </row>
    <row r="2" spans="1:46" x14ac:dyDescent="0.25">
      <c r="A2" s="3" t="s">
        <v>1039</v>
      </c>
      <c r="B2" t="s">
        <v>1075</v>
      </c>
      <c r="C2" t="s">
        <v>1076</v>
      </c>
      <c r="D2" t="s">
        <v>1077</v>
      </c>
      <c r="E2" t="s">
        <v>1078</v>
      </c>
      <c r="F2" t="s">
        <v>1040</v>
      </c>
      <c r="H2" s="3" t="s">
        <v>1039</v>
      </c>
      <c r="I2" t="s">
        <v>1079</v>
      </c>
      <c r="K2" s="3" t="s">
        <v>1039</v>
      </c>
      <c r="L2" t="s">
        <v>1080</v>
      </c>
      <c r="N2" s="3" t="s">
        <v>1039</v>
      </c>
      <c r="O2" t="s">
        <v>1081</v>
      </c>
      <c r="T2" t="s">
        <v>1099</v>
      </c>
      <c r="U2" t="s">
        <v>1100</v>
      </c>
      <c r="V2" t="s">
        <v>1101</v>
      </c>
      <c r="W2" t="s">
        <v>1102</v>
      </c>
      <c r="X2" t="s">
        <v>1103</v>
      </c>
      <c r="Y2" t="s">
        <v>1125</v>
      </c>
      <c r="AG2" s="4">
        <v>800</v>
      </c>
      <c r="AL2" s="5" t="s">
        <v>1138</v>
      </c>
      <c r="AM2" s="17">
        <v>0.96499999999999997</v>
      </c>
      <c r="AQ2" t="s">
        <v>1144</v>
      </c>
      <c r="AS2" t="s">
        <v>1145</v>
      </c>
    </row>
    <row r="3" spans="1:46" x14ac:dyDescent="0.25">
      <c r="A3" s="5" t="s">
        <v>1083</v>
      </c>
      <c r="B3">
        <v>956</v>
      </c>
      <c r="C3">
        <v>997</v>
      </c>
      <c r="D3">
        <v>976</v>
      </c>
      <c r="E3">
        <v>1014</v>
      </c>
      <c r="F3">
        <v>3943</v>
      </c>
      <c r="H3" s="5">
        <v>2015</v>
      </c>
      <c r="I3">
        <v>850554</v>
      </c>
      <c r="K3" s="5">
        <v>2015</v>
      </c>
      <c r="L3">
        <v>181</v>
      </c>
      <c r="N3" s="5">
        <v>2015</v>
      </c>
      <c r="O3" s="11">
        <v>4699.1933701657463</v>
      </c>
      <c r="T3">
        <v>20</v>
      </c>
      <c r="U3" s="11">
        <v>21167448</v>
      </c>
      <c r="V3" s="11">
        <v>59421720</v>
      </c>
      <c r="W3" s="11">
        <v>38254272</v>
      </c>
      <c r="X3" s="8">
        <v>0.64377591224219022</v>
      </c>
      <c r="Y3" s="13">
        <v>1951</v>
      </c>
      <c r="AL3" s="5" t="s">
        <v>1139</v>
      </c>
      <c r="AM3" s="17">
        <v>3.5000000000000003E-2</v>
      </c>
      <c r="AQ3" s="8">
        <v>0.80622837370242217</v>
      </c>
      <c r="AS3">
        <v>289</v>
      </c>
    </row>
    <row r="4" spans="1:46" x14ac:dyDescent="0.25">
      <c r="A4" s="5" t="s">
        <v>1084</v>
      </c>
      <c r="B4">
        <v>268</v>
      </c>
      <c r="C4">
        <v>269</v>
      </c>
      <c r="D4">
        <v>268</v>
      </c>
      <c r="E4">
        <v>252</v>
      </c>
      <c r="F4">
        <v>1057</v>
      </c>
      <c r="H4" s="5">
        <v>2016</v>
      </c>
      <c r="I4">
        <v>2498108</v>
      </c>
      <c r="K4" s="5">
        <v>2016</v>
      </c>
      <c r="L4">
        <v>503</v>
      </c>
      <c r="N4" s="5">
        <v>2016</v>
      </c>
      <c r="O4" s="11">
        <v>4966.4174950298211</v>
      </c>
      <c r="AG4" s="3" t="s">
        <v>1039</v>
      </c>
      <c r="AH4" t="s">
        <v>1129</v>
      </c>
      <c r="AJ4" s="3" t="s">
        <v>1039</v>
      </c>
      <c r="AK4" t="s">
        <v>1129</v>
      </c>
      <c r="AL4" s="5" t="s">
        <v>1040</v>
      </c>
      <c r="AM4" s="16">
        <v>1</v>
      </c>
      <c r="AS4" t="s">
        <v>1146</v>
      </c>
    </row>
    <row r="5" spans="1:46" x14ac:dyDescent="0.25">
      <c r="A5" s="5" t="s">
        <v>1040</v>
      </c>
      <c r="B5">
        <v>1224</v>
      </c>
      <c r="C5">
        <v>1266</v>
      </c>
      <c r="D5">
        <v>1244</v>
      </c>
      <c r="E5">
        <v>1266</v>
      </c>
      <c r="F5">
        <v>5000</v>
      </c>
      <c r="H5" s="5">
        <v>2017</v>
      </c>
      <c r="I5">
        <v>2039495</v>
      </c>
      <c r="K5" s="5">
        <v>2017</v>
      </c>
      <c r="L5">
        <v>392</v>
      </c>
      <c r="N5" s="5">
        <v>2017</v>
      </c>
      <c r="O5" s="11">
        <v>5202.7933673469388</v>
      </c>
      <c r="T5" s="3" t="s">
        <v>1039</v>
      </c>
      <c r="U5" t="s">
        <v>1102</v>
      </c>
      <c r="W5" s="3" t="s">
        <v>1039</v>
      </c>
      <c r="X5" t="s">
        <v>1126</v>
      </c>
      <c r="Y5" t="s">
        <v>1125</v>
      </c>
      <c r="AG5" s="5" t="s">
        <v>1131</v>
      </c>
      <c r="AH5" s="4">
        <v>142</v>
      </c>
      <c r="AJ5" s="5" t="s">
        <v>1135</v>
      </c>
      <c r="AK5" s="8">
        <v>0.215</v>
      </c>
      <c r="AL5" s="4"/>
      <c r="AS5">
        <v>233</v>
      </c>
    </row>
    <row r="6" spans="1:46" x14ac:dyDescent="0.25">
      <c r="H6" s="5">
        <v>2018</v>
      </c>
      <c r="I6">
        <v>2601852</v>
      </c>
      <c r="K6" s="5">
        <v>2018</v>
      </c>
      <c r="L6">
        <v>517</v>
      </c>
      <c r="N6" s="5">
        <v>2018</v>
      </c>
      <c r="O6" s="11">
        <v>5032.5957446808507</v>
      </c>
      <c r="T6" s="5" t="s">
        <v>1106</v>
      </c>
      <c r="U6" s="12">
        <v>3031719</v>
      </c>
      <c r="W6" s="5" t="s">
        <v>1113</v>
      </c>
      <c r="X6" s="10">
        <v>10594.751879699248</v>
      </c>
      <c r="Y6">
        <v>133</v>
      </c>
      <c r="AA6" s="5" t="s">
        <v>1116</v>
      </c>
      <c r="AB6" s="10">
        <f>GETPIVOTDATA("[Measures].[revenue per staff]",$W$5,"[branches].[City]","[branches].[City].&amp;[Caldwellburgh]")</f>
        <v>198379.33333333334</v>
      </c>
      <c r="AC6">
        <f>GETPIVOTDATA("[Measures].[Sum of Staff_Count]",$W$5,"[branches].[City]","[branches].[City].&amp;[Caldwellburgh]")</f>
        <v>18</v>
      </c>
      <c r="AD6" t="s">
        <v>1127</v>
      </c>
      <c r="AG6" s="5" t="s">
        <v>1134</v>
      </c>
      <c r="AH6" s="4">
        <v>148</v>
      </c>
      <c r="AJ6" s="5" t="s">
        <v>1136</v>
      </c>
      <c r="AK6" s="17">
        <v>0.19625000000000001</v>
      </c>
      <c r="AP6" s="3" t="s">
        <v>1039</v>
      </c>
      <c r="AQ6" t="s">
        <v>1143</v>
      </c>
      <c r="AS6" s="3" t="s">
        <v>1147</v>
      </c>
      <c r="AT6" t="s" vm="2">
        <v>1177</v>
      </c>
    </row>
    <row r="7" spans="1:46" x14ac:dyDescent="0.25">
      <c r="A7" s="3" t="s">
        <v>1080</v>
      </c>
      <c r="B7" s="3" t="s">
        <v>1052</v>
      </c>
      <c r="H7" s="5">
        <v>2019</v>
      </c>
      <c r="I7">
        <v>2385328</v>
      </c>
      <c r="K7" s="5">
        <v>2019</v>
      </c>
      <c r="L7">
        <v>477</v>
      </c>
      <c r="N7" s="5">
        <v>2019</v>
      </c>
      <c r="O7" s="11">
        <v>5000.6876310272537</v>
      </c>
      <c r="T7" s="5" t="s">
        <v>1108</v>
      </c>
      <c r="U7" s="12">
        <v>3069907</v>
      </c>
      <c r="W7" s="5" t="s">
        <v>1109</v>
      </c>
      <c r="X7" s="10">
        <v>113815.28571428571</v>
      </c>
      <c r="Y7">
        <v>42</v>
      </c>
      <c r="AA7" s="5" t="s">
        <v>1115</v>
      </c>
      <c r="AB7" s="10">
        <f>GETPIVOTDATA("[Measures].[revenue per staff]",$W$5,"[branches].[City]","[branches].[City].&amp;[Lisaville]")</f>
        <v>33699.80740740741</v>
      </c>
      <c r="AC7">
        <f>GETPIVOTDATA("[Measures].[Sum of Staff_Count]",$W$5,"[branches].[City]","[branches].[City].&amp;[Lisaville]")</f>
        <v>135</v>
      </c>
      <c r="AD7" s="12">
        <v>50418.662175637124</v>
      </c>
      <c r="AG7" s="5" t="s">
        <v>1133</v>
      </c>
      <c r="AH7" s="4">
        <v>159</v>
      </c>
      <c r="AJ7" s="5" t="s">
        <v>1137</v>
      </c>
      <c r="AK7" s="8">
        <v>0.58875</v>
      </c>
      <c r="AP7" s="5" t="s">
        <v>1056</v>
      </c>
      <c r="AQ7">
        <v>233</v>
      </c>
    </row>
    <row r="8" spans="1:46" x14ac:dyDescent="0.25">
      <c r="A8" s="3" t="s">
        <v>1039</v>
      </c>
      <c r="B8" t="s">
        <v>1082</v>
      </c>
      <c r="C8" t="s">
        <v>1169</v>
      </c>
      <c r="D8" t="s">
        <v>1170</v>
      </c>
      <c r="E8" t="s">
        <v>1171</v>
      </c>
      <c r="F8" t="s">
        <v>1040</v>
      </c>
      <c r="H8" s="5">
        <v>2020</v>
      </c>
      <c r="I8">
        <v>2686188</v>
      </c>
      <c r="K8" s="5">
        <v>2020</v>
      </c>
      <c r="L8">
        <v>546</v>
      </c>
      <c r="N8" s="5">
        <v>2020</v>
      </c>
      <c r="O8" s="11">
        <v>4919.7582417582416</v>
      </c>
      <c r="T8" s="5" t="s">
        <v>1116</v>
      </c>
      <c r="U8" s="12">
        <v>3378768</v>
      </c>
      <c r="W8" s="5" t="s">
        <v>1118</v>
      </c>
      <c r="X8" s="10">
        <v>31665.407142857144</v>
      </c>
      <c r="Y8">
        <v>140</v>
      </c>
      <c r="AA8" s="5" t="s">
        <v>1118</v>
      </c>
      <c r="AB8" s="10">
        <f>GETPIVOTDATA("[Measures].[revenue per staff]",$W$5,"[branches].[City]","[branches].[City].&amp;[Michaeltown]")</f>
        <v>31665.407142857144</v>
      </c>
      <c r="AC8">
        <f>GETPIVOTDATA("[Measures].[Sum of Staff_Count]",$W$5,"[branches].[City]","[branches].[City].&amp;[Michaeltown]")</f>
        <v>140</v>
      </c>
      <c r="AG8" s="5" t="s">
        <v>1132</v>
      </c>
      <c r="AH8" s="4">
        <v>167</v>
      </c>
      <c r="AJ8" s="5" t="s">
        <v>1040</v>
      </c>
      <c r="AK8" s="16">
        <v>1</v>
      </c>
      <c r="AP8" s="5" t="s">
        <v>1040</v>
      </c>
      <c r="AQ8">
        <v>233</v>
      </c>
      <c r="AS8" s="3" t="s">
        <v>1039</v>
      </c>
      <c r="AT8" t="s">
        <v>1129</v>
      </c>
    </row>
    <row r="9" spans="1:46" x14ac:dyDescent="0.25">
      <c r="A9" s="5" t="s">
        <v>1053</v>
      </c>
      <c r="B9">
        <v>281</v>
      </c>
      <c r="C9">
        <v>272</v>
      </c>
      <c r="D9">
        <v>263</v>
      </c>
      <c r="E9">
        <v>274</v>
      </c>
      <c r="F9">
        <v>1090</v>
      </c>
      <c r="H9" s="5">
        <v>2021</v>
      </c>
      <c r="I9">
        <v>2247495</v>
      </c>
      <c r="K9" s="5">
        <v>2021</v>
      </c>
      <c r="L9">
        <v>438</v>
      </c>
      <c r="N9" s="5">
        <v>2021</v>
      </c>
      <c r="O9" s="11">
        <v>5131.267123287671</v>
      </c>
      <c r="T9" s="5" t="s">
        <v>1118</v>
      </c>
      <c r="U9" s="12">
        <v>3559601</v>
      </c>
      <c r="W9" s="5" t="s">
        <v>1106</v>
      </c>
      <c r="X9" s="10">
        <v>56944.50588235294</v>
      </c>
      <c r="Y9">
        <v>85</v>
      </c>
      <c r="AA9" s="5" t="s">
        <v>1106</v>
      </c>
      <c r="AB9" s="10">
        <f>GETPIVOTDATA("[Measures].[revenue per staff]",$W$5,"[branches].[City]","[branches].[City].&amp;[North Daniel]")</f>
        <v>56944.50588235294</v>
      </c>
      <c r="AC9">
        <f>GETPIVOTDATA("[Measures].[Sum of Staff_Count]",$W$5,"[branches].[City]","[branches].[City].&amp;[North Daniel]")</f>
        <v>85</v>
      </c>
      <c r="AG9" s="5" t="s">
        <v>1130</v>
      </c>
      <c r="AH9" s="4">
        <v>184</v>
      </c>
      <c r="AS9" s="5" t="s">
        <v>1131</v>
      </c>
      <c r="AT9">
        <v>142</v>
      </c>
    </row>
    <row r="10" spans="1:46" x14ac:dyDescent="0.25">
      <c r="A10" s="5" t="s">
        <v>1054</v>
      </c>
      <c r="B10">
        <v>67</v>
      </c>
      <c r="C10">
        <v>71</v>
      </c>
      <c r="D10">
        <v>69</v>
      </c>
      <c r="E10">
        <v>68</v>
      </c>
      <c r="F10">
        <v>275</v>
      </c>
      <c r="H10" s="5">
        <v>2022</v>
      </c>
      <c r="I10">
        <v>2019516</v>
      </c>
      <c r="K10" s="5">
        <v>2022</v>
      </c>
      <c r="L10">
        <v>405</v>
      </c>
      <c r="N10" s="5">
        <v>2022</v>
      </c>
      <c r="O10" s="11">
        <v>4986.4592592592589</v>
      </c>
      <c r="T10" s="5" t="s">
        <v>1115</v>
      </c>
      <c r="U10" s="12">
        <v>4203646</v>
      </c>
      <c r="W10" s="5" t="s">
        <v>1108</v>
      </c>
      <c r="X10" s="10">
        <v>28247.858024691359</v>
      </c>
      <c r="Y10">
        <v>162</v>
      </c>
      <c r="AA10" s="5" t="s">
        <v>1108</v>
      </c>
      <c r="AB10" s="10">
        <v>28247.858024691359</v>
      </c>
      <c r="AC10">
        <v>162</v>
      </c>
      <c r="AG10" s="5" t="s">
        <v>1040</v>
      </c>
      <c r="AH10" s="4">
        <v>800</v>
      </c>
      <c r="AL10" s="3" t="s">
        <v>1039</v>
      </c>
      <c r="AM10" t="s">
        <v>1129</v>
      </c>
      <c r="AS10" s="5" t="s">
        <v>1040</v>
      </c>
      <c r="AT10">
        <v>142</v>
      </c>
    </row>
    <row r="11" spans="1:46" x14ac:dyDescent="0.25">
      <c r="A11" s="5" t="s">
        <v>1055</v>
      </c>
      <c r="B11">
        <v>173</v>
      </c>
      <c r="C11">
        <v>156</v>
      </c>
      <c r="D11">
        <v>186</v>
      </c>
      <c r="E11">
        <v>165</v>
      </c>
      <c r="F11">
        <v>680</v>
      </c>
      <c r="H11" s="5">
        <v>2023</v>
      </c>
      <c r="I11">
        <v>2946946</v>
      </c>
      <c r="K11" s="5">
        <v>2023</v>
      </c>
      <c r="L11">
        <v>586</v>
      </c>
      <c r="N11" s="5">
        <v>2023</v>
      </c>
      <c r="O11" s="11">
        <v>5028.9180887372013</v>
      </c>
      <c r="T11" s="5" t="s">
        <v>1040</v>
      </c>
      <c r="U11" s="12">
        <v>17243641</v>
      </c>
      <c r="W11" s="5" t="s">
        <v>1107</v>
      </c>
      <c r="X11" s="10">
        <v>29892.53043478261</v>
      </c>
      <c r="Y11">
        <v>115</v>
      </c>
      <c r="AA11" s="5" t="s">
        <v>1113</v>
      </c>
      <c r="AB11" s="10">
        <f>GETPIVOTDATA("[Measures].[revenue per staff]",$W$5,"[branches].[City]","[branches].[City].&amp;[Brittanyland]")</f>
        <v>10594.751879699248</v>
      </c>
      <c r="AC11">
        <f>GETPIVOTDATA("[Measures].[Sum of Staff_Count]",$W$5,"[branches].[City]","[branches].[City].&amp;[Brittanyland]")</f>
        <v>133</v>
      </c>
      <c r="AE11" t="s">
        <v>1140</v>
      </c>
      <c r="AL11" s="5" t="s">
        <v>1167</v>
      </c>
      <c r="AM11" s="16">
        <v>0.41125</v>
      </c>
      <c r="AS11" t="s">
        <v>1154</v>
      </c>
    </row>
    <row r="12" spans="1:46" x14ac:dyDescent="0.25">
      <c r="A12" s="5" t="s">
        <v>1056</v>
      </c>
      <c r="B12">
        <v>714</v>
      </c>
      <c r="C12">
        <v>745</v>
      </c>
      <c r="D12">
        <v>717</v>
      </c>
      <c r="E12">
        <v>779</v>
      </c>
      <c r="F12">
        <v>2955</v>
      </c>
      <c r="H12" s="5">
        <v>2024</v>
      </c>
      <c r="I12">
        <v>3111888</v>
      </c>
      <c r="K12" s="5">
        <v>2024</v>
      </c>
      <c r="L12">
        <v>624</v>
      </c>
      <c r="N12" s="5">
        <v>2024</v>
      </c>
      <c r="O12" s="11">
        <v>4987</v>
      </c>
      <c r="T12" s="5" t="s">
        <v>1124</v>
      </c>
      <c r="W12" s="5" t="s">
        <v>1116</v>
      </c>
      <c r="X12" s="10">
        <v>198379.33333333334</v>
      </c>
      <c r="Y12">
        <v>18</v>
      </c>
      <c r="AA12" s="5" t="s">
        <v>1123</v>
      </c>
      <c r="AB12" s="10">
        <f>GETPIVOTDATA("[Measures].[revenue per staff]",$W$5,"[branches].[City]","[branches].[City].&amp;[Carterstad]")</f>
        <v>29385.774193548386</v>
      </c>
      <c r="AC12">
        <f>GETPIVOTDATA("[Measures].[Sum of Staff_Count]",$W$5,"[branches].[City]","[branches].[City].&amp;[Carterstad]")</f>
        <v>62</v>
      </c>
      <c r="AE12" t="s">
        <v>1141</v>
      </c>
      <c r="AG12" s="3" t="s">
        <v>1129</v>
      </c>
      <c r="AH12" s="3" t="s">
        <v>1052</v>
      </c>
      <c r="AL12" s="5" t="s">
        <v>1084</v>
      </c>
      <c r="AM12" s="16">
        <v>0.58875</v>
      </c>
    </row>
    <row r="13" spans="1:46" x14ac:dyDescent="0.25">
      <c r="A13" s="5" t="s">
        <v>1040</v>
      </c>
      <c r="B13">
        <v>1235</v>
      </c>
      <c r="C13">
        <v>1244</v>
      </c>
      <c r="D13">
        <v>1235</v>
      </c>
      <c r="E13">
        <v>1286</v>
      </c>
      <c r="F13">
        <v>5000</v>
      </c>
      <c r="H13" s="5">
        <v>2025</v>
      </c>
      <c r="I13">
        <v>1678719</v>
      </c>
      <c r="K13" s="5">
        <v>2025</v>
      </c>
      <c r="L13">
        <v>331</v>
      </c>
      <c r="N13" s="5">
        <v>2025</v>
      </c>
      <c r="O13" s="11">
        <v>5071.6586102719029</v>
      </c>
      <c r="W13" s="5" t="s">
        <v>1123</v>
      </c>
      <c r="X13" s="10">
        <v>29385.774193548386</v>
      </c>
      <c r="Y13">
        <v>62</v>
      </c>
      <c r="AA13" s="5" t="s">
        <v>1112</v>
      </c>
      <c r="AB13" s="10">
        <f>GETPIVOTDATA("[Measures].[revenue per staff]",$W$5,"[branches].[City]","[branches].[City].&amp;[Hurleyview]")</f>
        <v>9440.5247524752467</v>
      </c>
      <c r="AC13">
        <f>GETPIVOTDATA("[Measures].[Sum of Staff_Count]",$W$5,"[branches].[City]","[branches].[City].&amp;[Hurleyview]")</f>
        <v>101</v>
      </c>
      <c r="AG13" s="3" t="s">
        <v>1039</v>
      </c>
      <c r="AH13" t="s">
        <v>26</v>
      </c>
      <c r="AI13" t="s">
        <v>30</v>
      </c>
      <c r="AJ13" t="s">
        <v>18</v>
      </c>
      <c r="AK13" t="s">
        <v>1040</v>
      </c>
      <c r="AL13" s="5" t="s">
        <v>1040</v>
      </c>
      <c r="AM13" s="16">
        <v>1</v>
      </c>
      <c r="AP13" s="3" t="s">
        <v>1039</v>
      </c>
      <c r="AQ13" t="s">
        <v>1143</v>
      </c>
    </row>
    <row r="14" spans="1:46" x14ac:dyDescent="0.25">
      <c r="H14" s="5" t="s">
        <v>1040</v>
      </c>
      <c r="I14">
        <v>25066089</v>
      </c>
      <c r="K14" s="5" t="s">
        <v>1040</v>
      </c>
      <c r="L14">
        <v>5000</v>
      </c>
      <c r="N14" s="5" t="s">
        <v>1040</v>
      </c>
      <c r="O14" s="11">
        <v>5013.2178000000004</v>
      </c>
      <c r="T14" s="3" t="s">
        <v>1039</v>
      </c>
      <c r="U14" t="s">
        <v>1100</v>
      </c>
      <c r="V14" t="s">
        <v>1102</v>
      </c>
      <c r="W14" s="5" t="s">
        <v>1112</v>
      </c>
      <c r="X14" s="10">
        <v>9440.5247524752467</v>
      </c>
      <c r="Y14">
        <v>101</v>
      </c>
      <c r="AA14" s="5" t="s">
        <v>1109</v>
      </c>
      <c r="AB14" s="10">
        <f>GETPIVOTDATA("[Measures].[revenue per staff]",$W$5,"[branches].[City]","[branches].[City].&amp;[Javiertown]")</f>
        <v>113815.28571428571</v>
      </c>
      <c r="AC14">
        <f>GETPIVOTDATA("[Measures].[Sum of Staff_Count]",$W$5,"[branches].[City]","[branches].[City].&amp;[Javiertown]")</f>
        <v>42</v>
      </c>
      <c r="AG14" s="5" t="s">
        <v>1131</v>
      </c>
      <c r="AH14" s="4">
        <v>44</v>
      </c>
      <c r="AI14" s="4">
        <v>7</v>
      </c>
      <c r="AJ14" s="4">
        <v>91</v>
      </c>
      <c r="AK14" s="4">
        <v>142</v>
      </c>
      <c r="AP14" s="5" t="s">
        <v>1056</v>
      </c>
      <c r="AQ14">
        <v>289</v>
      </c>
      <c r="AS14" s="3" t="s">
        <v>1039</v>
      </c>
      <c r="AT14" t="s">
        <v>1080</v>
      </c>
    </row>
    <row r="15" spans="1:46" x14ac:dyDescent="0.25">
      <c r="A15" s="3" t="s">
        <v>1039</v>
      </c>
      <c r="B15" t="s">
        <v>1079</v>
      </c>
      <c r="T15" s="5" t="s">
        <v>1113</v>
      </c>
      <c r="U15" s="11">
        <v>802409</v>
      </c>
      <c r="V15" s="11">
        <v>606693</v>
      </c>
      <c r="W15" s="5" t="s">
        <v>1120</v>
      </c>
      <c r="X15" s="10">
        <v>7172.7823834196888</v>
      </c>
      <c r="Y15">
        <v>193</v>
      </c>
      <c r="AA15" s="5" t="s">
        <v>1120</v>
      </c>
      <c r="AB15" s="10">
        <f>GETPIVOTDATA("[Measures].[revenue per staff]",$W$5,"[branches].[City]","[branches].[City].&amp;[Lake Lynnton]")</f>
        <v>7172.7823834196888</v>
      </c>
      <c r="AC15">
        <f>GETPIVOTDATA("[Measures].[Sum of Staff_Count]",$W$5,"[branches].[City]","[branches].[City].&amp;[Lake Lynnton]")</f>
        <v>193</v>
      </c>
      <c r="AG15" s="5" t="s">
        <v>1134</v>
      </c>
      <c r="AH15" s="4">
        <v>46</v>
      </c>
      <c r="AI15" s="4">
        <v>18</v>
      </c>
      <c r="AJ15" s="4">
        <v>84</v>
      </c>
      <c r="AK15" s="4">
        <v>148</v>
      </c>
      <c r="AP15" s="5" t="s">
        <v>1040</v>
      </c>
      <c r="AQ15">
        <v>289</v>
      </c>
      <c r="AS15" s="5" t="s">
        <v>1098</v>
      </c>
      <c r="AT15">
        <v>571</v>
      </c>
    </row>
    <row r="16" spans="1:46" x14ac:dyDescent="0.25">
      <c r="A16" s="5" t="s">
        <v>1168</v>
      </c>
      <c r="B16" s="12">
        <v>2479569</v>
      </c>
      <c r="T16" s="5" t="s">
        <v>1116</v>
      </c>
      <c r="U16" s="11">
        <v>192060</v>
      </c>
      <c r="V16" s="11">
        <v>3378768</v>
      </c>
      <c r="W16" s="5" t="s">
        <v>1121</v>
      </c>
      <c r="X16" s="10">
        <v>55662.171428571426</v>
      </c>
      <c r="Y16">
        <v>35</v>
      </c>
      <c r="AA16" s="5" t="s">
        <v>1121</v>
      </c>
      <c r="AB16" s="10">
        <f>GETPIVOTDATA("[Measures].[revenue per staff]",$W$5,"[branches].[City]","[branches].[City].&amp;[Leahtown]")</f>
        <v>55662.171428571426</v>
      </c>
      <c r="AC16">
        <f>GETPIVOTDATA("[Measures].[Sum of Staff_Count]",$W$5,"[branches].[City]","[branches].[City].&amp;[Leahtown]")</f>
        <v>35</v>
      </c>
      <c r="AG16" s="5" t="s">
        <v>1133</v>
      </c>
      <c r="AH16" s="4">
        <v>53</v>
      </c>
      <c r="AI16" s="4">
        <v>8</v>
      </c>
      <c r="AJ16" s="4">
        <v>98</v>
      </c>
      <c r="AK16" s="4">
        <v>159</v>
      </c>
      <c r="AS16" s="5" t="s">
        <v>1172</v>
      </c>
      <c r="AT16">
        <v>470</v>
      </c>
    </row>
    <row r="17" spans="1:57" x14ac:dyDescent="0.25">
      <c r="A17" s="5" t="s">
        <v>1095</v>
      </c>
      <c r="B17" s="12">
        <v>2529625</v>
      </c>
      <c r="H17" s="5"/>
      <c r="K17" s="3" t="s">
        <v>1039</v>
      </c>
      <c r="L17" t="s">
        <v>1079</v>
      </c>
      <c r="M17" t="s">
        <v>1088</v>
      </c>
      <c r="N17" t="s">
        <v>1080</v>
      </c>
      <c r="T17" s="5" t="s">
        <v>1123</v>
      </c>
      <c r="U17" s="11">
        <v>315592</v>
      </c>
      <c r="V17" s="11">
        <v>1506326</v>
      </c>
      <c r="W17" s="5" t="s">
        <v>1115</v>
      </c>
      <c r="X17" s="10">
        <v>33699.80740740741</v>
      </c>
      <c r="Y17">
        <v>135</v>
      </c>
      <c r="AA17" s="5" t="s">
        <v>1110</v>
      </c>
      <c r="AB17" s="10">
        <f>GETPIVOTDATA("[Measures].[revenue per staff]",$W$5,"[branches].[City]","[branches].[City].&amp;[New Adrienne]")</f>
        <v>22070.467005076142</v>
      </c>
      <c r="AC17">
        <f>GETPIVOTDATA("[Measures].[Sum of Staff_Count]",$W$5,"[branches].[City]","[branches].[City].&amp;[New Adrienne]")</f>
        <v>197</v>
      </c>
      <c r="AG17" s="5" t="s">
        <v>1132</v>
      </c>
      <c r="AH17" s="4">
        <v>62</v>
      </c>
      <c r="AI17" s="4">
        <v>16</v>
      </c>
      <c r="AJ17" s="4">
        <v>89</v>
      </c>
      <c r="AK17" s="4">
        <v>167</v>
      </c>
      <c r="AS17" s="5" t="s">
        <v>1096</v>
      </c>
      <c r="AT17">
        <v>513</v>
      </c>
    </row>
    <row r="18" spans="1:57" x14ac:dyDescent="0.25">
      <c r="A18" s="5" t="s">
        <v>1097</v>
      </c>
      <c r="B18" s="12">
        <v>2579155</v>
      </c>
      <c r="G18" t="s">
        <v>1090</v>
      </c>
      <c r="H18" t="s">
        <v>1087</v>
      </c>
      <c r="I18" t="s">
        <v>1091</v>
      </c>
      <c r="K18" s="5">
        <v>2015</v>
      </c>
      <c r="L18" s="11">
        <v>850554</v>
      </c>
      <c r="M18" s="11">
        <v>4699.1933701657463</v>
      </c>
      <c r="N18">
        <v>181</v>
      </c>
      <c r="T18" s="5" t="s">
        <v>1112</v>
      </c>
      <c r="U18" s="11">
        <v>158844</v>
      </c>
      <c r="V18" s="11">
        <v>794649</v>
      </c>
      <c r="W18" s="5" t="s">
        <v>1110</v>
      </c>
      <c r="X18" s="10">
        <v>22070.467005076142</v>
      </c>
      <c r="Y18">
        <v>197</v>
      </c>
      <c r="AA18" s="5" t="s">
        <v>1119</v>
      </c>
      <c r="AB18" s="10">
        <f>GETPIVOTDATA("[Measures].[revenue per staff]",$W$5,"[branches].[City]","[branches].[City].&amp;[Petersonport]")</f>
        <v>41981.243589743586</v>
      </c>
      <c r="AC18">
        <f>GETPIVOTDATA("[Measures].[Sum of Staff_Count]",$W$5,"[branches].[City]","[branches].[City].&amp;[Petersonport]")</f>
        <v>78</v>
      </c>
      <c r="AG18" s="5" t="s">
        <v>1130</v>
      </c>
      <c r="AH18" s="4">
        <v>64</v>
      </c>
      <c r="AI18" s="4">
        <v>18</v>
      </c>
      <c r="AJ18" s="4">
        <v>102</v>
      </c>
      <c r="AK18" s="4">
        <v>184</v>
      </c>
      <c r="AS18" s="5" t="s">
        <v>1173</v>
      </c>
      <c r="AT18">
        <v>481</v>
      </c>
    </row>
    <row r="19" spans="1:57" x14ac:dyDescent="0.25">
      <c r="A19" s="5" t="s">
        <v>1096</v>
      </c>
      <c r="B19" s="12">
        <v>2617799</v>
      </c>
      <c r="F19" t="s">
        <v>1085</v>
      </c>
      <c r="G19" s="11">
        <f>GETPIVOTDATA("[Measures].[Sum of Amount]",$K$17,"[accounts].[Year]","[accounts].[Year].&amp;[2025]")</f>
        <v>1678719</v>
      </c>
      <c r="H19" s="11">
        <f>GETPIVOTDATA("[Measures].[Sum of Amount]",$K$17,"[accounts].[Year]","[accounts].[Year].&amp;[2024]")</f>
        <v>3111888</v>
      </c>
      <c r="I19" s="7">
        <f>(G19-H19)/H19</f>
        <v>-0.460546459255603</v>
      </c>
      <c r="J19" t="str">
        <f>IF(kpiamount&gt;0,"🔼","🔽")&amp;TEXT(ABS(kpiamount),"0%")&amp;"VS LY"</f>
        <v>🔽46%VS LY</v>
      </c>
      <c r="K19" s="5">
        <v>2016</v>
      </c>
      <c r="L19" s="11">
        <v>2498108</v>
      </c>
      <c r="M19" s="11">
        <v>4966.4174950298211</v>
      </c>
      <c r="N19">
        <v>503</v>
      </c>
      <c r="T19" s="5" t="s">
        <v>1109</v>
      </c>
      <c r="U19" s="11">
        <v>1973103</v>
      </c>
      <c r="V19" s="11">
        <v>2807139</v>
      </c>
      <c r="W19" s="5" t="s">
        <v>1119</v>
      </c>
      <c r="X19" s="10">
        <v>41981.243589743586</v>
      </c>
      <c r="Y19">
        <v>78</v>
      </c>
      <c r="AA19" s="5" t="s">
        <v>1122</v>
      </c>
      <c r="AB19" s="10">
        <f>GETPIVOTDATA("[Measures].[revenue per staff]",$W$5,"[branches].[City]","[branches].[City].&amp;[Port Michaelhaven]")</f>
        <v>17748.286764705881</v>
      </c>
      <c r="AC19">
        <f>GETPIVOTDATA("[Measures].[Sum of Staff_Count]",$W$5,"[branches].[City]","[branches].[City].&amp;[Port Michaelhaven]")</f>
        <v>136</v>
      </c>
      <c r="AG19" s="5" t="s">
        <v>1040</v>
      </c>
      <c r="AH19" s="4">
        <v>269</v>
      </c>
      <c r="AI19" s="4">
        <v>67</v>
      </c>
      <c r="AJ19" s="4">
        <v>464</v>
      </c>
      <c r="AK19" s="4">
        <v>800</v>
      </c>
      <c r="AS19" s="5" t="s">
        <v>1097</v>
      </c>
      <c r="AT19">
        <v>519</v>
      </c>
    </row>
    <row r="20" spans="1:57" x14ac:dyDescent="0.25">
      <c r="A20" s="5" t="s">
        <v>1098</v>
      </c>
      <c r="B20" s="12">
        <v>2984953</v>
      </c>
      <c r="F20" t="s">
        <v>1086</v>
      </c>
      <c r="G20" s="11">
        <f>GETPIVOTDATA("[Measures].[Average of Amount]",$K$17,"[accounts].[Year]","[accounts].[Year].&amp;[2025]")</f>
        <v>5071.6586102719029</v>
      </c>
      <c r="H20" s="11">
        <f>GETPIVOTDATA("[Measures].[Average of Amount]",$K$17,"[accounts].[Year]","[accounts].[Year].&amp;[2024]")</f>
        <v>4987</v>
      </c>
      <c r="I20" s="7">
        <f>(G20-H20)/H20</f>
        <v>1.6975859288530768E-2</v>
      </c>
      <c r="J20" t="str">
        <f>IF(kpiavgmout&gt;0,"🔼","🔽")&amp;TEXT(ABS(kpiavgmout),"0%")&amp;"VS LY"</f>
        <v>🔼2%VS LY</v>
      </c>
      <c r="K20" s="5">
        <v>2017</v>
      </c>
      <c r="L20" s="11">
        <v>2039495</v>
      </c>
      <c r="M20" s="11">
        <v>5202.7933673469388</v>
      </c>
      <c r="N20">
        <v>392</v>
      </c>
      <c r="T20" s="5" t="s">
        <v>1120</v>
      </c>
      <c r="U20" s="11">
        <v>1918227</v>
      </c>
      <c r="V20" s="11">
        <v>-533880</v>
      </c>
      <c r="W20" s="5" t="s">
        <v>1122</v>
      </c>
      <c r="X20" s="10">
        <v>17748.286764705881</v>
      </c>
      <c r="Y20">
        <v>136</v>
      </c>
      <c r="AA20" s="5" t="s">
        <v>1117</v>
      </c>
      <c r="AB20" s="10">
        <f>GETPIVOTDATA("[Measures].[revenue per staff]",$W$5,"[branches].[City]","[branches].[City].&amp;[Simonland]")</f>
        <v>187736.30434782608</v>
      </c>
      <c r="AC20">
        <f>GETPIVOTDATA("[Measures].[Sum of Staff_Count]",$W$5,"[branches].[City]","[branches].[City].&amp;[Simonland]")</f>
        <v>23</v>
      </c>
      <c r="AS20" s="5" t="s">
        <v>1174</v>
      </c>
      <c r="AT20">
        <v>473</v>
      </c>
      <c r="AZ20" s="3" t="s">
        <v>1129</v>
      </c>
      <c r="BA20" s="3" t="s">
        <v>1052</v>
      </c>
    </row>
    <row r="21" spans="1:57" x14ac:dyDescent="0.25">
      <c r="A21" s="5" t="s">
        <v>1040</v>
      </c>
      <c r="B21" s="12">
        <v>13191101</v>
      </c>
      <c r="F21" s="5" t="s">
        <v>1089</v>
      </c>
      <c r="G21">
        <f>GETPIVOTDATA("[Measures].[Count of TransID]",$K$17,"[accounts].[Year]","[accounts].[Year].&amp;[2025]")</f>
        <v>331</v>
      </c>
      <c r="H21">
        <f>GETPIVOTDATA("[Measures].[Count of TransID]",$K$17,"[accounts].[Year]","[accounts].[Year].&amp;[2024]")</f>
        <v>624</v>
      </c>
      <c r="I21" s="7">
        <f>(G21-H21)/H21</f>
        <v>-0.46955128205128205</v>
      </c>
      <c r="J21" t="str">
        <f>IF(kpitransac&gt;0,"🔼","🔽")&amp;TEXT(ABS(kpitransac),"0%")&amp;"VS LY"</f>
        <v>🔽47%VS LY</v>
      </c>
      <c r="K21" s="5">
        <v>2018</v>
      </c>
      <c r="L21" s="11">
        <v>2601852</v>
      </c>
      <c r="M21" s="11">
        <v>5032.5957446808507</v>
      </c>
      <c r="N21">
        <v>517</v>
      </c>
      <c r="T21" s="5" t="s">
        <v>1121</v>
      </c>
      <c r="U21" s="11">
        <v>815681</v>
      </c>
      <c r="V21" s="11">
        <v>1132495</v>
      </c>
      <c r="W21" s="5" t="s">
        <v>1117</v>
      </c>
      <c r="X21" s="10">
        <v>187736.30434782608</v>
      </c>
      <c r="Y21">
        <v>23</v>
      </c>
      <c r="AA21" s="5" t="s">
        <v>1114</v>
      </c>
      <c r="AB21" s="10">
        <f>GETPIVOTDATA("[Measures].[revenue per staff]",$W$5,"[branches].[City]","[branches].[City].&amp;[South Andrew]")</f>
        <v>20948.557692307691</v>
      </c>
      <c r="AC21">
        <f>GETPIVOTDATA("[Measures].[Sum of Staff_Count]",$W$5,"[branches].[City]","[branches].[City].&amp;[South Andrew]")</f>
        <v>52</v>
      </c>
      <c r="AG21" s="3" t="s">
        <v>1129</v>
      </c>
      <c r="AH21" s="3" t="s">
        <v>1052</v>
      </c>
      <c r="AP21" t="s">
        <v>1129</v>
      </c>
      <c r="AS21" s="5" t="s">
        <v>1095</v>
      </c>
      <c r="AT21">
        <v>500</v>
      </c>
      <c r="AZ21" s="3" t="s">
        <v>1039</v>
      </c>
      <c r="BA21" t="s">
        <v>1057</v>
      </c>
      <c r="BB21" t="s">
        <v>1060</v>
      </c>
      <c r="BC21" t="s">
        <v>1061</v>
      </c>
      <c r="BD21" t="s">
        <v>1058</v>
      </c>
      <c r="BE21" t="s">
        <v>1040</v>
      </c>
    </row>
    <row r="22" spans="1:57" x14ac:dyDescent="0.25">
      <c r="K22" s="5">
        <v>2019</v>
      </c>
      <c r="L22" s="11">
        <v>2385328</v>
      </c>
      <c r="M22" s="11">
        <v>5000.6876310272537</v>
      </c>
      <c r="N22">
        <v>477</v>
      </c>
      <c r="T22" s="5" t="s">
        <v>1115</v>
      </c>
      <c r="U22" s="11">
        <v>345828</v>
      </c>
      <c r="V22" s="11">
        <v>4203646</v>
      </c>
      <c r="W22" s="5" t="s">
        <v>1114</v>
      </c>
      <c r="X22" s="10">
        <v>20948.557692307691</v>
      </c>
      <c r="Y22">
        <v>52</v>
      </c>
      <c r="AA22" s="5" t="s">
        <v>1107</v>
      </c>
      <c r="AB22" s="10">
        <f>GETPIVOTDATA("[Measures].[revenue per staff]",$W$5,"[branches].[City]","[branches].[City].&amp;[Stevenfurt]")</f>
        <v>29892.53043478261</v>
      </c>
      <c r="AC22">
        <f>GETPIVOTDATA("[Measures].[Sum of Staff_Count]",$W$5,"[branches].[City]","[branches].[City].&amp;[Stevenfurt]")</f>
        <v>115</v>
      </c>
      <c r="AG22" s="3" t="s">
        <v>1039</v>
      </c>
      <c r="AH22" t="s">
        <v>24</v>
      </c>
      <c r="AI22" t="s">
        <v>16</v>
      </c>
      <c r="AJ22" t="s">
        <v>42</v>
      </c>
      <c r="AK22" t="s">
        <v>38</v>
      </c>
      <c r="AL22" t="s">
        <v>1040</v>
      </c>
      <c r="AP22">
        <v>800</v>
      </c>
      <c r="AS22" s="5" t="s">
        <v>1175</v>
      </c>
      <c r="AT22">
        <v>491</v>
      </c>
      <c r="AZ22" s="5" t="s">
        <v>1130</v>
      </c>
      <c r="BA22">
        <v>89</v>
      </c>
      <c r="BB22">
        <v>53</v>
      </c>
      <c r="BC22">
        <v>32</v>
      </c>
      <c r="BD22">
        <v>105</v>
      </c>
      <c r="BE22">
        <v>279</v>
      </c>
    </row>
    <row r="23" spans="1:57" x14ac:dyDescent="0.25">
      <c r="K23" s="5">
        <v>2020</v>
      </c>
      <c r="L23" s="11">
        <v>2686188</v>
      </c>
      <c r="M23" s="11">
        <v>4919.7582417582416</v>
      </c>
      <c r="N23">
        <v>546</v>
      </c>
      <c r="T23" s="5" t="s">
        <v>1118</v>
      </c>
      <c r="U23" s="11">
        <v>873556</v>
      </c>
      <c r="V23" s="11">
        <v>3559601</v>
      </c>
      <c r="W23" s="5" t="s">
        <v>1111</v>
      </c>
      <c r="X23" s="10">
        <v>92231</v>
      </c>
      <c r="Y23">
        <v>46</v>
      </c>
      <c r="AA23" s="5" t="s">
        <v>1111</v>
      </c>
      <c r="AB23" s="10">
        <f>GETPIVOTDATA("[Measures].[revenue per staff]",$W$5,"[branches].[City]","[branches].[City].&amp;[West Linda]")</f>
        <v>92231</v>
      </c>
      <c r="AC23">
        <f>GETPIVOTDATA("[Measures].[Sum of Staff_Count]",$W$5,"[branches].[City]","[branches].[City].&amp;[West Linda]")</f>
        <v>46</v>
      </c>
      <c r="AG23" s="5" t="s">
        <v>1130</v>
      </c>
      <c r="AH23" s="4">
        <v>47</v>
      </c>
      <c r="AI23" s="4">
        <v>34</v>
      </c>
      <c r="AJ23" s="4">
        <v>55</v>
      </c>
      <c r="AK23" s="4">
        <v>48</v>
      </c>
      <c r="AL23" s="4">
        <v>184</v>
      </c>
      <c r="AS23" s="5" t="s">
        <v>1168</v>
      </c>
      <c r="AT23">
        <v>509</v>
      </c>
      <c r="AZ23" s="5" t="s">
        <v>1131</v>
      </c>
      <c r="BA23">
        <v>76</v>
      </c>
      <c r="BB23">
        <v>62</v>
      </c>
      <c r="BC23">
        <v>29</v>
      </c>
      <c r="BD23">
        <v>81</v>
      </c>
      <c r="BE23">
        <v>248</v>
      </c>
    </row>
    <row r="24" spans="1:57" x14ac:dyDescent="0.25">
      <c r="B24" s="11"/>
      <c r="F24" s="3" t="s">
        <v>1039</v>
      </c>
      <c r="G24" t="s">
        <v>1079</v>
      </c>
      <c r="I24" s="3" t="s">
        <v>1039</v>
      </c>
      <c r="J24" t="s">
        <v>1079</v>
      </c>
      <c r="K24" s="5">
        <v>2021</v>
      </c>
      <c r="L24" s="11">
        <v>2247495</v>
      </c>
      <c r="M24" s="11">
        <v>5131.267123287671</v>
      </c>
      <c r="N24">
        <v>438</v>
      </c>
      <c r="T24" s="5" t="s">
        <v>1110</v>
      </c>
      <c r="U24" s="11">
        <v>1766023</v>
      </c>
      <c r="V24" s="11">
        <v>2581859</v>
      </c>
      <c r="W24" s="5" t="s">
        <v>1104</v>
      </c>
      <c r="X24" s="10">
        <v>9518.5221238938047</v>
      </c>
      <c r="Y24">
        <v>113</v>
      </c>
      <c r="AA24" s="5" t="s">
        <v>1104</v>
      </c>
      <c r="AB24" s="10">
        <f>GETPIVOTDATA("[Measures].[revenue per staff]",$W$5,"[branches].[City]","[branches].[City].&amp;[West Loganmouth]")</f>
        <v>9518.5221238938047</v>
      </c>
      <c r="AC24">
        <f>GETPIVOTDATA("[Measures].[Sum of Staff_Count]",$W$5,"[branches].[City]","[branches].[City].&amp;[West Loganmouth]")</f>
        <v>113</v>
      </c>
      <c r="AG24" s="5" t="s">
        <v>1131</v>
      </c>
      <c r="AH24" s="4">
        <v>38</v>
      </c>
      <c r="AI24" s="4">
        <v>39</v>
      </c>
      <c r="AJ24" s="4">
        <v>33</v>
      </c>
      <c r="AK24" s="4">
        <v>32</v>
      </c>
      <c r="AL24" s="4">
        <v>142</v>
      </c>
      <c r="AS24" s="5" t="s">
        <v>1176</v>
      </c>
      <c r="AT24">
        <v>473</v>
      </c>
      <c r="AZ24" s="5" t="s">
        <v>1132</v>
      </c>
      <c r="BA24">
        <v>83</v>
      </c>
      <c r="BB24">
        <v>71</v>
      </c>
      <c r="BC24">
        <v>24</v>
      </c>
      <c r="BD24">
        <v>115</v>
      </c>
      <c r="BE24">
        <v>293</v>
      </c>
    </row>
    <row r="25" spans="1:57" x14ac:dyDescent="0.25">
      <c r="A25" s="3" t="s">
        <v>1039</v>
      </c>
      <c r="B25" t="s">
        <v>1080</v>
      </c>
      <c r="F25" s="5" t="s">
        <v>1082</v>
      </c>
      <c r="G25" s="12">
        <v>6307573</v>
      </c>
      <c r="I25" s="5" t="s">
        <v>1075</v>
      </c>
      <c r="J25" s="12">
        <v>6202065</v>
      </c>
      <c r="K25" s="5">
        <v>2022</v>
      </c>
      <c r="L25" s="11">
        <v>2019516</v>
      </c>
      <c r="M25" s="11">
        <v>4986.4592592592589</v>
      </c>
      <c r="N25">
        <v>405</v>
      </c>
      <c r="T25" s="5" t="s">
        <v>1106</v>
      </c>
      <c r="U25" s="11">
        <v>1808564</v>
      </c>
      <c r="V25" s="11">
        <v>3031719</v>
      </c>
      <c r="W25" s="5" t="s">
        <v>1105</v>
      </c>
      <c r="X25" s="10">
        <v>11238.129411764707</v>
      </c>
      <c r="Y25">
        <v>85</v>
      </c>
      <c r="AA25" s="5" t="s">
        <v>1105</v>
      </c>
      <c r="AB25" s="10">
        <f>GETPIVOTDATA("[Measures].[revenue per staff]",$W$5,"[branches].[City]","[branches].[City].&amp;[West Robert]")</f>
        <v>11238.129411764707</v>
      </c>
      <c r="AC25">
        <f>GETPIVOTDATA("[Measures].[Sum of Staff_Count]",$W$5,"[branches].[City]","[branches].[City].&amp;[West Robert]")</f>
        <v>85</v>
      </c>
      <c r="AG25" s="5" t="s">
        <v>1132</v>
      </c>
      <c r="AH25" s="4">
        <v>47</v>
      </c>
      <c r="AI25" s="4">
        <v>34</v>
      </c>
      <c r="AJ25" s="4">
        <v>45</v>
      </c>
      <c r="AK25" s="4">
        <v>41</v>
      </c>
      <c r="AL25" s="4">
        <v>167</v>
      </c>
      <c r="AS25" s="5" t="s">
        <v>1040</v>
      </c>
      <c r="AT25">
        <v>5000</v>
      </c>
      <c r="AZ25" s="5" t="s">
        <v>1133</v>
      </c>
      <c r="BA25">
        <v>66</v>
      </c>
      <c r="BB25">
        <v>50</v>
      </c>
      <c r="BC25">
        <v>27</v>
      </c>
      <c r="BD25">
        <v>96</v>
      </c>
      <c r="BE25">
        <v>239</v>
      </c>
    </row>
    <row r="26" spans="1:57" x14ac:dyDescent="0.25">
      <c r="A26" s="5" t="s">
        <v>1095</v>
      </c>
      <c r="B26">
        <v>500</v>
      </c>
      <c r="F26" s="5" t="s">
        <v>1169</v>
      </c>
      <c r="G26" s="12">
        <v>6312508</v>
      </c>
      <c r="I26" s="5" t="s">
        <v>1076</v>
      </c>
      <c r="J26" s="12">
        <v>6365745</v>
      </c>
      <c r="K26" s="5">
        <v>2023</v>
      </c>
      <c r="L26" s="11">
        <v>2946946</v>
      </c>
      <c r="M26" s="11">
        <v>5028.9180887372013</v>
      </c>
      <c r="N26">
        <v>586</v>
      </c>
      <c r="T26" s="5" t="s">
        <v>1119</v>
      </c>
      <c r="U26" s="11">
        <v>378828</v>
      </c>
      <c r="V26" s="11">
        <v>2895709</v>
      </c>
      <c r="W26" s="5" t="s">
        <v>1040</v>
      </c>
      <c r="X26" s="10">
        <v>30457.05791901589</v>
      </c>
      <c r="Y26">
        <v>1951</v>
      </c>
      <c r="AG26" s="5" t="s">
        <v>1133</v>
      </c>
      <c r="AH26" s="4">
        <v>41</v>
      </c>
      <c r="AI26" s="4">
        <v>38</v>
      </c>
      <c r="AJ26" s="4">
        <v>50</v>
      </c>
      <c r="AK26" s="4">
        <v>30</v>
      </c>
      <c r="AL26" s="4">
        <v>159</v>
      </c>
      <c r="AZ26" s="5" t="s">
        <v>1134</v>
      </c>
      <c r="BA26">
        <v>75</v>
      </c>
      <c r="BB26">
        <v>36</v>
      </c>
      <c r="BC26">
        <v>24</v>
      </c>
      <c r="BD26">
        <v>74</v>
      </c>
      <c r="BE26">
        <v>209</v>
      </c>
    </row>
    <row r="27" spans="1:57" x14ac:dyDescent="0.25">
      <c r="A27" s="5" t="s">
        <v>1168</v>
      </c>
      <c r="B27">
        <v>509</v>
      </c>
      <c r="F27" s="5" t="s">
        <v>1170</v>
      </c>
      <c r="G27" s="12">
        <v>6083120</v>
      </c>
      <c r="I27" s="5" t="s">
        <v>1077</v>
      </c>
      <c r="J27" s="12">
        <v>6108848</v>
      </c>
      <c r="K27" s="5">
        <v>2024</v>
      </c>
      <c r="L27" s="11">
        <v>3111888</v>
      </c>
      <c r="M27" s="11">
        <v>4987</v>
      </c>
      <c r="N27">
        <v>624</v>
      </c>
      <c r="T27" s="5" t="s">
        <v>1122</v>
      </c>
      <c r="U27" s="11">
        <v>1270061</v>
      </c>
      <c r="V27" s="11">
        <v>1143706</v>
      </c>
      <c r="AG27" s="5" t="s">
        <v>1134</v>
      </c>
      <c r="AH27" s="4">
        <v>37</v>
      </c>
      <c r="AI27" s="4">
        <v>38</v>
      </c>
      <c r="AJ27" s="4">
        <v>43</v>
      </c>
      <c r="AK27" s="4">
        <v>30</v>
      </c>
      <c r="AL27" s="4">
        <v>148</v>
      </c>
      <c r="AZ27" s="5" t="s">
        <v>1040</v>
      </c>
      <c r="BA27">
        <v>389</v>
      </c>
      <c r="BB27">
        <v>272</v>
      </c>
      <c r="BC27">
        <v>136</v>
      </c>
      <c r="BD27">
        <v>471</v>
      </c>
      <c r="BE27">
        <v>1268</v>
      </c>
    </row>
    <row r="28" spans="1:57" x14ac:dyDescent="0.25">
      <c r="A28" s="5" t="s">
        <v>1096</v>
      </c>
      <c r="B28">
        <v>513</v>
      </c>
      <c r="F28" s="5" t="s">
        <v>1171</v>
      </c>
      <c r="G28" s="12">
        <v>6362888</v>
      </c>
      <c r="I28" s="5" t="s">
        <v>1078</v>
      </c>
      <c r="J28" s="12">
        <v>6389431</v>
      </c>
      <c r="K28" s="5">
        <v>2025</v>
      </c>
      <c r="L28" s="11">
        <v>1678719</v>
      </c>
      <c r="M28" s="11">
        <v>5071.6586102719029</v>
      </c>
      <c r="N28">
        <v>331</v>
      </c>
      <c r="T28" s="5" t="s">
        <v>1108</v>
      </c>
      <c r="U28" s="11">
        <v>1506246</v>
      </c>
      <c r="V28" s="11">
        <v>3069907</v>
      </c>
      <c r="X28" s="3" t="s">
        <v>1039</v>
      </c>
      <c r="Y28" t="s">
        <v>1126</v>
      </c>
      <c r="AA28" s="15" t="s">
        <v>1039</v>
      </c>
      <c r="AB28" t="s">
        <v>1128</v>
      </c>
      <c r="AG28" s="5" t="s">
        <v>1040</v>
      </c>
      <c r="AH28" s="4">
        <v>210</v>
      </c>
      <c r="AI28" s="4">
        <v>183</v>
      </c>
      <c r="AJ28" s="4">
        <v>226</v>
      </c>
      <c r="AK28" s="4">
        <v>181</v>
      </c>
      <c r="AL28" s="4">
        <v>800</v>
      </c>
    </row>
    <row r="29" spans="1:57" x14ac:dyDescent="0.25">
      <c r="A29" s="5" t="s">
        <v>1097</v>
      </c>
      <c r="B29">
        <v>519</v>
      </c>
      <c r="F29" s="5" t="s">
        <v>1040</v>
      </c>
      <c r="G29" s="12">
        <v>25066089</v>
      </c>
      <c r="I29" s="5" t="s">
        <v>1040</v>
      </c>
      <c r="J29" s="12">
        <v>25066089</v>
      </c>
      <c r="K29" s="5" t="s">
        <v>1040</v>
      </c>
      <c r="L29" s="11">
        <v>25066089</v>
      </c>
      <c r="M29" s="11">
        <v>5013.2178000000004</v>
      </c>
      <c r="N29">
        <v>5000</v>
      </c>
      <c r="T29" s="5" t="s">
        <v>1117</v>
      </c>
      <c r="U29" s="11">
        <v>1291741</v>
      </c>
      <c r="V29" s="11">
        <v>3026194</v>
      </c>
      <c r="X29" s="5" t="s">
        <v>1111</v>
      </c>
      <c r="Y29" s="10">
        <v>92231</v>
      </c>
      <c r="AA29" s="14">
        <v>1</v>
      </c>
      <c r="AB29" s="8">
        <v>1.606541693744753</v>
      </c>
    </row>
    <row r="30" spans="1:57" x14ac:dyDescent="0.25">
      <c r="A30" s="5" t="s">
        <v>1098</v>
      </c>
      <c r="B30">
        <v>571</v>
      </c>
      <c r="T30" s="5" t="s">
        <v>1114</v>
      </c>
      <c r="U30" s="11">
        <v>645721</v>
      </c>
      <c r="V30" s="11">
        <v>443604</v>
      </c>
      <c r="X30" s="5" t="s">
        <v>1117</v>
      </c>
      <c r="Y30" s="10">
        <v>187736.30434782608</v>
      </c>
      <c r="AA30" s="14">
        <v>2</v>
      </c>
      <c r="AB30" s="8">
        <v>0.39503015469394637</v>
      </c>
    </row>
    <row r="31" spans="1:57" x14ac:dyDescent="0.25">
      <c r="A31" s="5" t="s">
        <v>1040</v>
      </c>
      <c r="B31">
        <v>2612</v>
      </c>
      <c r="T31" s="5" t="s">
        <v>1107</v>
      </c>
      <c r="U31" s="11">
        <v>1725464</v>
      </c>
      <c r="V31" s="11">
        <v>1712177</v>
      </c>
      <c r="X31" s="5" t="s">
        <v>1106</v>
      </c>
      <c r="Y31" s="10">
        <v>56944.50588235294</v>
      </c>
      <c r="AA31" s="14">
        <v>3</v>
      </c>
      <c r="AB31" s="8">
        <v>0.37364840031047769</v>
      </c>
    </row>
    <row r="32" spans="1:57" x14ac:dyDescent="0.25">
      <c r="T32" s="5" t="s">
        <v>1111</v>
      </c>
      <c r="U32" s="11">
        <v>1274166</v>
      </c>
      <c r="V32" s="11">
        <v>2968460</v>
      </c>
      <c r="X32" s="5" t="s">
        <v>1109</v>
      </c>
      <c r="Y32" s="10">
        <v>113815.28571428571</v>
      </c>
      <c r="AA32" s="14">
        <v>4</v>
      </c>
      <c r="AB32" s="8">
        <v>0.50193257527473056</v>
      </c>
    </row>
    <row r="33" spans="1:44" x14ac:dyDescent="0.25">
      <c r="T33" s="5" t="s">
        <v>1104</v>
      </c>
      <c r="U33" s="11">
        <v>1727985</v>
      </c>
      <c r="V33" s="11">
        <v>-652392</v>
      </c>
      <c r="X33" s="5" t="s">
        <v>1116</v>
      </c>
      <c r="Y33" s="10">
        <v>198379.33333333334</v>
      </c>
      <c r="AA33" s="14">
        <v>5</v>
      </c>
      <c r="AB33" s="8">
        <v>0.32915114507753562</v>
      </c>
      <c r="AG33" t="s">
        <v>1153</v>
      </c>
      <c r="AH33" t="s">
        <v>1149</v>
      </c>
      <c r="AK33" t="s">
        <v>1152</v>
      </c>
    </row>
    <row r="34" spans="1:44" x14ac:dyDescent="0.25">
      <c r="A34" s="3" t="s">
        <v>1039</v>
      </c>
      <c r="B34" t="s">
        <v>1080</v>
      </c>
      <c r="T34" s="5" t="s">
        <v>1105</v>
      </c>
      <c r="U34" s="11">
        <v>377349</v>
      </c>
      <c r="V34" s="11">
        <v>577892</v>
      </c>
      <c r="X34" s="5" t="s">
        <v>1040</v>
      </c>
      <c r="Y34" s="11">
        <v>101644.45794392523</v>
      </c>
      <c r="AA34" s="14">
        <v>6</v>
      </c>
      <c r="AB34" s="8">
        <v>0.41276215722969672</v>
      </c>
      <c r="AF34" s="3" t="s">
        <v>1039</v>
      </c>
      <c r="AG34" t="s">
        <v>1148</v>
      </c>
      <c r="AH34" s="3" t="s">
        <v>1039</v>
      </c>
      <c r="AI34" t="s">
        <v>1148</v>
      </c>
      <c r="AK34" s="3" t="s">
        <v>1039</v>
      </c>
      <c r="AL34" t="s">
        <v>1142</v>
      </c>
    </row>
    <row r="35" spans="1:44" x14ac:dyDescent="0.25">
      <c r="A35" s="5" t="s">
        <v>1082</v>
      </c>
      <c r="B35" s="13">
        <v>1235</v>
      </c>
      <c r="T35" s="5" t="s">
        <v>1040</v>
      </c>
      <c r="U35" s="11">
        <v>21167448</v>
      </c>
      <c r="V35" s="11">
        <v>38254272</v>
      </c>
      <c r="AA35" s="14">
        <v>7</v>
      </c>
      <c r="AB35" s="8">
        <v>0.40618006652434452</v>
      </c>
      <c r="AF35" s="5" t="s">
        <v>1135</v>
      </c>
      <c r="AG35" s="4">
        <v>33.802325581395351</v>
      </c>
      <c r="AH35" s="5" t="s">
        <v>1130</v>
      </c>
      <c r="AI35" s="4">
        <v>31.206521739130434</v>
      </c>
      <c r="AK35" s="5" t="s">
        <v>1135</v>
      </c>
      <c r="AL35">
        <v>172</v>
      </c>
      <c r="AR35" t="s">
        <v>1129</v>
      </c>
    </row>
    <row r="36" spans="1:44" x14ac:dyDescent="0.25">
      <c r="A36" s="5" t="s">
        <v>1169</v>
      </c>
      <c r="B36" s="13">
        <v>1244</v>
      </c>
      <c r="AA36" s="14">
        <v>8</v>
      </c>
      <c r="AB36" s="8">
        <v>0.30032484597982478</v>
      </c>
      <c r="AF36" s="5" t="s">
        <v>1136</v>
      </c>
      <c r="AG36" s="4">
        <v>29.528662420382165</v>
      </c>
      <c r="AH36" s="5" t="s">
        <v>1131</v>
      </c>
      <c r="AI36" s="4">
        <v>28.93661971830986</v>
      </c>
      <c r="AK36" s="5" t="s">
        <v>1136</v>
      </c>
      <c r="AL36">
        <v>157</v>
      </c>
      <c r="AR36">
        <v>800</v>
      </c>
    </row>
    <row r="37" spans="1:44" x14ac:dyDescent="0.25">
      <c r="A37" s="5" t="s">
        <v>1170</v>
      </c>
      <c r="B37" s="13">
        <v>1235</v>
      </c>
      <c r="AA37" s="14">
        <v>9</v>
      </c>
      <c r="AB37" s="8">
        <v>0.16659167922575205</v>
      </c>
      <c r="AF37" s="5" t="s">
        <v>1137</v>
      </c>
      <c r="AG37" s="4">
        <v>30.061571125265392</v>
      </c>
      <c r="AH37" s="5" t="s">
        <v>1133</v>
      </c>
      <c r="AI37" s="4">
        <v>30.50314465408805</v>
      </c>
      <c r="AK37" s="5" t="s">
        <v>1137</v>
      </c>
      <c r="AL37">
        <v>471</v>
      </c>
    </row>
    <row r="38" spans="1:44" x14ac:dyDescent="0.25">
      <c r="A38" s="5" t="s">
        <v>1171</v>
      </c>
      <c r="B38" s="13">
        <v>1286</v>
      </c>
      <c r="AA38" s="14">
        <v>10</v>
      </c>
      <c r="AB38" s="8">
        <v>0.56944706628760733</v>
      </c>
      <c r="AF38" s="5" t="s">
        <v>1040</v>
      </c>
      <c r="AG38">
        <v>30.76125</v>
      </c>
      <c r="AH38" s="5" t="s">
        <v>1134</v>
      </c>
      <c r="AI38" s="4">
        <v>31.351351351351351</v>
      </c>
      <c r="AK38" s="5" t="s">
        <v>1040</v>
      </c>
      <c r="AL38">
        <v>800</v>
      </c>
    </row>
    <row r="39" spans="1:44" x14ac:dyDescent="0.25">
      <c r="A39" s="5" t="s">
        <v>1040</v>
      </c>
      <c r="B39" s="13">
        <v>5000</v>
      </c>
      <c r="AA39" s="14">
        <v>11</v>
      </c>
      <c r="AB39" s="8">
        <v>0.59277167052991531</v>
      </c>
      <c r="AH39" s="5" t="s">
        <v>1040</v>
      </c>
      <c r="AI39" s="4">
        <v>30.554502369668246</v>
      </c>
      <c r="AK39" s="3" t="s">
        <v>1039</v>
      </c>
      <c r="AL39" t="s">
        <v>1142</v>
      </c>
      <c r="AQ39" t="s">
        <v>1129</v>
      </c>
    </row>
    <row r="40" spans="1:44" x14ac:dyDescent="0.25">
      <c r="B40" s="2"/>
      <c r="AA40" s="14">
        <v>12</v>
      </c>
      <c r="AB40" s="8">
        <v>7.601494150752372E-2</v>
      </c>
      <c r="AK40" s="5" t="s">
        <v>1135</v>
      </c>
      <c r="AL40">
        <v>172</v>
      </c>
      <c r="AQ40">
        <v>800</v>
      </c>
    </row>
    <row r="41" spans="1:44" x14ac:dyDescent="0.25">
      <c r="AA41" s="14">
        <v>13</v>
      </c>
      <c r="AB41" s="8">
        <v>5.3785844627632584E-2</v>
      </c>
      <c r="AK41" s="5" t="s">
        <v>1136</v>
      </c>
      <c r="AL41">
        <v>157</v>
      </c>
    </row>
    <row r="42" spans="1:44" x14ac:dyDescent="0.25">
      <c r="AA42" s="14">
        <v>14</v>
      </c>
      <c r="AB42" s="8">
        <v>0.29915712024382024</v>
      </c>
      <c r="AI42" t="s">
        <v>1151</v>
      </c>
      <c r="AK42" s="5" t="s">
        <v>1137</v>
      </c>
      <c r="AL42">
        <v>471</v>
      </c>
    </row>
    <row r="43" spans="1:44" x14ac:dyDescent="0.25">
      <c r="AA43" s="14">
        <v>15</v>
      </c>
      <c r="AB43" s="8">
        <v>0.19705054434119973</v>
      </c>
      <c r="AH43" s="3" t="s">
        <v>1147</v>
      </c>
      <c r="AI43" t="s" vm="2">
        <v>1177</v>
      </c>
      <c r="AK43" s="5" t="s">
        <v>1040</v>
      </c>
      <c r="AL43">
        <v>800</v>
      </c>
    </row>
    <row r="44" spans="1:44" x14ac:dyDescent="0.25">
      <c r="AA44" s="14">
        <v>16</v>
      </c>
      <c r="AB44" s="8">
        <v>0.11568902718155269</v>
      </c>
    </row>
    <row r="45" spans="1:44" x14ac:dyDescent="0.25">
      <c r="AA45" s="14">
        <v>17</v>
      </c>
      <c r="AB45" s="8">
        <v>1.3856547527462406</v>
      </c>
      <c r="AH45" t="s">
        <v>1129</v>
      </c>
      <c r="AI45" t="s">
        <v>1150</v>
      </c>
    </row>
    <row r="46" spans="1:44" x14ac:dyDescent="0.25">
      <c r="AA46" s="14">
        <v>18</v>
      </c>
      <c r="AB46" s="8">
        <v>0.4186895845139248</v>
      </c>
      <c r="AH46">
        <v>800</v>
      </c>
      <c r="AI46" s="4">
        <v>430.67500000000001</v>
      </c>
    </row>
    <row r="47" spans="1:44" x14ac:dyDescent="0.25">
      <c r="AA47" s="14">
        <v>19</v>
      </c>
      <c r="AB47" s="8">
        <v>0.52617381876544012</v>
      </c>
    </row>
    <row r="48" spans="1:44" x14ac:dyDescent="0.25">
      <c r="AA48" s="14">
        <v>20</v>
      </c>
      <c r="AB48" s="8">
        <v>0.17321965093928487</v>
      </c>
      <c r="AH48" s="3" t="s">
        <v>1039</v>
      </c>
      <c r="AI48" t="s">
        <v>1129</v>
      </c>
    </row>
    <row r="49" spans="27:35" x14ac:dyDescent="0.25">
      <c r="AA49" s="14" t="s">
        <v>1040</v>
      </c>
      <c r="AB49" s="8">
        <v>0.35622408775780978</v>
      </c>
      <c r="AH49" s="5" t="s">
        <v>1155</v>
      </c>
      <c r="AI49">
        <v>69</v>
      </c>
    </row>
    <row r="50" spans="27:35" x14ac:dyDescent="0.25">
      <c r="AH50" s="5" t="s">
        <v>1156</v>
      </c>
      <c r="AI50">
        <v>54</v>
      </c>
    </row>
    <row r="51" spans="27:35" x14ac:dyDescent="0.25">
      <c r="AH51" s="5" t="s">
        <v>1157</v>
      </c>
      <c r="AI51">
        <v>67</v>
      </c>
    </row>
    <row r="52" spans="27:35" x14ac:dyDescent="0.25">
      <c r="AH52" s="5" t="s">
        <v>1158</v>
      </c>
      <c r="AI52">
        <v>70</v>
      </c>
    </row>
    <row r="53" spans="27:35" x14ac:dyDescent="0.25">
      <c r="AH53" s="5" t="s">
        <v>1159</v>
      </c>
      <c r="AI53">
        <v>77</v>
      </c>
    </row>
    <row r="54" spans="27:35" x14ac:dyDescent="0.25">
      <c r="AH54" s="5" t="s">
        <v>1160</v>
      </c>
      <c r="AI54">
        <v>63</v>
      </c>
    </row>
    <row r="55" spans="27:35" x14ac:dyDescent="0.25">
      <c r="AH55" s="5" t="s">
        <v>1161</v>
      </c>
      <c r="AI55">
        <v>74</v>
      </c>
    </row>
    <row r="56" spans="27:35" x14ac:dyDescent="0.25">
      <c r="AH56" s="5" t="s">
        <v>1162</v>
      </c>
      <c r="AI56">
        <v>66</v>
      </c>
    </row>
    <row r="57" spans="27:35" x14ac:dyDescent="0.25">
      <c r="AH57" s="5" t="s">
        <v>1163</v>
      </c>
      <c r="AI57">
        <v>59</v>
      </c>
    </row>
    <row r="58" spans="27:35" x14ac:dyDescent="0.25">
      <c r="AH58" s="5" t="s">
        <v>1164</v>
      </c>
      <c r="AI58">
        <v>71</v>
      </c>
    </row>
    <row r="59" spans="27:35" x14ac:dyDescent="0.25">
      <c r="AH59" s="5" t="s">
        <v>1165</v>
      </c>
      <c r="AI59">
        <v>67</v>
      </c>
    </row>
    <row r="60" spans="27:35" x14ac:dyDescent="0.25">
      <c r="AH60" s="5" t="s">
        <v>1166</v>
      </c>
      <c r="AI60">
        <v>63</v>
      </c>
    </row>
    <row r="61" spans="27:35" x14ac:dyDescent="0.25">
      <c r="AH61" s="5" t="s">
        <v>1040</v>
      </c>
      <c r="AI61">
        <v>800</v>
      </c>
    </row>
  </sheetData>
  <pageMargins left="0.7" right="0.7" top="0.75" bottom="0.75" header="0.3" footer="0.3"/>
  <pageSetup paperSize="9" orientation="portrait" r:id="rId4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6D199-6F81-4420-B304-B0AE1231DA24}">
  <dimension ref="A1:P501"/>
  <sheetViews>
    <sheetView workbookViewId="0">
      <selection activeCell="J15" sqref="J15"/>
    </sheetView>
  </sheetViews>
  <sheetFormatPr defaultRowHeight="15" x14ac:dyDescent="0.25"/>
  <cols>
    <col min="1" max="1" width="14.140625" customWidth="1"/>
    <col min="2" max="2" width="27" bestFit="1" customWidth="1"/>
    <col min="3" max="3" width="9.85546875" customWidth="1"/>
    <col min="4" max="4" width="12" customWidth="1"/>
    <col min="5" max="5" width="6.42578125" customWidth="1"/>
    <col min="6" max="6" width="9.42578125" customWidth="1"/>
    <col min="7" max="7" width="13.42578125" customWidth="1"/>
    <col min="8" max="8" width="17" customWidth="1"/>
    <col min="9" max="9" width="11.5703125" style="2" bestFit="1" customWidth="1"/>
    <col min="10" max="12" width="21" customWidth="1"/>
    <col min="13" max="14" width="9.140625" customWidth="1"/>
    <col min="15" max="15" width="11.85546875" customWidth="1"/>
    <col min="16" max="16" width="10.42578125" bestFit="1" customWidth="1"/>
  </cols>
  <sheetData>
    <row r="1" spans="1:16" x14ac:dyDescent="0.25">
      <c r="A1" t="s">
        <v>0</v>
      </c>
      <c r="B1" t="s">
        <v>1</v>
      </c>
      <c r="C1" t="s">
        <v>2</v>
      </c>
      <c r="D1" t="s">
        <v>3</v>
      </c>
      <c r="E1" t="s">
        <v>4</v>
      </c>
      <c r="F1" t="s">
        <v>5</v>
      </c>
      <c r="G1" t="s">
        <v>6</v>
      </c>
      <c r="H1" t="s">
        <v>1034</v>
      </c>
      <c r="I1" s="2" t="s">
        <v>7</v>
      </c>
      <c r="J1" t="s">
        <v>8</v>
      </c>
      <c r="K1" t="s">
        <v>9</v>
      </c>
      <c r="L1" t="s">
        <v>1073</v>
      </c>
      <c r="M1" t="s">
        <v>10</v>
      </c>
      <c r="N1" t="s">
        <v>1072</v>
      </c>
      <c r="O1" t="s">
        <v>11</v>
      </c>
    </row>
    <row r="2" spans="1:16" x14ac:dyDescent="0.25">
      <c r="A2" t="s">
        <v>12</v>
      </c>
      <c r="B2" t="s">
        <v>13</v>
      </c>
      <c r="C2" t="s">
        <v>14</v>
      </c>
      <c r="D2" t="s">
        <v>15</v>
      </c>
      <c r="E2">
        <v>38</v>
      </c>
      <c r="F2" t="s">
        <v>16</v>
      </c>
      <c r="G2" t="s">
        <v>17</v>
      </c>
      <c r="H2" t="str" cm="1">
        <f t="array" ref="H2">_xlfn.IFS(I2&lt;30000,"Low",I2&lt;60000,"Medium",I2&lt;100000,"High",TRUE,"Premium")</f>
        <v>Premium</v>
      </c>
      <c r="I2" s="2">
        <v>191672</v>
      </c>
      <c r="J2" t="s">
        <v>18</v>
      </c>
      <c r="K2" t="str" cm="1">
        <f t="array" ref="K2">_xlfn.IFS(Table1[[#This Row],[tenure]]&lt;=2,"New",Table1[[#This Row],[tenure]]&lt;=5,"Emerging",Table1[[#This Row],[tenure]]&lt;=8,"Loyal",Table1[[#This Row],[tenure]]&lt;=10,"Legacy")</f>
        <v>New</v>
      </c>
      <c r="L2" t="str">
        <f>TEXT(Table1[[#This Row],[Join_Date]],"mmm-yyyy")</f>
        <v>Apr-2023</v>
      </c>
      <c r="M2">
        <v>2</v>
      </c>
      <c r="N2">
        <f>YEAR(Table1[[#This Row],[Join_Date]])</f>
        <v>2023</v>
      </c>
      <c r="O2" s="1">
        <v>45041</v>
      </c>
      <c r="P2" s="1"/>
    </row>
    <row r="3" spans="1:16" x14ac:dyDescent="0.25">
      <c r="A3" t="s">
        <v>20</v>
      </c>
      <c r="B3" t="s">
        <v>21</v>
      </c>
      <c r="C3" t="s">
        <v>22</v>
      </c>
      <c r="D3" t="s">
        <v>23</v>
      </c>
      <c r="E3">
        <v>49</v>
      </c>
      <c r="F3" t="s">
        <v>24</v>
      </c>
      <c r="G3" t="s">
        <v>25</v>
      </c>
      <c r="H3" t="str" cm="1">
        <f t="array" ref="H3">_xlfn.IFS(I3&lt;30000,"Low",I3&lt;60000,"Medium",I3&lt;100000,"High",TRUE,"Premium")</f>
        <v>Premium</v>
      </c>
      <c r="I3" s="2">
        <v>186472</v>
      </c>
      <c r="J3" t="s">
        <v>26</v>
      </c>
      <c r="K3" t="str" cm="1">
        <f t="array" ref="K3">_xlfn.IFS(Table1[[#This Row],[tenure]]&lt;=2,"New",Table1[[#This Row],[tenure]]&lt;=5,"Emerging",Table1[[#This Row],[tenure]]&lt;=8,"Loyal",Table1[[#This Row],[tenure]]&lt;=10,"Legacy")</f>
        <v>Emerging</v>
      </c>
      <c r="L3" t="str">
        <f>TEXT(Table1[[#This Row],[Join_Date]],"mmm-yyyy")</f>
        <v>May-2021</v>
      </c>
      <c r="M3">
        <v>4</v>
      </c>
      <c r="N3">
        <f>YEAR(Table1[[#This Row],[Join_Date]])</f>
        <v>2021</v>
      </c>
      <c r="O3" s="1">
        <v>44331</v>
      </c>
      <c r="P3" s="1"/>
    </row>
    <row r="4" spans="1:16" x14ac:dyDescent="0.25">
      <c r="A4" t="s">
        <v>27</v>
      </c>
      <c r="B4" t="s">
        <v>28</v>
      </c>
      <c r="C4" t="s">
        <v>14</v>
      </c>
      <c r="D4" t="s">
        <v>15</v>
      </c>
      <c r="E4">
        <v>40</v>
      </c>
      <c r="F4" t="s">
        <v>16</v>
      </c>
      <c r="G4" t="s">
        <v>29</v>
      </c>
      <c r="H4" t="str" cm="1">
        <f t="array" ref="H4">_xlfn.IFS(I4&lt;30000,"Low",I4&lt;60000,"Medium",I4&lt;100000,"High",TRUE,"Premium")</f>
        <v>Premium</v>
      </c>
      <c r="I4" s="2">
        <v>155566</v>
      </c>
      <c r="J4" t="s">
        <v>30</v>
      </c>
      <c r="K4" t="str" cm="1">
        <f t="array" ref="K4">_xlfn.IFS(Table1[[#This Row],[tenure]]&lt;=2,"New",Table1[[#This Row],[tenure]]&lt;=5,"Emerging",Table1[[#This Row],[tenure]]&lt;=8,"Loyal",Table1[[#This Row],[tenure]]&lt;=10,"Legacy")</f>
        <v>Loyal</v>
      </c>
      <c r="L4" t="str">
        <f>TEXT(Table1[[#This Row],[Join_Date]],"mmm-yyyy")</f>
        <v>Dec-2018</v>
      </c>
      <c r="M4">
        <v>7</v>
      </c>
      <c r="N4">
        <f>YEAR(Table1[[#This Row],[Join_Date]])</f>
        <v>2018</v>
      </c>
      <c r="O4" s="1">
        <v>43438</v>
      </c>
      <c r="P4" s="1"/>
    </row>
    <row r="5" spans="1:16" x14ac:dyDescent="0.25">
      <c r="A5" t="s">
        <v>32</v>
      </c>
      <c r="B5" t="s">
        <v>33</v>
      </c>
      <c r="C5" t="s">
        <v>14</v>
      </c>
      <c r="D5" t="s">
        <v>23</v>
      </c>
      <c r="E5">
        <v>50</v>
      </c>
      <c r="F5" t="s">
        <v>16</v>
      </c>
      <c r="G5" t="s">
        <v>34</v>
      </c>
      <c r="H5" t="str" cm="1">
        <f t="array" ref="H5">_xlfn.IFS(I5&lt;30000,"Low",I5&lt;60000,"Medium",I5&lt;100000,"High",TRUE,"Premium")</f>
        <v>Premium</v>
      </c>
      <c r="I5" s="2">
        <v>142744</v>
      </c>
      <c r="J5" t="s">
        <v>18</v>
      </c>
      <c r="K5" t="str" cm="1">
        <f t="array" ref="K5">_xlfn.IFS(Table1[[#This Row],[tenure]]&lt;=2,"New",Table1[[#This Row],[tenure]]&lt;=5,"Emerging",Table1[[#This Row],[tenure]]&lt;=8,"Loyal",Table1[[#This Row],[tenure]]&lt;=10,"Legacy")</f>
        <v>Emerging</v>
      </c>
      <c r="L5" t="str">
        <f>TEXT(Table1[[#This Row],[Join_Date]],"mmm-yyyy")</f>
        <v>Oct-2021</v>
      </c>
      <c r="M5">
        <v>4</v>
      </c>
      <c r="N5">
        <f>YEAR(Table1[[#This Row],[Join_Date]])</f>
        <v>2021</v>
      </c>
      <c r="O5" s="1">
        <v>44494</v>
      </c>
      <c r="P5" s="1"/>
    </row>
    <row r="6" spans="1:16" x14ac:dyDescent="0.25">
      <c r="A6" t="s">
        <v>35</v>
      </c>
      <c r="B6" t="s">
        <v>36</v>
      </c>
      <c r="C6" t="s">
        <v>14</v>
      </c>
      <c r="D6" t="s">
        <v>37</v>
      </c>
      <c r="E6">
        <v>20</v>
      </c>
      <c r="F6" t="s">
        <v>38</v>
      </c>
      <c r="G6" t="s">
        <v>39</v>
      </c>
      <c r="H6" t="str" cm="1">
        <f t="array" ref="H6">_xlfn.IFS(I6&lt;30000,"Low",I6&lt;60000,"Medium",I6&lt;100000,"High",TRUE,"Premium")</f>
        <v>Premium</v>
      </c>
      <c r="I6" s="2">
        <v>109431</v>
      </c>
      <c r="J6" t="s">
        <v>26</v>
      </c>
      <c r="K6" t="str" cm="1">
        <f t="array" ref="K6">_xlfn.IFS(Table1[[#This Row],[tenure]]&lt;=2,"New",Table1[[#This Row],[tenure]]&lt;=5,"Emerging",Table1[[#This Row],[tenure]]&lt;=8,"Loyal",Table1[[#This Row],[tenure]]&lt;=10,"Legacy")</f>
        <v>Loyal</v>
      </c>
      <c r="L6" t="str">
        <f>TEXT(Table1[[#This Row],[Join_Date]],"mmm-yyyy")</f>
        <v>Jul-2018</v>
      </c>
      <c r="M6">
        <v>7</v>
      </c>
      <c r="N6">
        <f>YEAR(Table1[[#This Row],[Join_Date]])</f>
        <v>2018</v>
      </c>
      <c r="O6" s="1">
        <v>43309</v>
      </c>
      <c r="P6" s="1"/>
    </row>
    <row r="7" spans="1:16" x14ac:dyDescent="0.25">
      <c r="A7" t="s">
        <v>40</v>
      </c>
      <c r="B7" t="s">
        <v>41</v>
      </c>
      <c r="C7" t="s">
        <v>22</v>
      </c>
      <c r="D7" t="s">
        <v>15</v>
      </c>
      <c r="E7">
        <v>35</v>
      </c>
      <c r="F7" t="s">
        <v>42</v>
      </c>
      <c r="G7" t="s">
        <v>29</v>
      </c>
      <c r="H7" t="str" cm="1">
        <f t="array" ref="H7">_xlfn.IFS(I7&lt;30000,"Low",I7&lt;60000,"Medium",I7&lt;100000,"High",TRUE,"Premium")</f>
        <v>High</v>
      </c>
      <c r="I7" s="2">
        <v>63001</v>
      </c>
      <c r="J7" t="s">
        <v>18</v>
      </c>
      <c r="K7" t="str" cm="1">
        <f t="array" ref="K7">_xlfn.IFS(Table1[[#This Row],[tenure]]&lt;=2,"New",Table1[[#This Row],[tenure]]&lt;=5,"Emerging",Table1[[#This Row],[tenure]]&lt;=8,"Loyal",Table1[[#This Row],[tenure]]&lt;=10,"Legacy")</f>
        <v>Legacy</v>
      </c>
      <c r="L7" t="str">
        <f>TEXT(Table1[[#This Row],[Join_Date]],"mmm-yyyy")</f>
        <v>May-2016</v>
      </c>
      <c r="M7">
        <v>9</v>
      </c>
      <c r="N7">
        <f>YEAR(Table1[[#This Row],[Join_Date]])</f>
        <v>2016</v>
      </c>
      <c r="O7" s="1">
        <v>42520</v>
      </c>
      <c r="P7" s="1"/>
    </row>
    <row r="8" spans="1:16" x14ac:dyDescent="0.25">
      <c r="A8" t="s">
        <v>44</v>
      </c>
      <c r="B8" t="s">
        <v>45</v>
      </c>
      <c r="C8" t="s">
        <v>14</v>
      </c>
      <c r="D8" t="s">
        <v>15</v>
      </c>
      <c r="E8">
        <v>42</v>
      </c>
      <c r="F8" t="s">
        <v>16</v>
      </c>
      <c r="G8" t="s">
        <v>46</v>
      </c>
      <c r="H8" t="str" cm="1">
        <f t="array" ref="H8">_xlfn.IFS(I8&lt;30000,"Low",I8&lt;60000,"Medium",I8&lt;100000,"High",TRUE,"Premium")</f>
        <v>High</v>
      </c>
      <c r="I8" s="2">
        <v>87364</v>
      </c>
      <c r="J8" t="s">
        <v>26</v>
      </c>
      <c r="K8" t="str" cm="1">
        <f t="array" ref="K8">_xlfn.IFS(Table1[[#This Row],[tenure]]&lt;=2,"New",Table1[[#This Row],[tenure]]&lt;=5,"Emerging",Table1[[#This Row],[tenure]]&lt;=8,"Loyal",Table1[[#This Row],[tenure]]&lt;=10,"Legacy")</f>
        <v>Loyal</v>
      </c>
      <c r="L8" t="str">
        <f>TEXT(Table1[[#This Row],[Join_Date]],"mmm-yyyy")</f>
        <v>Oct-2017</v>
      </c>
      <c r="M8">
        <v>8</v>
      </c>
      <c r="N8">
        <f>YEAR(Table1[[#This Row],[Join_Date]])</f>
        <v>2017</v>
      </c>
      <c r="O8" s="1">
        <v>43026</v>
      </c>
      <c r="P8" s="1"/>
    </row>
    <row r="9" spans="1:16" x14ac:dyDescent="0.25">
      <c r="A9" t="s">
        <v>47</v>
      </c>
      <c r="B9" t="s">
        <v>48</v>
      </c>
      <c r="C9" t="s">
        <v>14</v>
      </c>
      <c r="D9" t="s">
        <v>23</v>
      </c>
      <c r="E9">
        <v>59</v>
      </c>
      <c r="F9" t="s">
        <v>16</v>
      </c>
      <c r="G9" t="s">
        <v>46</v>
      </c>
      <c r="H9" t="str" cm="1">
        <f t="array" ref="H9">_xlfn.IFS(I9&lt;30000,"Low",I9&lt;60000,"Medium",I9&lt;100000,"High",TRUE,"Premium")</f>
        <v>Premium</v>
      </c>
      <c r="I9" s="2">
        <v>144988</v>
      </c>
      <c r="J9" t="s">
        <v>18</v>
      </c>
      <c r="K9" t="str" cm="1">
        <f t="array" ref="K9">_xlfn.IFS(Table1[[#This Row],[tenure]]&lt;=2,"New",Table1[[#This Row],[tenure]]&lt;=5,"Emerging",Table1[[#This Row],[tenure]]&lt;=8,"Loyal",Table1[[#This Row],[tenure]]&lt;=10,"Legacy")</f>
        <v>New</v>
      </c>
      <c r="L9" t="str">
        <f>TEXT(Table1[[#This Row],[Join_Date]],"mmm-yyyy")</f>
        <v>Jun-2024</v>
      </c>
      <c r="M9">
        <v>1</v>
      </c>
      <c r="N9">
        <f>YEAR(Table1[[#This Row],[Join_Date]])</f>
        <v>2024</v>
      </c>
      <c r="O9" s="1">
        <v>45448</v>
      </c>
      <c r="P9" s="1"/>
    </row>
    <row r="10" spans="1:16" x14ac:dyDescent="0.25">
      <c r="A10" t="s">
        <v>49</v>
      </c>
      <c r="B10" t="s">
        <v>50</v>
      </c>
      <c r="C10" t="s">
        <v>14</v>
      </c>
      <c r="D10" t="s">
        <v>23</v>
      </c>
      <c r="E10">
        <v>48</v>
      </c>
      <c r="F10" t="s">
        <v>38</v>
      </c>
      <c r="G10" t="s">
        <v>51</v>
      </c>
      <c r="H10" t="str" cm="1">
        <f t="array" ref="H10">_xlfn.IFS(I10&lt;30000,"Low",I10&lt;60000,"Medium",I10&lt;100000,"High",TRUE,"Premium")</f>
        <v>High</v>
      </c>
      <c r="I10" s="2">
        <v>65028</v>
      </c>
      <c r="J10" t="s">
        <v>26</v>
      </c>
      <c r="K10" t="str" cm="1">
        <f t="array" ref="K10">_xlfn.IFS(Table1[[#This Row],[tenure]]&lt;=2,"New",Table1[[#This Row],[tenure]]&lt;=5,"Emerging",Table1[[#This Row],[tenure]]&lt;=8,"Loyal",Table1[[#This Row],[tenure]]&lt;=10,"Legacy")</f>
        <v>Loyal</v>
      </c>
      <c r="L10" t="str">
        <f>TEXT(Table1[[#This Row],[Join_Date]],"mmm-yyyy")</f>
        <v>Feb-2019</v>
      </c>
      <c r="M10">
        <v>7</v>
      </c>
      <c r="N10">
        <f>YEAR(Table1[[#This Row],[Join_Date]])</f>
        <v>2019</v>
      </c>
      <c r="O10" s="1">
        <v>43507</v>
      </c>
      <c r="P10" s="1"/>
    </row>
    <row r="11" spans="1:16" x14ac:dyDescent="0.25">
      <c r="A11" t="s">
        <v>52</v>
      </c>
      <c r="B11" t="s">
        <v>53</v>
      </c>
      <c r="C11" t="s">
        <v>22</v>
      </c>
      <c r="D11" t="s">
        <v>54</v>
      </c>
      <c r="E11">
        <v>71</v>
      </c>
      <c r="F11" t="s">
        <v>38</v>
      </c>
      <c r="G11" t="s">
        <v>25</v>
      </c>
      <c r="H11" t="str" cm="1">
        <f t="array" ref="H11">_xlfn.IFS(I11&lt;30000,"Low",I11&lt;60000,"Medium",I11&lt;100000,"High",TRUE,"Premium")</f>
        <v>Premium</v>
      </c>
      <c r="I11" s="2">
        <v>188645</v>
      </c>
      <c r="J11" t="s">
        <v>26</v>
      </c>
      <c r="K11" t="str" cm="1">
        <f t="array" ref="K11">_xlfn.IFS(Table1[[#This Row],[tenure]]&lt;=2,"New",Table1[[#This Row],[tenure]]&lt;=5,"Emerging",Table1[[#This Row],[tenure]]&lt;=8,"Loyal",Table1[[#This Row],[tenure]]&lt;=10,"Legacy")</f>
        <v>Legacy</v>
      </c>
      <c r="L11" t="str">
        <f>TEXT(Table1[[#This Row],[Join_Date]],"mmm-yyyy")</f>
        <v>Feb-2016</v>
      </c>
      <c r="M11">
        <v>10</v>
      </c>
      <c r="N11">
        <f>YEAR(Table1[[#This Row],[Join_Date]])</f>
        <v>2016</v>
      </c>
      <c r="O11" s="1">
        <v>42405</v>
      </c>
      <c r="P11" s="1"/>
    </row>
    <row r="12" spans="1:16" x14ac:dyDescent="0.25">
      <c r="A12" t="s">
        <v>55</v>
      </c>
      <c r="B12" t="s">
        <v>56</v>
      </c>
      <c r="C12" t="s">
        <v>14</v>
      </c>
      <c r="D12" t="s">
        <v>37</v>
      </c>
      <c r="E12">
        <v>20</v>
      </c>
      <c r="F12" t="s">
        <v>42</v>
      </c>
      <c r="G12" t="s">
        <v>17</v>
      </c>
      <c r="H12" t="str" cm="1">
        <f t="array" ref="H12">_xlfn.IFS(I12&lt;30000,"Low",I12&lt;60000,"Medium",I12&lt;100000,"High",TRUE,"Premium")</f>
        <v>Premium</v>
      </c>
      <c r="I12" s="2">
        <v>151878</v>
      </c>
      <c r="J12" t="s">
        <v>30</v>
      </c>
      <c r="K12" t="str" cm="1">
        <f t="array" ref="K12">_xlfn.IFS(Table1[[#This Row],[tenure]]&lt;=2,"New",Table1[[#This Row],[tenure]]&lt;=5,"Emerging",Table1[[#This Row],[tenure]]&lt;=8,"Loyal",Table1[[#This Row],[tenure]]&lt;=10,"Legacy")</f>
        <v>Legacy</v>
      </c>
      <c r="L12" t="str">
        <f>TEXT(Table1[[#This Row],[Join_Date]],"mmm-yyyy")</f>
        <v>Feb-2017</v>
      </c>
      <c r="M12">
        <v>9</v>
      </c>
      <c r="N12">
        <f>YEAR(Table1[[#This Row],[Join_Date]])</f>
        <v>2017</v>
      </c>
      <c r="O12" s="1">
        <v>42781</v>
      </c>
      <c r="P12" s="1"/>
    </row>
    <row r="13" spans="1:16" x14ac:dyDescent="0.25">
      <c r="A13" t="s">
        <v>57</v>
      </c>
      <c r="B13" t="s">
        <v>58</v>
      </c>
      <c r="C13" t="s">
        <v>14</v>
      </c>
      <c r="D13" t="s">
        <v>23</v>
      </c>
      <c r="E13">
        <v>57</v>
      </c>
      <c r="F13" t="s">
        <v>38</v>
      </c>
      <c r="G13" t="s">
        <v>25</v>
      </c>
      <c r="H13" t="str" cm="1">
        <f t="array" ref="H13">_xlfn.IFS(I13&lt;30000,"Low",I13&lt;60000,"Medium",I13&lt;100000,"High",TRUE,"Premium")</f>
        <v>Premium</v>
      </c>
      <c r="I13" s="2">
        <v>144343</v>
      </c>
      <c r="J13" t="s">
        <v>26</v>
      </c>
      <c r="K13" t="str" cm="1">
        <f t="array" ref="K13">_xlfn.IFS(Table1[[#This Row],[tenure]]&lt;=2,"New",Table1[[#This Row],[tenure]]&lt;=5,"Emerging",Table1[[#This Row],[tenure]]&lt;=8,"Loyal",Table1[[#This Row],[tenure]]&lt;=10,"Legacy")</f>
        <v>New</v>
      </c>
      <c r="L13" t="str">
        <f>TEXT(Table1[[#This Row],[Join_Date]],"mmm-yyyy")</f>
        <v>Dec-2023</v>
      </c>
      <c r="M13">
        <v>2</v>
      </c>
      <c r="N13">
        <f>YEAR(Table1[[#This Row],[Join_Date]])</f>
        <v>2023</v>
      </c>
      <c r="O13" s="1">
        <v>45280</v>
      </c>
      <c r="P13" s="1"/>
    </row>
    <row r="14" spans="1:16" x14ac:dyDescent="0.25">
      <c r="A14" t="s">
        <v>59</v>
      </c>
      <c r="B14" t="s">
        <v>60</v>
      </c>
      <c r="C14" t="s">
        <v>14</v>
      </c>
      <c r="D14" t="s">
        <v>54</v>
      </c>
      <c r="E14">
        <v>63</v>
      </c>
      <c r="F14" t="s">
        <v>24</v>
      </c>
      <c r="G14" t="s">
        <v>25</v>
      </c>
      <c r="H14" t="str" cm="1">
        <f t="array" ref="H14">_xlfn.IFS(I14&lt;30000,"Low",I14&lt;60000,"Medium",I14&lt;100000,"High",TRUE,"Premium")</f>
        <v>Premium</v>
      </c>
      <c r="I14" s="2">
        <v>148301</v>
      </c>
      <c r="J14" t="s">
        <v>18</v>
      </c>
      <c r="K14" t="str" cm="1">
        <f t="array" ref="K14">_xlfn.IFS(Table1[[#This Row],[tenure]]&lt;=2,"New",Table1[[#This Row],[tenure]]&lt;=5,"Emerging",Table1[[#This Row],[tenure]]&lt;=8,"Loyal",Table1[[#This Row],[tenure]]&lt;=10,"Legacy")</f>
        <v>New</v>
      </c>
      <c r="L14" t="str">
        <f>TEXT(Table1[[#This Row],[Join_Date]],"mmm-yyyy")</f>
        <v>Apr-2023</v>
      </c>
      <c r="M14">
        <v>2</v>
      </c>
      <c r="N14">
        <f>YEAR(Table1[[#This Row],[Join_Date]])</f>
        <v>2023</v>
      </c>
      <c r="O14" s="1">
        <v>45018</v>
      </c>
      <c r="P14" s="1"/>
    </row>
    <row r="15" spans="1:16" x14ac:dyDescent="0.25">
      <c r="A15" t="s">
        <v>61</v>
      </c>
      <c r="B15" t="s">
        <v>62</v>
      </c>
      <c r="C15" t="s">
        <v>14</v>
      </c>
      <c r="D15" t="s">
        <v>15</v>
      </c>
      <c r="E15">
        <v>41</v>
      </c>
      <c r="F15" t="s">
        <v>38</v>
      </c>
      <c r="G15" t="s">
        <v>25</v>
      </c>
      <c r="H15" t="str" cm="1">
        <f t="array" ref="H15">_xlfn.IFS(I15&lt;30000,"Low",I15&lt;60000,"Medium",I15&lt;100000,"High",TRUE,"Premium")</f>
        <v>Premium</v>
      </c>
      <c r="I15" s="2">
        <v>146295</v>
      </c>
      <c r="J15" t="s">
        <v>26</v>
      </c>
      <c r="K15" t="str" cm="1">
        <f t="array" ref="K15">_xlfn.IFS(Table1[[#This Row],[tenure]]&lt;=2,"New",Table1[[#This Row],[tenure]]&lt;=5,"Emerging",Table1[[#This Row],[tenure]]&lt;=8,"Loyal",Table1[[#This Row],[tenure]]&lt;=10,"Legacy")</f>
        <v>Loyal</v>
      </c>
      <c r="L15" t="str">
        <f>TEXT(Table1[[#This Row],[Join_Date]],"mmm-yyyy")</f>
        <v>Aug-2017</v>
      </c>
      <c r="M15">
        <v>8</v>
      </c>
      <c r="N15">
        <f>YEAR(Table1[[#This Row],[Join_Date]])</f>
        <v>2017</v>
      </c>
      <c r="O15" s="1">
        <v>42960</v>
      </c>
      <c r="P15" s="1"/>
    </row>
    <row r="16" spans="1:16" x14ac:dyDescent="0.25">
      <c r="A16" t="s">
        <v>63</v>
      </c>
      <c r="B16" t="s">
        <v>64</v>
      </c>
      <c r="C16" t="s">
        <v>22</v>
      </c>
      <c r="D16" t="s">
        <v>54</v>
      </c>
      <c r="E16">
        <v>67</v>
      </c>
      <c r="F16" t="s">
        <v>24</v>
      </c>
      <c r="G16" t="s">
        <v>25</v>
      </c>
      <c r="H16" t="str" cm="1">
        <f t="array" ref="H16">_xlfn.IFS(I16&lt;30000,"Low",I16&lt;60000,"Medium",I16&lt;100000,"High",TRUE,"Premium")</f>
        <v>Premium</v>
      </c>
      <c r="I16" s="2">
        <v>180829</v>
      </c>
      <c r="J16" t="s">
        <v>26</v>
      </c>
      <c r="K16" t="str" cm="1">
        <f t="array" ref="K16">_xlfn.IFS(Table1[[#This Row],[tenure]]&lt;=2,"New",Table1[[#This Row],[tenure]]&lt;=5,"Emerging",Table1[[#This Row],[tenure]]&lt;=8,"Loyal",Table1[[#This Row],[tenure]]&lt;=10,"Legacy")</f>
        <v>Loyal</v>
      </c>
      <c r="L16" t="str">
        <f>TEXT(Table1[[#This Row],[Join_Date]],"mmm-yyyy")</f>
        <v>Jul-2019</v>
      </c>
      <c r="M16">
        <v>6</v>
      </c>
      <c r="N16">
        <f>YEAR(Table1[[#This Row],[Join_Date]])</f>
        <v>2019</v>
      </c>
      <c r="O16" s="1">
        <v>43673</v>
      </c>
      <c r="P16" s="1"/>
    </row>
    <row r="17" spans="1:16" x14ac:dyDescent="0.25">
      <c r="A17" t="s">
        <v>65</v>
      </c>
      <c r="B17" t="s">
        <v>66</v>
      </c>
      <c r="C17" t="s">
        <v>14</v>
      </c>
      <c r="D17" t="s">
        <v>23</v>
      </c>
      <c r="E17">
        <v>49</v>
      </c>
      <c r="F17" t="s">
        <v>42</v>
      </c>
      <c r="G17" t="s">
        <v>34</v>
      </c>
      <c r="H17" t="str" cm="1">
        <f t="array" ref="H17">_xlfn.IFS(I17&lt;30000,"Low",I17&lt;60000,"Medium",I17&lt;100000,"High",TRUE,"Premium")</f>
        <v>Medium</v>
      </c>
      <c r="I17" s="2">
        <v>54636</v>
      </c>
      <c r="J17" t="s">
        <v>18</v>
      </c>
      <c r="K17" t="str" cm="1">
        <f t="array" ref="K17">_xlfn.IFS(Table1[[#This Row],[tenure]]&lt;=2,"New",Table1[[#This Row],[tenure]]&lt;=5,"Emerging",Table1[[#This Row],[tenure]]&lt;=8,"Loyal",Table1[[#This Row],[tenure]]&lt;=10,"Legacy")</f>
        <v>Loyal</v>
      </c>
      <c r="L17" t="str">
        <f>TEXT(Table1[[#This Row],[Join_Date]],"mmm-yyyy")</f>
        <v>Jun-2019</v>
      </c>
      <c r="M17">
        <v>6</v>
      </c>
      <c r="N17">
        <f>YEAR(Table1[[#This Row],[Join_Date]])</f>
        <v>2019</v>
      </c>
      <c r="O17" s="1">
        <v>43643</v>
      </c>
      <c r="P17" s="1"/>
    </row>
    <row r="18" spans="1:16" x14ac:dyDescent="0.25">
      <c r="A18" t="s">
        <v>67</v>
      </c>
      <c r="B18" t="s">
        <v>68</v>
      </c>
      <c r="C18" t="s">
        <v>22</v>
      </c>
      <c r="D18" t="s">
        <v>54</v>
      </c>
      <c r="E18">
        <v>64</v>
      </c>
      <c r="F18" t="s">
        <v>42</v>
      </c>
      <c r="G18" t="s">
        <v>34</v>
      </c>
      <c r="H18" t="str" cm="1">
        <f t="array" ref="H18">_xlfn.IFS(I18&lt;30000,"Low",I18&lt;60000,"Medium",I18&lt;100000,"High",TRUE,"Premium")</f>
        <v>Premium</v>
      </c>
      <c r="I18" s="2">
        <v>199352</v>
      </c>
      <c r="J18" t="s">
        <v>18</v>
      </c>
      <c r="K18" t="str" cm="1">
        <f t="array" ref="K18">_xlfn.IFS(Table1[[#This Row],[tenure]]&lt;=2,"New",Table1[[#This Row],[tenure]]&lt;=5,"Emerging",Table1[[#This Row],[tenure]]&lt;=8,"Loyal",Table1[[#This Row],[tenure]]&lt;=10,"Legacy")</f>
        <v>Emerging</v>
      </c>
      <c r="L18" t="str">
        <f>TEXT(Table1[[#This Row],[Join_Date]],"mmm-yyyy")</f>
        <v>Jun-2021</v>
      </c>
      <c r="M18">
        <v>4</v>
      </c>
      <c r="N18">
        <f>YEAR(Table1[[#This Row],[Join_Date]])</f>
        <v>2021</v>
      </c>
      <c r="O18" s="1">
        <v>44375</v>
      </c>
      <c r="P18" s="1"/>
    </row>
    <row r="19" spans="1:16" x14ac:dyDescent="0.25">
      <c r="A19" t="s">
        <v>69</v>
      </c>
      <c r="B19" t="s">
        <v>70</v>
      </c>
      <c r="C19" t="s">
        <v>22</v>
      </c>
      <c r="D19" t="s">
        <v>15</v>
      </c>
      <c r="E19">
        <v>39</v>
      </c>
      <c r="F19" t="s">
        <v>42</v>
      </c>
      <c r="G19" t="s">
        <v>51</v>
      </c>
      <c r="H19" t="str" cm="1">
        <f t="array" ref="H19">_xlfn.IFS(I19&lt;30000,"Low",I19&lt;60000,"Medium",I19&lt;100000,"High",TRUE,"Premium")</f>
        <v>Medium</v>
      </c>
      <c r="I19" s="2">
        <v>44262</v>
      </c>
      <c r="J19" t="s">
        <v>30</v>
      </c>
      <c r="K19" t="str" cm="1">
        <f t="array" ref="K19">_xlfn.IFS(Table1[[#This Row],[tenure]]&lt;=2,"New",Table1[[#This Row],[tenure]]&lt;=5,"Emerging",Table1[[#This Row],[tenure]]&lt;=8,"Loyal",Table1[[#This Row],[tenure]]&lt;=10,"Legacy")</f>
        <v>New</v>
      </c>
      <c r="L19" t="str">
        <f>TEXT(Table1[[#This Row],[Join_Date]],"mmm-yyyy")</f>
        <v>Mar-2025</v>
      </c>
      <c r="M19">
        <v>1</v>
      </c>
      <c r="N19">
        <f>YEAR(Table1[[#This Row],[Join_Date]])</f>
        <v>2025</v>
      </c>
      <c r="O19" s="1">
        <v>45728</v>
      </c>
      <c r="P19" s="1"/>
    </row>
    <row r="20" spans="1:16" x14ac:dyDescent="0.25">
      <c r="A20" t="s">
        <v>71</v>
      </c>
      <c r="B20" t="s">
        <v>72</v>
      </c>
      <c r="C20" t="s">
        <v>22</v>
      </c>
      <c r="D20" t="s">
        <v>15</v>
      </c>
      <c r="E20">
        <v>40</v>
      </c>
      <c r="F20" t="s">
        <v>42</v>
      </c>
      <c r="G20" t="s">
        <v>29</v>
      </c>
      <c r="H20" t="str" cm="1">
        <f t="array" ref="H20">_xlfn.IFS(I20&lt;30000,"Low",I20&lt;60000,"Medium",I20&lt;100000,"High",TRUE,"Premium")</f>
        <v>Premium</v>
      </c>
      <c r="I20" s="2">
        <v>100435</v>
      </c>
      <c r="J20" t="s">
        <v>26</v>
      </c>
      <c r="K20" t="str" cm="1">
        <f t="array" ref="K20">_xlfn.IFS(Table1[[#This Row],[tenure]]&lt;=2,"New",Table1[[#This Row],[tenure]]&lt;=5,"Emerging",Table1[[#This Row],[tenure]]&lt;=8,"Loyal",Table1[[#This Row],[tenure]]&lt;=10,"Legacy")</f>
        <v>Emerging</v>
      </c>
      <c r="L20" t="str">
        <f>TEXT(Table1[[#This Row],[Join_Date]],"mmm-yyyy")</f>
        <v>Sep-2021</v>
      </c>
      <c r="M20">
        <v>4</v>
      </c>
      <c r="N20">
        <f>YEAR(Table1[[#This Row],[Join_Date]])</f>
        <v>2021</v>
      </c>
      <c r="O20" s="1">
        <v>44456</v>
      </c>
      <c r="P20" s="1"/>
    </row>
    <row r="21" spans="1:16" x14ac:dyDescent="0.25">
      <c r="A21" t="s">
        <v>73</v>
      </c>
      <c r="B21" t="s">
        <v>74</v>
      </c>
      <c r="C21" t="s">
        <v>14</v>
      </c>
      <c r="D21" t="s">
        <v>37</v>
      </c>
      <c r="E21">
        <v>19</v>
      </c>
      <c r="F21" t="s">
        <v>42</v>
      </c>
      <c r="G21" t="s">
        <v>46</v>
      </c>
      <c r="H21" t="str" cm="1">
        <f t="array" ref="H21">_xlfn.IFS(I21&lt;30000,"Low",I21&lt;60000,"Medium",I21&lt;100000,"High",TRUE,"Premium")</f>
        <v>Premium</v>
      </c>
      <c r="I21" s="2">
        <v>148583</v>
      </c>
      <c r="J21" t="s">
        <v>26</v>
      </c>
      <c r="K21" t="str" cm="1">
        <f t="array" ref="K21">_xlfn.IFS(Table1[[#This Row],[tenure]]&lt;=2,"New",Table1[[#This Row],[tenure]]&lt;=5,"Emerging",Table1[[#This Row],[tenure]]&lt;=8,"Loyal",Table1[[#This Row],[tenure]]&lt;=10,"Legacy")</f>
        <v>New</v>
      </c>
      <c r="L21" t="str">
        <f>TEXT(Table1[[#This Row],[Join_Date]],"mmm-yyyy")</f>
        <v>May-2023</v>
      </c>
      <c r="M21">
        <v>2</v>
      </c>
      <c r="N21">
        <f>YEAR(Table1[[#This Row],[Join_Date]])</f>
        <v>2023</v>
      </c>
      <c r="O21" s="1">
        <v>45058</v>
      </c>
      <c r="P21" s="1"/>
    </row>
    <row r="22" spans="1:16" x14ac:dyDescent="0.25">
      <c r="A22" t="s">
        <v>75</v>
      </c>
      <c r="B22" t="s">
        <v>76</v>
      </c>
      <c r="C22" t="s">
        <v>22</v>
      </c>
      <c r="D22" t="s">
        <v>15</v>
      </c>
      <c r="E22">
        <v>44</v>
      </c>
      <c r="F22" t="s">
        <v>24</v>
      </c>
      <c r="G22" t="s">
        <v>25</v>
      </c>
      <c r="H22" t="str" cm="1">
        <f t="array" ref="H22">_xlfn.IFS(I22&lt;30000,"Low",I22&lt;60000,"Medium",I22&lt;100000,"High",TRUE,"Premium")</f>
        <v>Premium</v>
      </c>
      <c r="I22" s="2">
        <v>189269</v>
      </c>
      <c r="J22" t="s">
        <v>18</v>
      </c>
      <c r="K22" t="str" cm="1">
        <f t="array" ref="K22">_xlfn.IFS(Table1[[#This Row],[tenure]]&lt;=2,"New",Table1[[#This Row],[tenure]]&lt;=5,"Emerging",Table1[[#This Row],[tenure]]&lt;=8,"Loyal",Table1[[#This Row],[tenure]]&lt;=10,"Legacy")</f>
        <v>New</v>
      </c>
      <c r="L22" t="str">
        <f>TEXT(Table1[[#This Row],[Join_Date]],"mmm-yyyy")</f>
        <v>May-2024</v>
      </c>
      <c r="M22">
        <v>1</v>
      </c>
      <c r="N22">
        <f>YEAR(Table1[[#This Row],[Join_Date]])</f>
        <v>2024</v>
      </c>
      <c r="O22" s="1">
        <v>45414</v>
      </c>
      <c r="P22" s="1"/>
    </row>
    <row r="23" spans="1:16" x14ac:dyDescent="0.25">
      <c r="A23" t="s">
        <v>77</v>
      </c>
      <c r="B23" t="s">
        <v>78</v>
      </c>
      <c r="C23" t="s">
        <v>14</v>
      </c>
      <c r="D23" t="s">
        <v>23</v>
      </c>
      <c r="E23">
        <v>59</v>
      </c>
      <c r="F23" t="s">
        <v>24</v>
      </c>
      <c r="G23" t="s">
        <v>51</v>
      </c>
      <c r="H23" t="str" cm="1">
        <f t="array" ref="H23">_xlfn.IFS(I23&lt;30000,"Low",I23&lt;60000,"Medium",I23&lt;100000,"High",TRUE,"Premium")</f>
        <v>High</v>
      </c>
      <c r="I23" s="2">
        <v>61844</v>
      </c>
      <c r="J23" t="s">
        <v>26</v>
      </c>
      <c r="K23" t="str" cm="1">
        <f t="array" ref="K23">_xlfn.IFS(Table1[[#This Row],[tenure]]&lt;=2,"New",Table1[[#This Row],[tenure]]&lt;=5,"Emerging",Table1[[#This Row],[tenure]]&lt;=8,"Loyal",Table1[[#This Row],[tenure]]&lt;=10,"Legacy")</f>
        <v>New</v>
      </c>
      <c r="L23" t="str">
        <f>TEXT(Table1[[#This Row],[Join_Date]],"mmm-yyyy")</f>
        <v>Jul-2023</v>
      </c>
      <c r="M23">
        <v>2</v>
      </c>
      <c r="N23">
        <f>YEAR(Table1[[#This Row],[Join_Date]])</f>
        <v>2023</v>
      </c>
      <c r="O23" s="1">
        <v>45118</v>
      </c>
      <c r="P23" s="1"/>
    </row>
    <row r="24" spans="1:16" x14ac:dyDescent="0.25">
      <c r="A24" t="s">
        <v>79</v>
      </c>
      <c r="B24" t="s">
        <v>80</v>
      </c>
      <c r="C24" t="s">
        <v>22</v>
      </c>
      <c r="D24" t="s">
        <v>37</v>
      </c>
      <c r="E24">
        <v>19</v>
      </c>
      <c r="F24" t="s">
        <v>42</v>
      </c>
      <c r="G24" t="s">
        <v>29</v>
      </c>
      <c r="H24" t="str" cm="1">
        <f t="array" ref="H24">_xlfn.IFS(I24&lt;30000,"Low",I24&lt;60000,"Medium",I24&lt;100000,"High",TRUE,"Premium")</f>
        <v>High</v>
      </c>
      <c r="I24" s="2">
        <v>84754</v>
      </c>
      <c r="J24" t="s">
        <v>18</v>
      </c>
      <c r="K24" t="str" cm="1">
        <f t="array" ref="K24">_xlfn.IFS(Table1[[#This Row],[tenure]]&lt;=2,"New",Table1[[#This Row],[tenure]]&lt;=5,"Emerging",Table1[[#This Row],[tenure]]&lt;=8,"Loyal",Table1[[#This Row],[tenure]]&lt;=10,"Legacy")</f>
        <v>Emerging</v>
      </c>
      <c r="L24" t="str">
        <f>TEXT(Table1[[#This Row],[Join_Date]],"mmm-yyyy")</f>
        <v>Jul-2022</v>
      </c>
      <c r="M24">
        <v>3</v>
      </c>
      <c r="N24">
        <f>YEAR(Table1[[#This Row],[Join_Date]])</f>
        <v>2022</v>
      </c>
      <c r="O24" s="1">
        <v>44745</v>
      </c>
      <c r="P24" s="1"/>
    </row>
    <row r="25" spans="1:16" x14ac:dyDescent="0.25">
      <c r="A25" t="s">
        <v>81</v>
      </c>
      <c r="B25" t="s">
        <v>82</v>
      </c>
      <c r="C25" t="s">
        <v>22</v>
      </c>
      <c r="D25" t="s">
        <v>15</v>
      </c>
      <c r="E25">
        <v>43</v>
      </c>
      <c r="F25" t="s">
        <v>38</v>
      </c>
      <c r="G25" t="s">
        <v>46</v>
      </c>
      <c r="H25" t="str" cm="1">
        <f t="array" ref="H25">_xlfn.IFS(I25&lt;30000,"Low",I25&lt;60000,"Medium",I25&lt;100000,"High",TRUE,"Premium")</f>
        <v>Premium</v>
      </c>
      <c r="I25" s="2">
        <v>185229</v>
      </c>
      <c r="J25" t="s">
        <v>26</v>
      </c>
      <c r="K25" t="str" cm="1">
        <f t="array" ref="K25">_xlfn.IFS(Table1[[#This Row],[tenure]]&lt;=2,"New",Table1[[#This Row],[tenure]]&lt;=5,"Emerging",Table1[[#This Row],[tenure]]&lt;=8,"Loyal",Table1[[#This Row],[tenure]]&lt;=10,"Legacy")</f>
        <v>Legacy</v>
      </c>
      <c r="L25" t="str">
        <f>TEXT(Table1[[#This Row],[Join_Date]],"mmm-yyyy")</f>
        <v>Jan-2017</v>
      </c>
      <c r="M25">
        <v>9</v>
      </c>
      <c r="N25">
        <f>YEAR(Table1[[#This Row],[Join_Date]])</f>
        <v>2017</v>
      </c>
      <c r="O25" s="1">
        <v>42765</v>
      </c>
      <c r="P25" s="1"/>
    </row>
    <row r="26" spans="1:16" x14ac:dyDescent="0.25">
      <c r="A26" t="s">
        <v>83</v>
      </c>
      <c r="B26" t="s">
        <v>84</v>
      </c>
      <c r="C26" t="s">
        <v>22</v>
      </c>
      <c r="D26" t="s">
        <v>15</v>
      </c>
      <c r="E26">
        <v>34</v>
      </c>
      <c r="F26" t="s">
        <v>16</v>
      </c>
      <c r="G26" t="s">
        <v>39</v>
      </c>
      <c r="H26" t="str" cm="1">
        <f t="array" ref="H26">_xlfn.IFS(I26&lt;30000,"Low",I26&lt;60000,"Medium",I26&lt;100000,"High",TRUE,"Premium")</f>
        <v>High</v>
      </c>
      <c r="I26" s="2">
        <v>97129</v>
      </c>
      <c r="J26" t="s">
        <v>18</v>
      </c>
      <c r="K26" t="str" cm="1">
        <f t="array" ref="K26">_xlfn.IFS(Table1[[#This Row],[tenure]]&lt;=2,"New",Table1[[#This Row],[tenure]]&lt;=5,"Emerging",Table1[[#This Row],[tenure]]&lt;=8,"Loyal",Table1[[#This Row],[tenure]]&lt;=10,"Legacy")</f>
        <v>Loyal</v>
      </c>
      <c r="L26" t="str">
        <f>TEXT(Table1[[#This Row],[Join_Date]],"mmm-yyyy")</f>
        <v>Sep-2019</v>
      </c>
      <c r="M26">
        <v>6</v>
      </c>
      <c r="N26">
        <f>YEAR(Table1[[#This Row],[Join_Date]])</f>
        <v>2019</v>
      </c>
      <c r="O26" s="1">
        <v>43718</v>
      </c>
      <c r="P26" s="1"/>
    </row>
    <row r="27" spans="1:16" x14ac:dyDescent="0.25">
      <c r="A27" t="s">
        <v>85</v>
      </c>
      <c r="B27" t="s">
        <v>86</v>
      </c>
      <c r="C27" t="s">
        <v>22</v>
      </c>
      <c r="D27" t="s">
        <v>23</v>
      </c>
      <c r="E27">
        <v>57</v>
      </c>
      <c r="F27" t="s">
        <v>42</v>
      </c>
      <c r="G27" t="s">
        <v>17</v>
      </c>
      <c r="H27" t="str" cm="1">
        <f t="array" ref="H27">_xlfn.IFS(I27&lt;30000,"Low",I27&lt;60000,"Medium",I27&lt;100000,"High",TRUE,"Premium")</f>
        <v>High</v>
      </c>
      <c r="I27" s="2">
        <v>60042</v>
      </c>
      <c r="J27" t="s">
        <v>26</v>
      </c>
      <c r="K27" t="str" cm="1">
        <f t="array" ref="K27">_xlfn.IFS(Table1[[#This Row],[tenure]]&lt;=2,"New",Table1[[#This Row],[tenure]]&lt;=5,"Emerging",Table1[[#This Row],[tenure]]&lt;=8,"Loyal",Table1[[#This Row],[tenure]]&lt;=10,"Legacy")</f>
        <v>Emerging</v>
      </c>
      <c r="L27" t="str">
        <f>TEXT(Table1[[#This Row],[Join_Date]],"mmm-yyyy")</f>
        <v>Sep-2021</v>
      </c>
      <c r="M27">
        <v>4</v>
      </c>
      <c r="N27">
        <f>YEAR(Table1[[#This Row],[Join_Date]])</f>
        <v>2021</v>
      </c>
      <c r="O27" s="1">
        <v>44469</v>
      </c>
      <c r="P27" s="1"/>
    </row>
    <row r="28" spans="1:16" x14ac:dyDescent="0.25">
      <c r="A28" t="s">
        <v>87</v>
      </c>
      <c r="B28" t="s">
        <v>88</v>
      </c>
      <c r="C28" t="s">
        <v>22</v>
      </c>
      <c r="D28" t="s">
        <v>23</v>
      </c>
      <c r="E28">
        <v>50</v>
      </c>
      <c r="F28" t="s">
        <v>38</v>
      </c>
      <c r="G28" t="s">
        <v>34</v>
      </c>
      <c r="H28" t="str" cm="1">
        <f t="array" ref="H28">_xlfn.IFS(I28&lt;30000,"Low",I28&lt;60000,"Medium",I28&lt;100000,"High",TRUE,"Premium")</f>
        <v>High</v>
      </c>
      <c r="I28" s="2">
        <v>81665</v>
      </c>
      <c r="J28" t="s">
        <v>30</v>
      </c>
      <c r="K28" t="str" cm="1">
        <f t="array" ref="K28">_xlfn.IFS(Table1[[#This Row],[tenure]]&lt;=2,"New",Table1[[#This Row],[tenure]]&lt;=5,"Emerging",Table1[[#This Row],[tenure]]&lt;=8,"Loyal",Table1[[#This Row],[tenure]]&lt;=10,"Legacy")</f>
        <v>Legacy</v>
      </c>
      <c r="L28" t="str">
        <f>TEXT(Table1[[#This Row],[Join_Date]],"mmm-yyyy")</f>
        <v>Aug-2016</v>
      </c>
      <c r="M28">
        <v>9</v>
      </c>
      <c r="N28">
        <f>YEAR(Table1[[#This Row],[Join_Date]])</f>
        <v>2016</v>
      </c>
      <c r="O28" s="1">
        <v>42607</v>
      </c>
      <c r="P28" s="1"/>
    </row>
    <row r="29" spans="1:16" x14ac:dyDescent="0.25">
      <c r="A29" t="s">
        <v>89</v>
      </c>
      <c r="B29" t="s">
        <v>90</v>
      </c>
      <c r="C29" t="s">
        <v>22</v>
      </c>
      <c r="D29" t="s">
        <v>37</v>
      </c>
      <c r="E29">
        <v>26</v>
      </c>
      <c r="F29" t="s">
        <v>16</v>
      </c>
      <c r="G29" t="s">
        <v>39</v>
      </c>
      <c r="H29" t="str" cm="1">
        <f t="array" ref="H29">_xlfn.IFS(I29&lt;30000,"Low",I29&lt;60000,"Medium",I29&lt;100000,"High",TRUE,"Premium")</f>
        <v>Premium</v>
      </c>
      <c r="I29" s="2">
        <v>136953</v>
      </c>
      <c r="J29" t="s">
        <v>18</v>
      </c>
      <c r="K29" t="str" cm="1">
        <f t="array" ref="K29">_xlfn.IFS(Table1[[#This Row],[tenure]]&lt;=2,"New",Table1[[#This Row],[tenure]]&lt;=5,"Emerging",Table1[[#This Row],[tenure]]&lt;=8,"Loyal",Table1[[#This Row],[tenure]]&lt;=10,"Legacy")</f>
        <v>Loyal</v>
      </c>
      <c r="L29" t="str">
        <f>TEXT(Table1[[#This Row],[Join_Date]],"mmm-yyyy")</f>
        <v>Aug-2019</v>
      </c>
      <c r="M29">
        <v>6</v>
      </c>
      <c r="N29">
        <f>YEAR(Table1[[#This Row],[Join_Date]])</f>
        <v>2019</v>
      </c>
      <c r="O29" s="1">
        <v>43698</v>
      </c>
      <c r="P29" s="1"/>
    </row>
    <row r="30" spans="1:16" x14ac:dyDescent="0.25">
      <c r="A30" t="s">
        <v>91</v>
      </c>
      <c r="B30" t="s">
        <v>92</v>
      </c>
      <c r="C30" t="s">
        <v>22</v>
      </c>
      <c r="D30" t="s">
        <v>23</v>
      </c>
      <c r="E30">
        <v>60</v>
      </c>
      <c r="F30" t="s">
        <v>42</v>
      </c>
      <c r="G30" t="s">
        <v>46</v>
      </c>
      <c r="H30" t="str" cm="1">
        <f t="array" ref="H30">_xlfn.IFS(I30&lt;30000,"Low",I30&lt;60000,"Medium",I30&lt;100000,"High",TRUE,"Premium")</f>
        <v>Premium</v>
      </c>
      <c r="I30" s="2">
        <v>178448</v>
      </c>
      <c r="J30" t="s">
        <v>30</v>
      </c>
      <c r="K30" t="str" cm="1">
        <f t="array" ref="K30">_xlfn.IFS(Table1[[#This Row],[tenure]]&lt;=2,"New",Table1[[#This Row],[tenure]]&lt;=5,"Emerging",Table1[[#This Row],[tenure]]&lt;=8,"Loyal",Table1[[#This Row],[tenure]]&lt;=10,"Legacy")</f>
        <v>Emerging</v>
      </c>
      <c r="L30" t="str">
        <f>TEXT(Table1[[#This Row],[Join_Date]],"mmm-yyyy")</f>
        <v>Sep-2022</v>
      </c>
      <c r="M30">
        <v>3</v>
      </c>
      <c r="N30">
        <f>YEAR(Table1[[#This Row],[Join_Date]])</f>
        <v>2022</v>
      </c>
      <c r="O30" s="1">
        <v>44834</v>
      </c>
      <c r="P30" s="1"/>
    </row>
    <row r="31" spans="1:16" x14ac:dyDescent="0.25">
      <c r="A31" t="s">
        <v>93</v>
      </c>
      <c r="B31" t="s">
        <v>94</v>
      </c>
      <c r="C31" t="s">
        <v>22</v>
      </c>
      <c r="D31" t="s">
        <v>54</v>
      </c>
      <c r="E31">
        <v>71</v>
      </c>
      <c r="F31" t="s">
        <v>42</v>
      </c>
      <c r="G31" t="s">
        <v>39</v>
      </c>
      <c r="H31" t="str" cm="1">
        <f t="array" ref="H31">_xlfn.IFS(I31&lt;30000,"Low",I31&lt;60000,"Medium",I31&lt;100000,"High",TRUE,"Premium")</f>
        <v>Premium</v>
      </c>
      <c r="I31" s="2">
        <v>165271</v>
      </c>
      <c r="J31" t="s">
        <v>18</v>
      </c>
      <c r="K31" t="str" cm="1">
        <f t="array" ref="K31">_xlfn.IFS(Table1[[#This Row],[tenure]]&lt;=2,"New",Table1[[#This Row],[tenure]]&lt;=5,"Emerging",Table1[[#This Row],[tenure]]&lt;=8,"Loyal",Table1[[#This Row],[tenure]]&lt;=10,"Legacy")</f>
        <v>Emerging</v>
      </c>
      <c r="L31" t="str">
        <f>TEXT(Table1[[#This Row],[Join_Date]],"mmm-yyyy")</f>
        <v>Oct-2020</v>
      </c>
      <c r="M31">
        <v>5</v>
      </c>
      <c r="N31">
        <f>YEAR(Table1[[#This Row],[Join_Date]])</f>
        <v>2020</v>
      </c>
      <c r="O31" s="1">
        <v>44109</v>
      </c>
      <c r="P31" s="1"/>
    </row>
    <row r="32" spans="1:16" x14ac:dyDescent="0.25">
      <c r="A32" t="s">
        <v>95</v>
      </c>
      <c r="B32" t="s">
        <v>96</v>
      </c>
      <c r="C32" t="s">
        <v>14</v>
      </c>
      <c r="D32" t="s">
        <v>54</v>
      </c>
      <c r="E32">
        <v>65</v>
      </c>
      <c r="F32" t="s">
        <v>24</v>
      </c>
      <c r="G32" t="s">
        <v>17</v>
      </c>
      <c r="H32" t="str" cm="1">
        <f t="array" ref="H32">_xlfn.IFS(I32&lt;30000,"Low",I32&lt;60000,"Medium",I32&lt;100000,"High",TRUE,"Premium")</f>
        <v>Premium</v>
      </c>
      <c r="I32" s="2">
        <v>138533</v>
      </c>
      <c r="J32" t="s">
        <v>26</v>
      </c>
      <c r="K32" t="str" cm="1">
        <f t="array" ref="K32">_xlfn.IFS(Table1[[#This Row],[tenure]]&lt;=2,"New",Table1[[#This Row],[tenure]]&lt;=5,"Emerging",Table1[[#This Row],[tenure]]&lt;=8,"Loyal",Table1[[#This Row],[tenure]]&lt;=10,"Legacy")</f>
        <v>Legacy</v>
      </c>
      <c r="L32" t="str">
        <f>TEXT(Table1[[#This Row],[Join_Date]],"mmm-yyyy")</f>
        <v>Jan-2017</v>
      </c>
      <c r="M32">
        <v>9</v>
      </c>
      <c r="N32">
        <f>YEAR(Table1[[#This Row],[Join_Date]])</f>
        <v>2017</v>
      </c>
      <c r="O32" s="1">
        <v>42742</v>
      </c>
      <c r="P32" s="1"/>
    </row>
    <row r="33" spans="1:16" x14ac:dyDescent="0.25">
      <c r="A33" t="s">
        <v>97</v>
      </c>
      <c r="B33" t="s">
        <v>98</v>
      </c>
      <c r="C33" t="s">
        <v>14</v>
      </c>
      <c r="D33" t="s">
        <v>23</v>
      </c>
      <c r="E33">
        <v>56</v>
      </c>
      <c r="F33" t="s">
        <v>16</v>
      </c>
      <c r="G33" t="s">
        <v>51</v>
      </c>
      <c r="H33" t="str" cm="1">
        <f t="array" ref="H33">_xlfn.IFS(I33&lt;30000,"Low",I33&lt;60000,"Medium",I33&lt;100000,"High",TRUE,"Premium")</f>
        <v>High</v>
      </c>
      <c r="I33" s="2">
        <v>93781</v>
      </c>
      <c r="J33" t="s">
        <v>26</v>
      </c>
      <c r="K33" t="str" cm="1">
        <f t="array" ref="K33">_xlfn.IFS(Table1[[#This Row],[tenure]]&lt;=2,"New",Table1[[#This Row],[tenure]]&lt;=5,"Emerging",Table1[[#This Row],[tenure]]&lt;=8,"Loyal",Table1[[#This Row],[tenure]]&lt;=10,"Legacy")</f>
        <v>Legacy</v>
      </c>
      <c r="L33" t="str">
        <f>TEXT(Table1[[#This Row],[Join_Date]],"mmm-yyyy")</f>
        <v>Jul-2016</v>
      </c>
      <c r="M33">
        <v>9</v>
      </c>
      <c r="N33">
        <f>YEAR(Table1[[#This Row],[Join_Date]])</f>
        <v>2016</v>
      </c>
      <c r="O33" s="1">
        <v>42565</v>
      </c>
      <c r="P33" s="1"/>
    </row>
    <row r="34" spans="1:16" x14ac:dyDescent="0.25">
      <c r="A34" t="s">
        <v>99</v>
      </c>
      <c r="B34" t="s">
        <v>100</v>
      </c>
      <c r="C34" t="s">
        <v>22</v>
      </c>
      <c r="D34" t="s">
        <v>23</v>
      </c>
      <c r="E34">
        <v>46</v>
      </c>
      <c r="F34" t="s">
        <v>16</v>
      </c>
      <c r="G34" t="s">
        <v>46</v>
      </c>
      <c r="H34" t="str" cm="1">
        <f t="array" ref="H34">_xlfn.IFS(I34&lt;30000,"Low",I34&lt;60000,"Medium",I34&lt;100000,"High",TRUE,"Premium")</f>
        <v>High</v>
      </c>
      <c r="I34" s="2">
        <v>86262</v>
      </c>
      <c r="J34" t="s">
        <v>18</v>
      </c>
      <c r="K34" t="str" cm="1">
        <f t="array" ref="K34">_xlfn.IFS(Table1[[#This Row],[tenure]]&lt;=2,"New",Table1[[#This Row],[tenure]]&lt;=5,"Emerging",Table1[[#This Row],[tenure]]&lt;=8,"Loyal",Table1[[#This Row],[tenure]]&lt;=10,"Legacy")</f>
        <v>Loyal</v>
      </c>
      <c r="L34" t="str">
        <f>TEXT(Table1[[#This Row],[Join_Date]],"mmm-yyyy")</f>
        <v>Aug-2019</v>
      </c>
      <c r="M34">
        <v>6</v>
      </c>
      <c r="N34">
        <f>YEAR(Table1[[#This Row],[Join_Date]])</f>
        <v>2019</v>
      </c>
      <c r="O34" s="1">
        <v>43698</v>
      </c>
      <c r="P34" s="1"/>
    </row>
    <row r="35" spans="1:16" x14ac:dyDescent="0.25">
      <c r="A35" t="s">
        <v>101</v>
      </c>
      <c r="B35" t="s">
        <v>102</v>
      </c>
      <c r="C35" t="s">
        <v>22</v>
      </c>
      <c r="D35" t="s">
        <v>23</v>
      </c>
      <c r="E35">
        <v>59</v>
      </c>
      <c r="F35" t="s">
        <v>38</v>
      </c>
      <c r="G35" t="s">
        <v>39</v>
      </c>
      <c r="H35" t="str" cm="1">
        <f t="array" ref="H35">_xlfn.IFS(I35&lt;30000,"Low",I35&lt;60000,"Medium",I35&lt;100000,"High",TRUE,"Premium")</f>
        <v>High</v>
      </c>
      <c r="I35" s="2">
        <v>66600</v>
      </c>
      <c r="J35" t="s">
        <v>26</v>
      </c>
      <c r="K35" t="str" cm="1">
        <f t="array" ref="K35">_xlfn.IFS(Table1[[#This Row],[tenure]]&lt;=2,"New",Table1[[#This Row],[tenure]]&lt;=5,"Emerging",Table1[[#This Row],[tenure]]&lt;=8,"Loyal",Table1[[#This Row],[tenure]]&lt;=10,"Legacy")</f>
        <v>Emerging</v>
      </c>
      <c r="L35" t="str">
        <f>TEXT(Table1[[#This Row],[Join_Date]],"mmm-yyyy")</f>
        <v>Nov-2021</v>
      </c>
      <c r="M35">
        <v>4</v>
      </c>
      <c r="N35">
        <f>YEAR(Table1[[#This Row],[Join_Date]])</f>
        <v>2021</v>
      </c>
      <c r="O35" s="1">
        <v>44513</v>
      </c>
      <c r="P35" s="1"/>
    </row>
    <row r="36" spans="1:16" x14ac:dyDescent="0.25">
      <c r="A36" t="s">
        <v>103</v>
      </c>
      <c r="B36" t="s">
        <v>104</v>
      </c>
      <c r="C36" t="s">
        <v>22</v>
      </c>
      <c r="D36" t="s">
        <v>54</v>
      </c>
      <c r="E36">
        <v>72</v>
      </c>
      <c r="F36" t="s">
        <v>24</v>
      </c>
      <c r="G36" t="s">
        <v>34</v>
      </c>
      <c r="H36" t="str" cm="1">
        <f t="array" ref="H36">_xlfn.IFS(I36&lt;30000,"Low",I36&lt;60000,"Medium",I36&lt;100000,"High",TRUE,"Premium")</f>
        <v>High</v>
      </c>
      <c r="I36" s="2">
        <v>96898</v>
      </c>
      <c r="J36" t="s">
        <v>26</v>
      </c>
      <c r="K36" t="str" cm="1">
        <f t="array" ref="K36">_xlfn.IFS(Table1[[#This Row],[tenure]]&lt;=2,"New",Table1[[#This Row],[tenure]]&lt;=5,"Emerging",Table1[[#This Row],[tenure]]&lt;=8,"Loyal",Table1[[#This Row],[tenure]]&lt;=10,"Legacy")</f>
        <v>Legacy</v>
      </c>
      <c r="L36" t="str">
        <f>TEXT(Table1[[#This Row],[Join_Date]],"mmm-yyyy")</f>
        <v>Jun-2016</v>
      </c>
      <c r="M36">
        <v>9</v>
      </c>
      <c r="N36">
        <f>YEAR(Table1[[#This Row],[Join_Date]])</f>
        <v>2016</v>
      </c>
      <c r="O36" s="1">
        <v>42533</v>
      </c>
      <c r="P36" s="1"/>
    </row>
    <row r="37" spans="1:16" x14ac:dyDescent="0.25">
      <c r="A37" t="s">
        <v>105</v>
      </c>
      <c r="B37" t="s">
        <v>106</v>
      </c>
      <c r="C37" t="s">
        <v>14</v>
      </c>
      <c r="D37" t="s">
        <v>15</v>
      </c>
      <c r="E37">
        <v>43</v>
      </c>
      <c r="F37" t="s">
        <v>24</v>
      </c>
      <c r="G37" t="s">
        <v>34</v>
      </c>
      <c r="H37" t="str" cm="1">
        <f t="array" ref="H37">_xlfn.IFS(I37&lt;30000,"Low",I37&lt;60000,"Medium",I37&lt;100000,"High",TRUE,"Premium")</f>
        <v>Premium</v>
      </c>
      <c r="I37" s="2">
        <v>169369</v>
      </c>
      <c r="J37" t="s">
        <v>18</v>
      </c>
      <c r="K37" t="str" cm="1">
        <f t="array" ref="K37">_xlfn.IFS(Table1[[#This Row],[tenure]]&lt;=2,"New",Table1[[#This Row],[tenure]]&lt;=5,"Emerging",Table1[[#This Row],[tenure]]&lt;=8,"Loyal",Table1[[#This Row],[tenure]]&lt;=10,"Legacy")</f>
        <v>Loyal</v>
      </c>
      <c r="L37" t="str">
        <f>TEXT(Table1[[#This Row],[Join_Date]],"mmm-yyyy")</f>
        <v>Jun-2017</v>
      </c>
      <c r="M37">
        <v>8</v>
      </c>
      <c r="N37">
        <f>YEAR(Table1[[#This Row],[Join_Date]])</f>
        <v>2017</v>
      </c>
      <c r="O37" s="1">
        <v>42902</v>
      </c>
      <c r="P37" s="1"/>
    </row>
    <row r="38" spans="1:16" x14ac:dyDescent="0.25">
      <c r="A38" t="s">
        <v>107</v>
      </c>
      <c r="B38" t="s">
        <v>108</v>
      </c>
      <c r="C38" t="s">
        <v>22</v>
      </c>
      <c r="D38" t="s">
        <v>23</v>
      </c>
      <c r="E38">
        <v>52</v>
      </c>
      <c r="F38" t="s">
        <v>24</v>
      </c>
      <c r="G38" t="s">
        <v>29</v>
      </c>
      <c r="H38" t="str" cm="1">
        <f t="array" ref="H38">_xlfn.IFS(I38&lt;30000,"Low",I38&lt;60000,"Medium",I38&lt;100000,"High",TRUE,"Premium")</f>
        <v>Medium</v>
      </c>
      <c r="I38" s="2">
        <v>50448</v>
      </c>
      <c r="J38" t="s">
        <v>18</v>
      </c>
      <c r="K38" t="str" cm="1">
        <f t="array" ref="K38">_xlfn.IFS(Table1[[#This Row],[tenure]]&lt;=2,"New",Table1[[#This Row],[tenure]]&lt;=5,"Emerging",Table1[[#This Row],[tenure]]&lt;=8,"Loyal",Table1[[#This Row],[tenure]]&lt;=10,"Legacy")</f>
        <v>Loyal</v>
      </c>
      <c r="L38" t="str">
        <f>TEXT(Table1[[#This Row],[Join_Date]],"mmm-yyyy")</f>
        <v>Jul-2017</v>
      </c>
      <c r="M38">
        <v>8</v>
      </c>
      <c r="N38">
        <f>YEAR(Table1[[#This Row],[Join_Date]])</f>
        <v>2017</v>
      </c>
      <c r="O38" s="1">
        <v>42922</v>
      </c>
      <c r="P38" s="1"/>
    </row>
    <row r="39" spans="1:16" x14ac:dyDescent="0.25">
      <c r="A39" t="s">
        <v>109</v>
      </c>
      <c r="B39" t="s">
        <v>110</v>
      </c>
      <c r="C39" t="s">
        <v>14</v>
      </c>
      <c r="D39" t="s">
        <v>54</v>
      </c>
      <c r="E39">
        <v>67</v>
      </c>
      <c r="F39" t="s">
        <v>24</v>
      </c>
      <c r="G39" t="s">
        <v>39</v>
      </c>
      <c r="H39" t="str" cm="1">
        <f t="array" ref="H39">_xlfn.IFS(I39&lt;30000,"Low",I39&lt;60000,"Medium",I39&lt;100000,"High",TRUE,"Premium")</f>
        <v>Medium</v>
      </c>
      <c r="I39" s="2">
        <v>46172</v>
      </c>
      <c r="J39" t="s">
        <v>26</v>
      </c>
      <c r="K39" t="str" cm="1">
        <f t="array" ref="K39">_xlfn.IFS(Table1[[#This Row],[tenure]]&lt;=2,"New",Table1[[#This Row],[tenure]]&lt;=5,"Emerging",Table1[[#This Row],[tenure]]&lt;=8,"Loyal",Table1[[#This Row],[tenure]]&lt;=10,"Legacy")</f>
        <v>Emerging</v>
      </c>
      <c r="L39" t="str">
        <f>TEXT(Table1[[#This Row],[Join_Date]],"mmm-yyyy")</f>
        <v>Nov-2021</v>
      </c>
      <c r="M39">
        <v>4</v>
      </c>
      <c r="N39">
        <f>YEAR(Table1[[#This Row],[Join_Date]])</f>
        <v>2021</v>
      </c>
      <c r="O39" s="1">
        <v>44507</v>
      </c>
      <c r="P39" s="1"/>
    </row>
    <row r="40" spans="1:16" x14ac:dyDescent="0.25">
      <c r="A40" t="s">
        <v>111</v>
      </c>
      <c r="B40" t="s">
        <v>112</v>
      </c>
      <c r="C40" t="s">
        <v>14</v>
      </c>
      <c r="D40" t="s">
        <v>15</v>
      </c>
      <c r="E40">
        <v>42</v>
      </c>
      <c r="F40" t="s">
        <v>16</v>
      </c>
      <c r="G40" t="s">
        <v>25</v>
      </c>
      <c r="H40" t="str" cm="1">
        <f t="array" ref="H40">_xlfn.IFS(I40&lt;30000,"Low",I40&lt;60000,"Medium",I40&lt;100000,"High",TRUE,"Premium")</f>
        <v>Premium</v>
      </c>
      <c r="I40" s="2">
        <v>193946</v>
      </c>
      <c r="J40" t="s">
        <v>26</v>
      </c>
      <c r="K40" t="str" cm="1">
        <f t="array" ref="K40">_xlfn.IFS(Table1[[#This Row],[tenure]]&lt;=2,"New",Table1[[#This Row],[tenure]]&lt;=5,"Emerging",Table1[[#This Row],[tenure]]&lt;=8,"Loyal",Table1[[#This Row],[tenure]]&lt;=10,"Legacy")</f>
        <v>Emerging</v>
      </c>
      <c r="L40" t="str">
        <f>TEXT(Table1[[#This Row],[Join_Date]],"mmm-yyyy")</f>
        <v>Aug-2020</v>
      </c>
      <c r="M40">
        <v>5</v>
      </c>
      <c r="N40">
        <f>YEAR(Table1[[#This Row],[Join_Date]])</f>
        <v>2020</v>
      </c>
      <c r="O40" s="1">
        <v>44074</v>
      </c>
      <c r="P40" s="1"/>
    </row>
    <row r="41" spans="1:16" x14ac:dyDescent="0.25">
      <c r="A41" t="s">
        <v>113</v>
      </c>
      <c r="B41" t="s">
        <v>114</v>
      </c>
      <c r="C41" t="s">
        <v>14</v>
      </c>
      <c r="D41" t="s">
        <v>15</v>
      </c>
      <c r="E41">
        <v>41</v>
      </c>
      <c r="F41" t="s">
        <v>16</v>
      </c>
      <c r="G41" t="s">
        <v>39</v>
      </c>
      <c r="H41" t="str" cm="1">
        <f t="array" ref="H41">_xlfn.IFS(I41&lt;30000,"Low",I41&lt;60000,"Medium",I41&lt;100000,"High",TRUE,"Premium")</f>
        <v>Low</v>
      </c>
      <c r="I41" s="2">
        <v>27657</v>
      </c>
      <c r="J41" t="s">
        <v>26</v>
      </c>
      <c r="K41" t="str" cm="1">
        <f t="array" ref="K41">_xlfn.IFS(Table1[[#This Row],[tenure]]&lt;=2,"New",Table1[[#This Row],[tenure]]&lt;=5,"Emerging",Table1[[#This Row],[tenure]]&lt;=8,"Loyal",Table1[[#This Row],[tenure]]&lt;=10,"Legacy")</f>
        <v>Legacy</v>
      </c>
      <c r="L41" t="str">
        <f>TEXT(Table1[[#This Row],[Join_Date]],"mmm-yyyy")</f>
        <v>Oct-2015</v>
      </c>
      <c r="M41">
        <v>10</v>
      </c>
      <c r="N41">
        <f>YEAR(Table1[[#This Row],[Join_Date]])</f>
        <v>2015</v>
      </c>
      <c r="O41" s="1">
        <v>42296</v>
      </c>
      <c r="P41" s="1"/>
    </row>
    <row r="42" spans="1:16" x14ac:dyDescent="0.25">
      <c r="A42" t="s">
        <v>115</v>
      </c>
      <c r="B42" t="s">
        <v>116</v>
      </c>
      <c r="C42" t="s">
        <v>14</v>
      </c>
      <c r="D42" t="s">
        <v>15</v>
      </c>
      <c r="E42">
        <v>30</v>
      </c>
      <c r="F42" t="s">
        <v>42</v>
      </c>
      <c r="G42" t="s">
        <v>51</v>
      </c>
      <c r="H42" t="str" cm="1">
        <f t="array" ref="H42">_xlfn.IFS(I42&lt;30000,"Low",I42&lt;60000,"Medium",I42&lt;100000,"High",TRUE,"Premium")</f>
        <v>Premium</v>
      </c>
      <c r="I42" s="2">
        <v>176497</v>
      </c>
      <c r="J42" t="s">
        <v>26</v>
      </c>
      <c r="K42" t="str" cm="1">
        <f t="array" ref="K42">_xlfn.IFS(Table1[[#This Row],[tenure]]&lt;=2,"New",Table1[[#This Row],[tenure]]&lt;=5,"Emerging",Table1[[#This Row],[tenure]]&lt;=8,"Loyal",Table1[[#This Row],[tenure]]&lt;=10,"Legacy")</f>
        <v>Loyal</v>
      </c>
      <c r="L42" t="str">
        <f>TEXT(Table1[[#This Row],[Join_Date]],"mmm-yyyy")</f>
        <v>Apr-2017</v>
      </c>
      <c r="M42">
        <v>8</v>
      </c>
      <c r="N42">
        <f>YEAR(Table1[[#This Row],[Join_Date]])</f>
        <v>2017</v>
      </c>
      <c r="O42" s="1">
        <v>42853</v>
      </c>
      <c r="P42" s="1"/>
    </row>
    <row r="43" spans="1:16" x14ac:dyDescent="0.25">
      <c r="A43" t="s">
        <v>117</v>
      </c>
      <c r="B43" t="s">
        <v>118</v>
      </c>
      <c r="C43" t="s">
        <v>14</v>
      </c>
      <c r="D43" t="s">
        <v>37</v>
      </c>
      <c r="E43">
        <v>24</v>
      </c>
      <c r="F43" t="s">
        <v>42</v>
      </c>
      <c r="G43" t="s">
        <v>46</v>
      </c>
      <c r="H43" t="str" cm="1">
        <f t="array" ref="H43">_xlfn.IFS(I43&lt;30000,"Low",I43&lt;60000,"Medium",I43&lt;100000,"High",TRUE,"Premium")</f>
        <v>Premium</v>
      </c>
      <c r="I43" s="2">
        <v>177757</v>
      </c>
      <c r="J43" t="s">
        <v>18</v>
      </c>
      <c r="K43" t="str" cm="1">
        <f t="array" ref="K43">_xlfn.IFS(Table1[[#This Row],[tenure]]&lt;=2,"New",Table1[[#This Row],[tenure]]&lt;=5,"Emerging",Table1[[#This Row],[tenure]]&lt;=8,"Loyal",Table1[[#This Row],[tenure]]&lt;=10,"Legacy")</f>
        <v>Legacy</v>
      </c>
      <c r="L43" t="str">
        <f>TEXT(Table1[[#This Row],[Join_Date]],"mmm-yyyy")</f>
        <v>Jul-2016</v>
      </c>
      <c r="M43">
        <v>9</v>
      </c>
      <c r="N43">
        <f>YEAR(Table1[[#This Row],[Join_Date]])</f>
        <v>2016</v>
      </c>
      <c r="O43" s="1">
        <v>42576</v>
      </c>
      <c r="P43" s="1"/>
    </row>
    <row r="44" spans="1:16" x14ac:dyDescent="0.25">
      <c r="A44" t="s">
        <v>119</v>
      </c>
      <c r="B44" t="s">
        <v>120</v>
      </c>
      <c r="C44" t="s">
        <v>22</v>
      </c>
      <c r="D44" t="s">
        <v>54</v>
      </c>
      <c r="E44">
        <v>74</v>
      </c>
      <c r="F44" t="s">
        <v>24</v>
      </c>
      <c r="G44" t="s">
        <v>46</v>
      </c>
      <c r="H44" t="str" cm="1">
        <f t="array" ref="H44">_xlfn.IFS(I44&lt;30000,"Low",I44&lt;60000,"Medium",I44&lt;100000,"High",TRUE,"Premium")</f>
        <v>Premium</v>
      </c>
      <c r="I44" s="2">
        <v>132855</v>
      </c>
      <c r="J44" t="s">
        <v>26</v>
      </c>
      <c r="K44" t="str" cm="1">
        <f t="array" ref="K44">_xlfn.IFS(Table1[[#This Row],[tenure]]&lt;=2,"New",Table1[[#This Row],[tenure]]&lt;=5,"Emerging",Table1[[#This Row],[tenure]]&lt;=8,"Loyal",Table1[[#This Row],[tenure]]&lt;=10,"Legacy")</f>
        <v>Emerging</v>
      </c>
      <c r="L44" t="str">
        <f>TEXT(Table1[[#This Row],[Join_Date]],"mmm-yyyy")</f>
        <v>Jul-2022</v>
      </c>
      <c r="M44">
        <v>3</v>
      </c>
      <c r="N44">
        <f>YEAR(Table1[[#This Row],[Join_Date]])</f>
        <v>2022</v>
      </c>
      <c r="O44" s="1">
        <v>44752</v>
      </c>
      <c r="P44" s="1"/>
    </row>
    <row r="45" spans="1:16" x14ac:dyDescent="0.25">
      <c r="A45" t="s">
        <v>121</v>
      </c>
      <c r="B45" t="s">
        <v>122</v>
      </c>
      <c r="C45" t="s">
        <v>22</v>
      </c>
      <c r="D45" t="s">
        <v>23</v>
      </c>
      <c r="E45">
        <v>53</v>
      </c>
      <c r="F45" t="s">
        <v>24</v>
      </c>
      <c r="G45" t="s">
        <v>51</v>
      </c>
      <c r="H45" t="str" cm="1">
        <f t="array" ref="H45">_xlfn.IFS(I45&lt;30000,"Low",I45&lt;60000,"Medium",I45&lt;100000,"High",TRUE,"Premium")</f>
        <v>Premium</v>
      </c>
      <c r="I45" s="2">
        <v>175650</v>
      </c>
      <c r="J45" t="s">
        <v>18</v>
      </c>
      <c r="K45" t="str" cm="1">
        <f t="array" ref="K45">_xlfn.IFS(Table1[[#This Row],[tenure]]&lt;=2,"New",Table1[[#This Row],[tenure]]&lt;=5,"Emerging",Table1[[#This Row],[tenure]]&lt;=8,"Loyal",Table1[[#This Row],[tenure]]&lt;=10,"Legacy")</f>
        <v>Emerging</v>
      </c>
      <c r="L45" t="str">
        <f>TEXT(Table1[[#This Row],[Join_Date]],"mmm-yyyy")</f>
        <v>Aug-2021</v>
      </c>
      <c r="M45">
        <v>4</v>
      </c>
      <c r="N45">
        <f>YEAR(Table1[[#This Row],[Join_Date]])</f>
        <v>2021</v>
      </c>
      <c r="O45" s="1">
        <v>44427</v>
      </c>
      <c r="P45" s="1"/>
    </row>
    <row r="46" spans="1:16" x14ac:dyDescent="0.25">
      <c r="A46" t="s">
        <v>123</v>
      </c>
      <c r="B46" t="s">
        <v>124</v>
      </c>
      <c r="C46" t="s">
        <v>22</v>
      </c>
      <c r="D46" t="s">
        <v>54</v>
      </c>
      <c r="E46">
        <v>62</v>
      </c>
      <c r="F46" t="s">
        <v>24</v>
      </c>
      <c r="G46" t="s">
        <v>39</v>
      </c>
      <c r="H46" t="str" cm="1">
        <f t="array" ref="H46">_xlfn.IFS(I46&lt;30000,"Low",I46&lt;60000,"Medium",I46&lt;100000,"High",TRUE,"Premium")</f>
        <v>Premium</v>
      </c>
      <c r="I46" s="2">
        <v>179903</v>
      </c>
      <c r="J46" t="s">
        <v>18</v>
      </c>
      <c r="K46" t="str" cm="1">
        <f t="array" ref="K46">_xlfn.IFS(Table1[[#This Row],[tenure]]&lt;=2,"New",Table1[[#This Row],[tenure]]&lt;=5,"Emerging",Table1[[#This Row],[tenure]]&lt;=8,"Loyal",Table1[[#This Row],[tenure]]&lt;=10,"Legacy")</f>
        <v>Loyal</v>
      </c>
      <c r="L46" t="str">
        <f>TEXT(Table1[[#This Row],[Join_Date]],"mmm-yyyy")</f>
        <v>Jun-2019</v>
      </c>
      <c r="M46">
        <v>6</v>
      </c>
      <c r="N46">
        <f>YEAR(Table1[[#This Row],[Join_Date]])</f>
        <v>2019</v>
      </c>
      <c r="O46" s="1">
        <v>43636</v>
      </c>
      <c r="P46" s="1"/>
    </row>
    <row r="47" spans="1:16" x14ac:dyDescent="0.25">
      <c r="A47" t="s">
        <v>125</v>
      </c>
      <c r="B47" t="s">
        <v>126</v>
      </c>
      <c r="C47" t="s">
        <v>22</v>
      </c>
      <c r="D47" t="s">
        <v>15</v>
      </c>
      <c r="E47">
        <v>37</v>
      </c>
      <c r="F47" t="s">
        <v>42</v>
      </c>
      <c r="G47" t="s">
        <v>51</v>
      </c>
      <c r="H47" t="str" cm="1">
        <f t="array" ref="H47">_xlfn.IFS(I47&lt;30000,"Low",I47&lt;60000,"Medium",I47&lt;100000,"High",TRUE,"Premium")</f>
        <v>Low</v>
      </c>
      <c r="I47" s="2">
        <v>27906</v>
      </c>
      <c r="J47" t="s">
        <v>18</v>
      </c>
      <c r="K47" t="str" cm="1">
        <f t="array" ref="K47">_xlfn.IFS(Table1[[#This Row],[tenure]]&lt;=2,"New",Table1[[#This Row],[tenure]]&lt;=5,"Emerging",Table1[[#This Row],[tenure]]&lt;=8,"Loyal",Table1[[#This Row],[tenure]]&lt;=10,"Legacy")</f>
        <v>Emerging</v>
      </c>
      <c r="L47" t="str">
        <f>TEXT(Table1[[#This Row],[Join_Date]],"mmm-yyyy")</f>
        <v>May-2021</v>
      </c>
      <c r="M47">
        <v>4</v>
      </c>
      <c r="N47">
        <f>YEAR(Table1[[#This Row],[Join_Date]])</f>
        <v>2021</v>
      </c>
      <c r="O47" s="1">
        <v>44323</v>
      </c>
      <c r="P47" s="1"/>
    </row>
    <row r="48" spans="1:16" x14ac:dyDescent="0.25">
      <c r="A48" t="s">
        <v>127</v>
      </c>
      <c r="B48" t="s">
        <v>128</v>
      </c>
      <c r="C48" t="s">
        <v>22</v>
      </c>
      <c r="D48" t="s">
        <v>37</v>
      </c>
      <c r="E48">
        <v>18</v>
      </c>
      <c r="F48" t="s">
        <v>38</v>
      </c>
      <c r="G48" t="s">
        <v>17</v>
      </c>
      <c r="H48" t="str" cm="1">
        <f t="array" ref="H48">_xlfn.IFS(I48&lt;30000,"Low",I48&lt;60000,"Medium",I48&lt;100000,"High",TRUE,"Premium")</f>
        <v>High</v>
      </c>
      <c r="I48" s="2">
        <v>81413</v>
      </c>
      <c r="J48" t="s">
        <v>18</v>
      </c>
      <c r="K48" t="str" cm="1">
        <f t="array" ref="K48">_xlfn.IFS(Table1[[#This Row],[tenure]]&lt;=2,"New",Table1[[#This Row],[tenure]]&lt;=5,"Emerging",Table1[[#This Row],[tenure]]&lt;=8,"Loyal",Table1[[#This Row],[tenure]]&lt;=10,"Legacy")</f>
        <v>Loyal</v>
      </c>
      <c r="L48" t="str">
        <f>TEXT(Table1[[#This Row],[Join_Date]],"mmm-yyyy")</f>
        <v>Apr-2017</v>
      </c>
      <c r="M48">
        <v>8</v>
      </c>
      <c r="N48">
        <f>YEAR(Table1[[#This Row],[Join_Date]])</f>
        <v>2017</v>
      </c>
      <c r="O48" s="1">
        <v>42831</v>
      </c>
      <c r="P48" s="1"/>
    </row>
    <row r="49" spans="1:16" x14ac:dyDescent="0.25">
      <c r="A49" t="s">
        <v>129</v>
      </c>
      <c r="B49" t="s">
        <v>130</v>
      </c>
      <c r="C49" t="s">
        <v>14</v>
      </c>
      <c r="D49" t="s">
        <v>37</v>
      </c>
      <c r="E49">
        <v>25</v>
      </c>
      <c r="F49" t="s">
        <v>38</v>
      </c>
      <c r="G49" t="s">
        <v>51</v>
      </c>
      <c r="H49" t="str" cm="1">
        <f t="array" ref="H49">_xlfn.IFS(I49&lt;30000,"Low",I49&lt;60000,"Medium",I49&lt;100000,"High",TRUE,"Premium")</f>
        <v>High</v>
      </c>
      <c r="I49" s="2">
        <v>74028</v>
      </c>
      <c r="J49" t="s">
        <v>18</v>
      </c>
      <c r="K49" t="str" cm="1">
        <f t="array" ref="K49">_xlfn.IFS(Table1[[#This Row],[tenure]]&lt;=2,"New",Table1[[#This Row],[tenure]]&lt;=5,"Emerging",Table1[[#This Row],[tenure]]&lt;=8,"Loyal",Table1[[#This Row],[tenure]]&lt;=10,"Legacy")</f>
        <v>New</v>
      </c>
      <c r="L49" t="str">
        <f>TEXT(Table1[[#This Row],[Join_Date]],"mmm-yyyy")</f>
        <v>Jul-2024</v>
      </c>
      <c r="M49">
        <v>1</v>
      </c>
      <c r="N49">
        <f>YEAR(Table1[[#This Row],[Join_Date]])</f>
        <v>2024</v>
      </c>
      <c r="O49" s="1">
        <v>45478</v>
      </c>
      <c r="P49" s="1"/>
    </row>
    <row r="50" spans="1:16" x14ac:dyDescent="0.25">
      <c r="A50" t="s">
        <v>131</v>
      </c>
      <c r="B50" t="s">
        <v>132</v>
      </c>
      <c r="C50" t="s">
        <v>22</v>
      </c>
      <c r="D50" t="s">
        <v>54</v>
      </c>
      <c r="E50">
        <v>63</v>
      </c>
      <c r="F50" t="s">
        <v>42</v>
      </c>
      <c r="G50" t="s">
        <v>34</v>
      </c>
      <c r="H50" t="str" cm="1">
        <f t="array" ref="H50">_xlfn.IFS(I50&lt;30000,"Low",I50&lt;60000,"Medium",I50&lt;100000,"High",TRUE,"Premium")</f>
        <v>Low</v>
      </c>
      <c r="I50" s="2">
        <v>27287</v>
      </c>
      <c r="J50" t="s">
        <v>18</v>
      </c>
      <c r="K50" t="str" cm="1">
        <f t="array" ref="K50">_xlfn.IFS(Table1[[#This Row],[tenure]]&lt;=2,"New",Table1[[#This Row],[tenure]]&lt;=5,"Emerging",Table1[[#This Row],[tenure]]&lt;=8,"Loyal",Table1[[#This Row],[tenure]]&lt;=10,"Legacy")</f>
        <v>Legacy</v>
      </c>
      <c r="L50" t="str">
        <f>TEXT(Table1[[#This Row],[Join_Date]],"mmm-yyyy")</f>
        <v>Jan-2017</v>
      </c>
      <c r="M50">
        <v>9</v>
      </c>
      <c r="N50">
        <f>YEAR(Table1[[#This Row],[Join_Date]])</f>
        <v>2017</v>
      </c>
      <c r="O50" s="1">
        <v>42750</v>
      </c>
      <c r="P50" s="1"/>
    </row>
    <row r="51" spans="1:16" x14ac:dyDescent="0.25">
      <c r="A51" t="s">
        <v>133</v>
      </c>
      <c r="B51" t="s">
        <v>134</v>
      </c>
      <c r="C51" t="s">
        <v>22</v>
      </c>
      <c r="D51" t="s">
        <v>15</v>
      </c>
      <c r="E51">
        <v>33</v>
      </c>
      <c r="F51" t="s">
        <v>42</v>
      </c>
      <c r="G51" t="s">
        <v>51</v>
      </c>
      <c r="H51" t="str" cm="1">
        <f t="array" ref="H51">_xlfn.IFS(I51&lt;30000,"Low",I51&lt;60000,"Medium",I51&lt;100000,"High",TRUE,"Premium")</f>
        <v>Medium</v>
      </c>
      <c r="I51" s="2">
        <v>53660</v>
      </c>
      <c r="J51" t="s">
        <v>26</v>
      </c>
      <c r="K51" t="str" cm="1">
        <f t="array" ref="K51">_xlfn.IFS(Table1[[#This Row],[tenure]]&lt;=2,"New",Table1[[#This Row],[tenure]]&lt;=5,"Emerging",Table1[[#This Row],[tenure]]&lt;=8,"Loyal",Table1[[#This Row],[tenure]]&lt;=10,"Legacy")</f>
        <v>Emerging</v>
      </c>
      <c r="L51" t="str">
        <f>TEXT(Table1[[#This Row],[Join_Date]],"mmm-yyyy")</f>
        <v>Mar-2023</v>
      </c>
      <c r="M51">
        <v>3</v>
      </c>
      <c r="N51">
        <f>YEAR(Table1[[#This Row],[Join_Date]])</f>
        <v>2023</v>
      </c>
      <c r="O51" s="1">
        <v>44992</v>
      </c>
      <c r="P51" s="1"/>
    </row>
    <row r="52" spans="1:16" x14ac:dyDescent="0.25">
      <c r="A52" t="s">
        <v>135</v>
      </c>
      <c r="B52" t="s">
        <v>136</v>
      </c>
      <c r="C52" t="s">
        <v>14</v>
      </c>
      <c r="D52" t="s">
        <v>15</v>
      </c>
      <c r="E52">
        <v>31</v>
      </c>
      <c r="F52" t="s">
        <v>42</v>
      </c>
      <c r="G52" t="s">
        <v>46</v>
      </c>
      <c r="H52" t="str" cm="1">
        <f t="array" ref="H52">_xlfn.IFS(I52&lt;30000,"Low",I52&lt;60000,"Medium",I52&lt;100000,"High",TRUE,"Premium")</f>
        <v>High</v>
      </c>
      <c r="I52" s="2">
        <v>80504</v>
      </c>
      <c r="J52" t="s">
        <v>18</v>
      </c>
      <c r="K52" t="str" cm="1">
        <f t="array" ref="K52">_xlfn.IFS(Table1[[#This Row],[tenure]]&lt;=2,"New",Table1[[#This Row],[tenure]]&lt;=5,"Emerging",Table1[[#This Row],[tenure]]&lt;=8,"Loyal",Table1[[#This Row],[tenure]]&lt;=10,"Legacy")</f>
        <v>Legacy</v>
      </c>
      <c r="L52" t="str">
        <f>TEXT(Table1[[#This Row],[Join_Date]],"mmm-yyyy")</f>
        <v>Sep-2016</v>
      </c>
      <c r="M52">
        <v>9</v>
      </c>
      <c r="N52">
        <f>YEAR(Table1[[#This Row],[Join_Date]])</f>
        <v>2016</v>
      </c>
      <c r="O52" s="1">
        <v>42622</v>
      </c>
      <c r="P52" s="1"/>
    </row>
    <row r="53" spans="1:16" x14ac:dyDescent="0.25">
      <c r="A53" t="s">
        <v>137</v>
      </c>
      <c r="B53" t="s">
        <v>138</v>
      </c>
      <c r="C53" t="s">
        <v>22</v>
      </c>
      <c r="D53" t="s">
        <v>15</v>
      </c>
      <c r="E53">
        <v>29</v>
      </c>
      <c r="F53" t="s">
        <v>42</v>
      </c>
      <c r="G53" t="s">
        <v>34</v>
      </c>
      <c r="H53" t="str" cm="1">
        <f t="array" ref="H53">_xlfn.IFS(I53&lt;30000,"Low",I53&lt;60000,"Medium",I53&lt;100000,"High",TRUE,"Premium")</f>
        <v>Premium</v>
      </c>
      <c r="I53" s="2">
        <v>122979</v>
      </c>
      <c r="J53" t="s">
        <v>18</v>
      </c>
      <c r="K53" t="str" cm="1">
        <f t="array" ref="K53">_xlfn.IFS(Table1[[#This Row],[tenure]]&lt;=2,"New",Table1[[#This Row],[tenure]]&lt;=5,"Emerging",Table1[[#This Row],[tenure]]&lt;=8,"Loyal",Table1[[#This Row],[tenure]]&lt;=10,"Legacy")</f>
        <v>New</v>
      </c>
      <c r="L53" t="str">
        <f>TEXT(Table1[[#This Row],[Join_Date]],"mmm-yyyy")</f>
        <v>May-2023</v>
      </c>
      <c r="M53">
        <v>2</v>
      </c>
      <c r="N53">
        <f>YEAR(Table1[[#This Row],[Join_Date]])</f>
        <v>2023</v>
      </c>
      <c r="O53" s="1">
        <v>45072</v>
      </c>
      <c r="P53" s="1"/>
    </row>
    <row r="54" spans="1:16" x14ac:dyDescent="0.25">
      <c r="A54" t="s">
        <v>139</v>
      </c>
      <c r="B54" t="s">
        <v>140</v>
      </c>
      <c r="C54" t="s">
        <v>14</v>
      </c>
      <c r="D54" t="s">
        <v>54</v>
      </c>
      <c r="E54">
        <v>68</v>
      </c>
      <c r="F54" t="s">
        <v>42</v>
      </c>
      <c r="G54" t="s">
        <v>46</v>
      </c>
      <c r="H54" t="str" cm="1">
        <f t="array" ref="H54">_xlfn.IFS(I54&lt;30000,"Low",I54&lt;60000,"Medium",I54&lt;100000,"High",TRUE,"Premium")</f>
        <v>Medium</v>
      </c>
      <c r="I54" s="2">
        <v>54701</v>
      </c>
      <c r="J54" t="s">
        <v>18</v>
      </c>
      <c r="K54" t="str" cm="1">
        <f t="array" ref="K54">_xlfn.IFS(Table1[[#This Row],[tenure]]&lt;=2,"New",Table1[[#This Row],[tenure]]&lt;=5,"Emerging",Table1[[#This Row],[tenure]]&lt;=8,"Loyal",Table1[[#This Row],[tenure]]&lt;=10,"Legacy")</f>
        <v>Emerging</v>
      </c>
      <c r="L54" t="str">
        <f>TEXT(Table1[[#This Row],[Join_Date]],"mmm-yyyy")</f>
        <v>Jun-2022</v>
      </c>
      <c r="M54">
        <v>3</v>
      </c>
      <c r="N54">
        <f>YEAR(Table1[[#This Row],[Join_Date]])</f>
        <v>2022</v>
      </c>
      <c r="O54" s="1">
        <v>44740</v>
      </c>
      <c r="P54" s="1"/>
    </row>
    <row r="55" spans="1:16" x14ac:dyDescent="0.25">
      <c r="A55" t="s">
        <v>141</v>
      </c>
      <c r="B55" t="s">
        <v>142</v>
      </c>
      <c r="C55" t="s">
        <v>22</v>
      </c>
      <c r="D55" t="s">
        <v>15</v>
      </c>
      <c r="E55">
        <v>40</v>
      </c>
      <c r="F55" t="s">
        <v>42</v>
      </c>
      <c r="G55" t="s">
        <v>29</v>
      </c>
      <c r="H55" t="str" cm="1">
        <f t="array" ref="H55">_xlfn.IFS(I55&lt;30000,"Low",I55&lt;60000,"Medium",I55&lt;100000,"High",TRUE,"Premium")</f>
        <v>Premium</v>
      </c>
      <c r="I55" s="2">
        <v>103300</v>
      </c>
      <c r="J55" t="s">
        <v>18</v>
      </c>
      <c r="K55" t="str" cm="1">
        <f t="array" ref="K55">_xlfn.IFS(Table1[[#This Row],[tenure]]&lt;=2,"New",Table1[[#This Row],[tenure]]&lt;=5,"Emerging",Table1[[#This Row],[tenure]]&lt;=8,"Loyal",Table1[[#This Row],[tenure]]&lt;=10,"Legacy")</f>
        <v>Emerging</v>
      </c>
      <c r="L55" t="str">
        <f>TEXT(Table1[[#This Row],[Join_Date]],"mmm-yyyy")</f>
        <v>Oct-2020</v>
      </c>
      <c r="M55">
        <v>5</v>
      </c>
      <c r="N55">
        <f>YEAR(Table1[[#This Row],[Join_Date]])</f>
        <v>2020</v>
      </c>
      <c r="O55" s="1">
        <v>44107</v>
      </c>
      <c r="P55" s="1"/>
    </row>
    <row r="56" spans="1:16" x14ac:dyDescent="0.25">
      <c r="A56" t="s">
        <v>143</v>
      </c>
      <c r="B56" t="s">
        <v>144</v>
      </c>
      <c r="C56" t="s">
        <v>14</v>
      </c>
      <c r="D56" t="s">
        <v>15</v>
      </c>
      <c r="E56">
        <v>32</v>
      </c>
      <c r="F56" t="s">
        <v>24</v>
      </c>
      <c r="G56" t="s">
        <v>25</v>
      </c>
      <c r="H56" t="str" cm="1">
        <f t="array" ref="H56">_xlfn.IFS(I56&lt;30000,"Low",I56&lt;60000,"Medium",I56&lt;100000,"High",TRUE,"Premium")</f>
        <v>Premium</v>
      </c>
      <c r="I56" s="2">
        <v>168746</v>
      </c>
      <c r="J56" t="s">
        <v>18</v>
      </c>
      <c r="K56" t="str" cm="1">
        <f t="array" ref="K56">_xlfn.IFS(Table1[[#This Row],[tenure]]&lt;=2,"New",Table1[[#This Row],[tenure]]&lt;=5,"Emerging",Table1[[#This Row],[tenure]]&lt;=8,"Loyal",Table1[[#This Row],[tenure]]&lt;=10,"Legacy")</f>
        <v>Emerging</v>
      </c>
      <c r="L56" t="str">
        <f>TEXT(Table1[[#This Row],[Join_Date]],"mmm-yyyy")</f>
        <v>Dec-2022</v>
      </c>
      <c r="M56">
        <v>3</v>
      </c>
      <c r="N56">
        <f>YEAR(Table1[[#This Row],[Join_Date]])</f>
        <v>2022</v>
      </c>
      <c r="O56" s="1">
        <v>44916</v>
      </c>
      <c r="P56" s="1"/>
    </row>
    <row r="57" spans="1:16" x14ac:dyDescent="0.25">
      <c r="A57" t="s">
        <v>145</v>
      </c>
      <c r="B57" t="s">
        <v>146</v>
      </c>
      <c r="C57" t="s">
        <v>22</v>
      </c>
      <c r="D57" t="s">
        <v>23</v>
      </c>
      <c r="E57">
        <v>45</v>
      </c>
      <c r="F57" t="s">
        <v>24</v>
      </c>
      <c r="G57" t="s">
        <v>46</v>
      </c>
      <c r="H57" t="str" cm="1">
        <f t="array" ref="H57">_xlfn.IFS(I57&lt;30000,"Low",I57&lt;60000,"Medium",I57&lt;100000,"High",TRUE,"Premium")</f>
        <v>Premium</v>
      </c>
      <c r="I57" s="2">
        <v>103560</v>
      </c>
      <c r="J57" t="s">
        <v>18</v>
      </c>
      <c r="K57" t="str" cm="1">
        <f t="array" ref="K57">_xlfn.IFS(Table1[[#This Row],[tenure]]&lt;=2,"New",Table1[[#This Row],[tenure]]&lt;=5,"Emerging",Table1[[#This Row],[tenure]]&lt;=8,"Loyal",Table1[[#This Row],[tenure]]&lt;=10,"Legacy")</f>
        <v>Emerging</v>
      </c>
      <c r="L57" t="str">
        <f>TEXT(Table1[[#This Row],[Join_Date]],"mmm-yyyy")</f>
        <v>May-2022</v>
      </c>
      <c r="M57">
        <v>3</v>
      </c>
      <c r="N57">
        <f>YEAR(Table1[[#This Row],[Join_Date]])</f>
        <v>2022</v>
      </c>
      <c r="O57" s="1">
        <v>44711</v>
      </c>
      <c r="P57" s="1"/>
    </row>
    <row r="58" spans="1:16" x14ac:dyDescent="0.25">
      <c r="A58" t="s">
        <v>147</v>
      </c>
      <c r="B58" t="s">
        <v>148</v>
      </c>
      <c r="C58" t="s">
        <v>22</v>
      </c>
      <c r="D58" t="s">
        <v>23</v>
      </c>
      <c r="E58">
        <v>51</v>
      </c>
      <c r="F58" t="s">
        <v>24</v>
      </c>
      <c r="G58" t="s">
        <v>34</v>
      </c>
      <c r="H58" t="str" cm="1">
        <f t="array" ref="H58">_xlfn.IFS(I58&lt;30000,"Low",I58&lt;60000,"Medium",I58&lt;100000,"High",TRUE,"Premium")</f>
        <v>Premium</v>
      </c>
      <c r="I58" s="2">
        <v>174946</v>
      </c>
      <c r="J58" t="s">
        <v>26</v>
      </c>
      <c r="K58" t="str" cm="1">
        <f t="array" ref="K58">_xlfn.IFS(Table1[[#This Row],[tenure]]&lt;=2,"New",Table1[[#This Row],[tenure]]&lt;=5,"Emerging",Table1[[#This Row],[tenure]]&lt;=8,"Loyal",Table1[[#This Row],[tenure]]&lt;=10,"Legacy")</f>
        <v>Loyal</v>
      </c>
      <c r="L58" t="str">
        <f>TEXT(Table1[[#This Row],[Join_Date]],"mmm-yyyy")</f>
        <v>Jul-2019</v>
      </c>
      <c r="M58">
        <v>6</v>
      </c>
      <c r="N58">
        <f>YEAR(Table1[[#This Row],[Join_Date]])</f>
        <v>2019</v>
      </c>
      <c r="O58" s="1">
        <v>43671</v>
      </c>
      <c r="P58" s="1"/>
    </row>
    <row r="59" spans="1:16" x14ac:dyDescent="0.25">
      <c r="A59" t="s">
        <v>149</v>
      </c>
      <c r="B59" t="s">
        <v>150</v>
      </c>
      <c r="C59" t="s">
        <v>14</v>
      </c>
      <c r="D59" t="s">
        <v>37</v>
      </c>
      <c r="E59">
        <v>19</v>
      </c>
      <c r="F59" t="s">
        <v>24</v>
      </c>
      <c r="G59" t="s">
        <v>29</v>
      </c>
      <c r="H59" t="str" cm="1">
        <f t="array" ref="H59">_xlfn.IFS(I59&lt;30000,"Low",I59&lt;60000,"Medium",I59&lt;100000,"High",TRUE,"Premium")</f>
        <v>High</v>
      </c>
      <c r="I59" s="2">
        <v>63642</v>
      </c>
      <c r="J59" t="s">
        <v>26</v>
      </c>
      <c r="K59" t="str" cm="1">
        <f t="array" ref="K59">_xlfn.IFS(Table1[[#This Row],[tenure]]&lt;=2,"New",Table1[[#This Row],[tenure]]&lt;=5,"Emerging",Table1[[#This Row],[tenure]]&lt;=8,"Loyal",Table1[[#This Row],[tenure]]&lt;=10,"Legacy")</f>
        <v>Loyal</v>
      </c>
      <c r="L59" t="str">
        <f>TEXT(Table1[[#This Row],[Join_Date]],"mmm-yyyy")</f>
        <v>Jun-2019</v>
      </c>
      <c r="M59">
        <v>6</v>
      </c>
      <c r="N59">
        <f>YEAR(Table1[[#This Row],[Join_Date]])</f>
        <v>2019</v>
      </c>
      <c r="O59" s="1">
        <v>43622</v>
      </c>
      <c r="P59" s="1"/>
    </row>
    <row r="60" spans="1:16" x14ac:dyDescent="0.25">
      <c r="A60" t="s">
        <v>151</v>
      </c>
      <c r="B60" t="s">
        <v>152</v>
      </c>
      <c r="C60" t="s">
        <v>14</v>
      </c>
      <c r="D60" t="s">
        <v>23</v>
      </c>
      <c r="E60">
        <v>49</v>
      </c>
      <c r="F60" t="s">
        <v>42</v>
      </c>
      <c r="G60" t="s">
        <v>46</v>
      </c>
      <c r="H60" t="str" cm="1">
        <f t="array" ref="H60">_xlfn.IFS(I60&lt;30000,"Low",I60&lt;60000,"Medium",I60&lt;100000,"High",TRUE,"Premium")</f>
        <v>High</v>
      </c>
      <c r="I60" s="2">
        <v>85160</v>
      </c>
      <c r="J60" t="s">
        <v>26</v>
      </c>
      <c r="K60" t="str" cm="1">
        <f t="array" ref="K60">_xlfn.IFS(Table1[[#This Row],[tenure]]&lt;=2,"New",Table1[[#This Row],[tenure]]&lt;=5,"Emerging",Table1[[#This Row],[tenure]]&lt;=8,"Loyal",Table1[[#This Row],[tenure]]&lt;=10,"Legacy")</f>
        <v>New</v>
      </c>
      <c r="L60" t="str">
        <f>TEXT(Table1[[#This Row],[Join_Date]],"mmm-yyyy")</f>
        <v>Mar-2024</v>
      </c>
      <c r="M60">
        <v>2</v>
      </c>
      <c r="N60">
        <f>YEAR(Table1[[#This Row],[Join_Date]])</f>
        <v>2024</v>
      </c>
      <c r="O60" s="1">
        <v>45360</v>
      </c>
      <c r="P60" s="1"/>
    </row>
    <row r="61" spans="1:16" x14ac:dyDescent="0.25">
      <c r="A61" t="s">
        <v>153</v>
      </c>
      <c r="B61" t="s">
        <v>154</v>
      </c>
      <c r="C61" t="s">
        <v>14</v>
      </c>
      <c r="D61" t="s">
        <v>15</v>
      </c>
      <c r="E61">
        <v>40</v>
      </c>
      <c r="F61" t="s">
        <v>38</v>
      </c>
      <c r="G61" t="s">
        <v>17</v>
      </c>
      <c r="H61" t="str" cm="1">
        <f t="array" ref="H61">_xlfn.IFS(I61&lt;30000,"Low",I61&lt;60000,"Medium",I61&lt;100000,"High",TRUE,"Premium")</f>
        <v>Medium</v>
      </c>
      <c r="I61" s="2">
        <v>37602</v>
      </c>
      <c r="J61" t="s">
        <v>18</v>
      </c>
      <c r="K61" t="str" cm="1">
        <f t="array" ref="K61">_xlfn.IFS(Table1[[#This Row],[tenure]]&lt;=2,"New",Table1[[#This Row],[tenure]]&lt;=5,"Emerging",Table1[[#This Row],[tenure]]&lt;=8,"Loyal",Table1[[#This Row],[tenure]]&lt;=10,"Legacy")</f>
        <v>Loyal</v>
      </c>
      <c r="L61" t="str">
        <f>TEXT(Table1[[#This Row],[Join_Date]],"mmm-yyyy")</f>
        <v>Nov-2018</v>
      </c>
      <c r="M61">
        <v>7</v>
      </c>
      <c r="N61">
        <f>YEAR(Table1[[#This Row],[Join_Date]])</f>
        <v>2018</v>
      </c>
      <c r="O61" s="1">
        <v>43415</v>
      </c>
      <c r="P61" s="1"/>
    </row>
    <row r="62" spans="1:16" x14ac:dyDescent="0.25">
      <c r="A62" t="s">
        <v>155</v>
      </c>
      <c r="B62" t="s">
        <v>156</v>
      </c>
      <c r="C62" t="s">
        <v>14</v>
      </c>
      <c r="D62" t="s">
        <v>15</v>
      </c>
      <c r="E62">
        <v>39</v>
      </c>
      <c r="F62" t="s">
        <v>16</v>
      </c>
      <c r="G62" t="s">
        <v>51</v>
      </c>
      <c r="H62" t="str" cm="1">
        <f t="array" ref="H62">_xlfn.IFS(I62&lt;30000,"Low",I62&lt;60000,"Medium",I62&lt;100000,"High",TRUE,"Premium")</f>
        <v>Premium</v>
      </c>
      <c r="I62" s="2">
        <v>123320</v>
      </c>
      <c r="J62" t="s">
        <v>18</v>
      </c>
      <c r="K62" t="str" cm="1">
        <f t="array" ref="K62">_xlfn.IFS(Table1[[#This Row],[tenure]]&lt;=2,"New",Table1[[#This Row],[tenure]]&lt;=5,"Emerging",Table1[[#This Row],[tenure]]&lt;=8,"Loyal",Table1[[#This Row],[tenure]]&lt;=10,"Legacy")</f>
        <v>Emerging</v>
      </c>
      <c r="L62" t="str">
        <f>TEXT(Table1[[#This Row],[Join_Date]],"mmm-yyyy")</f>
        <v>Nov-2022</v>
      </c>
      <c r="M62">
        <v>3</v>
      </c>
      <c r="N62">
        <f>YEAR(Table1[[#This Row],[Join_Date]])</f>
        <v>2022</v>
      </c>
      <c r="O62" s="1">
        <v>44878</v>
      </c>
      <c r="P62" s="1"/>
    </row>
    <row r="63" spans="1:16" x14ac:dyDescent="0.25">
      <c r="A63" t="s">
        <v>157</v>
      </c>
      <c r="B63" t="s">
        <v>158</v>
      </c>
      <c r="C63" t="s">
        <v>14</v>
      </c>
      <c r="D63" t="s">
        <v>54</v>
      </c>
      <c r="E63">
        <v>68</v>
      </c>
      <c r="F63" t="s">
        <v>42</v>
      </c>
      <c r="G63" t="s">
        <v>25</v>
      </c>
      <c r="H63" t="str" cm="1">
        <f t="array" ref="H63">_xlfn.IFS(I63&lt;30000,"Low",I63&lt;60000,"Medium",I63&lt;100000,"High",TRUE,"Premium")</f>
        <v>Premium</v>
      </c>
      <c r="I63" s="2">
        <v>108801</v>
      </c>
      <c r="J63" t="s">
        <v>26</v>
      </c>
      <c r="K63" t="str" cm="1">
        <f t="array" ref="K63">_xlfn.IFS(Table1[[#This Row],[tenure]]&lt;=2,"New",Table1[[#This Row],[tenure]]&lt;=5,"Emerging",Table1[[#This Row],[tenure]]&lt;=8,"Loyal",Table1[[#This Row],[tenure]]&lt;=10,"Legacy")</f>
        <v>New</v>
      </c>
      <c r="L63" t="str">
        <f>TEXT(Table1[[#This Row],[Join_Date]],"mmm-yyyy")</f>
        <v>Nov-2024</v>
      </c>
      <c r="M63">
        <v>1</v>
      </c>
      <c r="N63">
        <f>YEAR(Table1[[#This Row],[Join_Date]])</f>
        <v>2024</v>
      </c>
      <c r="O63" s="1">
        <v>45597</v>
      </c>
      <c r="P63" s="1"/>
    </row>
    <row r="64" spans="1:16" x14ac:dyDescent="0.25">
      <c r="A64" t="s">
        <v>159</v>
      </c>
      <c r="B64" t="s">
        <v>160</v>
      </c>
      <c r="C64" t="s">
        <v>14</v>
      </c>
      <c r="D64" t="s">
        <v>15</v>
      </c>
      <c r="E64">
        <v>42</v>
      </c>
      <c r="F64" t="s">
        <v>16</v>
      </c>
      <c r="G64" t="s">
        <v>46</v>
      </c>
      <c r="H64" t="str" cm="1">
        <f t="array" ref="H64">_xlfn.IFS(I64&lt;30000,"Low",I64&lt;60000,"Medium",I64&lt;100000,"High",TRUE,"Premium")</f>
        <v>Medium</v>
      </c>
      <c r="I64" s="2">
        <v>45931</v>
      </c>
      <c r="J64" t="s">
        <v>18</v>
      </c>
      <c r="K64" t="str" cm="1">
        <f t="array" ref="K64">_xlfn.IFS(Table1[[#This Row],[tenure]]&lt;=2,"New",Table1[[#This Row],[tenure]]&lt;=5,"Emerging",Table1[[#This Row],[tenure]]&lt;=8,"Loyal",Table1[[#This Row],[tenure]]&lt;=10,"Legacy")</f>
        <v>New</v>
      </c>
      <c r="L64" t="str">
        <f>TEXT(Table1[[#This Row],[Join_Date]],"mmm-yyyy")</f>
        <v>Apr-2023</v>
      </c>
      <c r="M64">
        <v>2</v>
      </c>
      <c r="N64">
        <f>YEAR(Table1[[#This Row],[Join_Date]])</f>
        <v>2023</v>
      </c>
      <c r="O64" s="1">
        <v>45042</v>
      </c>
      <c r="P64" s="1"/>
    </row>
    <row r="65" spans="1:16" x14ac:dyDescent="0.25">
      <c r="A65" t="s">
        <v>161</v>
      </c>
      <c r="B65" t="s">
        <v>162</v>
      </c>
      <c r="C65" t="s">
        <v>14</v>
      </c>
      <c r="D65" t="s">
        <v>15</v>
      </c>
      <c r="E65">
        <v>39</v>
      </c>
      <c r="F65" t="s">
        <v>38</v>
      </c>
      <c r="G65" t="s">
        <v>29</v>
      </c>
      <c r="H65" t="str" cm="1">
        <f t="array" ref="H65">_xlfn.IFS(I65&lt;30000,"Low",I65&lt;60000,"Medium",I65&lt;100000,"High",TRUE,"Premium")</f>
        <v>Premium</v>
      </c>
      <c r="I65" s="2">
        <v>114377</v>
      </c>
      <c r="J65" t="s">
        <v>18</v>
      </c>
      <c r="K65" t="str" cm="1">
        <f t="array" ref="K65">_xlfn.IFS(Table1[[#This Row],[tenure]]&lt;=2,"New",Table1[[#This Row],[tenure]]&lt;=5,"Emerging",Table1[[#This Row],[tenure]]&lt;=8,"Loyal",Table1[[#This Row],[tenure]]&lt;=10,"Legacy")</f>
        <v>Emerging</v>
      </c>
      <c r="L65" t="str">
        <f>TEXT(Table1[[#This Row],[Join_Date]],"mmm-yyyy")</f>
        <v>Mar-2023</v>
      </c>
      <c r="M65">
        <v>3</v>
      </c>
      <c r="N65">
        <f>YEAR(Table1[[#This Row],[Join_Date]])</f>
        <v>2023</v>
      </c>
      <c r="O65" s="1">
        <v>44997</v>
      </c>
      <c r="P65" s="1"/>
    </row>
    <row r="66" spans="1:16" x14ac:dyDescent="0.25">
      <c r="A66" t="s">
        <v>163</v>
      </c>
      <c r="B66" t="s">
        <v>164</v>
      </c>
      <c r="C66" t="s">
        <v>14</v>
      </c>
      <c r="D66" t="s">
        <v>15</v>
      </c>
      <c r="E66">
        <v>39</v>
      </c>
      <c r="F66" t="s">
        <v>24</v>
      </c>
      <c r="G66" t="s">
        <v>17</v>
      </c>
      <c r="H66" t="str" cm="1">
        <f t="array" ref="H66">_xlfn.IFS(I66&lt;30000,"Low",I66&lt;60000,"Medium",I66&lt;100000,"High",TRUE,"Premium")</f>
        <v>Medium</v>
      </c>
      <c r="I66" s="2">
        <v>49192</v>
      </c>
      <c r="J66" t="s">
        <v>18</v>
      </c>
      <c r="K66" t="str" cm="1">
        <f t="array" ref="K66">_xlfn.IFS(Table1[[#This Row],[tenure]]&lt;=2,"New",Table1[[#This Row],[tenure]]&lt;=5,"Emerging",Table1[[#This Row],[tenure]]&lt;=8,"Loyal",Table1[[#This Row],[tenure]]&lt;=10,"Legacy")</f>
        <v>Emerging</v>
      </c>
      <c r="L66" t="str">
        <f>TEXT(Table1[[#This Row],[Join_Date]],"mmm-yyyy")</f>
        <v>Oct-2020</v>
      </c>
      <c r="M66">
        <v>5</v>
      </c>
      <c r="N66">
        <f>YEAR(Table1[[#This Row],[Join_Date]])</f>
        <v>2020</v>
      </c>
      <c r="O66" s="1">
        <v>44119</v>
      </c>
      <c r="P66" s="1"/>
    </row>
    <row r="67" spans="1:16" x14ac:dyDescent="0.25">
      <c r="A67" t="s">
        <v>165</v>
      </c>
      <c r="B67" t="s">
        <v>166</v>
      </c>
      <c r="C67" t="s">
        <v>22</v>
      </c>
      <c r="D67" t="s">
        <v>54</v>
      </c>
      <c r="E67">
        <v>66</v>
      </c>
      <c r="F67" t="s">
        <v>38</v>
      </c>
      <c r="G67" t="s">
        <v>39</v>
      </c>
      <c r="H67" t="str" cm="1">
        <f t="array" ref="H67">_xlfn.IFS(I67&lt;30000,"Low",I67&lt;60000,"Medium",I67&lt;100000,"High",TRUE,"Premium")</f>
        <v>High</v>
      </c>
      <c r="I67" s="2">
        <v>66542</v>
      </c>
      <c r="J67" t="s">
        <v>18</v>
      </c>
      <c r="K67" t="str" cm="1">
        <f t="array" ref="K67">_xlfn.IFS(Table1[[#This Row],[tenure]]&lt;=2,"New",Table1[[#This Row],[tenure]]&lt;=5,"Emerging",Table1[[#This Row],[tenure]]&lt;=8,"Loyal",Table1[[#This Row],[tenure]]&lt;=10,"Legacy")</f>
        <v>Loyal</v>
      </c>
      <c r="L67" t="str">
        <f>TEXT(Table1[[#This Row],[Join_Date]],"mmm-yyyy")</f>
        <v>Dec-2017</v>
      </c>
      <c r="M67">
        <v>8</v>
      </c>
      <c r="N67">
        <f>YEAR(Table1[[#This Row],[Join_Date]])</f>
        <v>2017</v>
      </c>
      <c r="O67" s="1">
        <v>43091</v>
      </c>
      <c r="P67" s="1"/>
    </row>
    <row r="68" spans="1:16" x14ac:dyDescent="0.25">
      <c r="A68" t="s">
        <v>167</v>
      </c>
      <c r="B68" t="s">
        <v>168</v>
      </c>
      <c r="C68" t="s">
        <v>22</v>
      </c>
      <c r="D68" t="s">
        <v>54</v>
      </c>
      <c r="E68">
        <v>69</v>
      </c>
      <c r="F68" t="s">
        <v>42</v>
      </c>
      <c r="G68" t="s">
        <v>29</v>
      </c>
      <c r="H68" t="str" cm="1">
        <f t="array" ref="H68">_xlfn.IFS(I68&lt;30000,"Low",I68&lt;60000,"Medium",I68&lt;100000,"High",TRUE,"Premium")</f>
        <v>Premium</v>
      </c>
      <c r="I68" s="2">
        <v>147015</v>
      </c>
      <c r="J68" t="s">
        <v>18</v>
      </c>
      <c r="K68" t="str" cm="1">
        <f t="array" ref="K68">_xlfn.IFS(Table1[[#This Row],[tenure]]&lt;=2,"New",Table1[[#This Row],[tenure]]&lt;=5,"Emerging",Table1[[#This Row],[tenure]]&lt;=8,"Loyal",Table1[[#This Row],[tenure]]&lt;=10,"Legacy")</f>
        <v>Emerging</v>
      </c>
      <c r="L68" t="str">
        <f>TEXT(Table1[[#This Row],[Join_Date]],"mmm-yyyy")</f>
        <v>Mar-2023</v>
      </c>
      <c r="M68">
        <v>3</v>
      </c>
      <c r="N68">
        <f>YEAR(Table1[[#This Row],[Join_Date]])</f>
        <v>2023</v>
      </c>
      <c r="O68" s="1">
        <v>44996</v>
      </c>
      <c r="P68" s="1"/>
    </row>
    <row r="69" spans="1:16" x14ac:dyDescent="0.25">
      <c r="A69" t="s">
        <v>169</v>
      </c>
      <c r="B69" t="s">
        <v>170</v>
      </c>
      <c r="C69" t="s">
        <v>14</v>
      </c>
      <c r="D69" t="s">
        <v>23</v>
      </c>
      <c r="E69">
        <v>59</v>
      </c>
      <c r="F69" t="s">
        <v>24</v>
      </c>
      <c r="G69" t="s">
        <v>51</v>
      </c>
      <c r="H69" t="str" cm="1">
        <f t="array" ref="H69">_xlfn.IFS(I69&lt;30000,"Low",I69&lt;60000,"Medium",I69&lt;100000,"High",TRUE,"Premium")</f>
        <v>High</v>
      </c>
      <c r="I69" s="2">
        <v>62520</v>
      </c>
      <c r="J69" t="s">
        <v>18</v>
      </c>
      <c r="K69" t="str" cm="1">
        <f t="array" ref="K69">_xlfn.IFS(Table1[[#This Row],[tenure]]&lt;=2,"New",Table1[[#This Row],[tenure]]&lt;=5,"Emerging",Table1[[#This Row],[tenure]]&lt;=8,"Loyal",Table1[[#This Row],[tenure]]&lt;=10,"Legacy")</f>
        <v>Loyal</v>
      </c>
      <c r="L69" t="str">
        <f>TEXT(Table1[[#This Row],[Join_Date]],"mmm-yyyy")</f>
        <v>Nov-2017</v>
      </c>
      <c r="M69">
        <v>8</v>
      </c>
      <c r="N69">
        <f>YEAR(Table1[[#This Row],[Join_Date]])</f>
        <v>2017</v>
      </c>
      <c r="O69" s="1">
        <v>43069</v>
      </c>
      <c r="P69" s="1"/>
    </row>
    <row r="70" spans="1:16" x14ac:dyDescent="0.25">
      <c r="A70" t="s">
        <v>171</v>
      </c>
      <c r="B70" t="s">
        <v>172</v>
      </c>
      <c r="C70" t="s">
        <v>22</v>
      </c>
      <c r="D70" t="s">
        <v>37</v>
      </c>
      <c r="E70">
        <v>23</v>
      </c>
      <c r="F70" t="s">
        <v>42</v>
      </c>
      <c r="G70" t="s">
        <v>29</v>
      </c>
      <c r="H70" t="str" cm="1">
        <f t="array" ref="H70">_xlfn.IFS(I70&lt;30000,"Low",I70&lt;60000,"Medium",I70&lt;100000,"High",TRUE,"Premium")</f>
        <v>High</v>
      </c>
      <c r="I70" s="2">
        <v>84772</v>
      </c>
      <c r="J70" t="s">
        <v>18</v>
      </c>
      <c r="K70" t="str" cm="1">
        <f t="array" ref="K70">_xlfn.IFS(Table1[[#This Row],[tenure]]&lt;=2,"New",Table1[[#This Row],[tenure]]&lt;=5,"Emerging",Table1[[#This Row],[tenure]]&lt;=8,"Loyal",Table1[[#This Row],[tenure]]&lt;=10,"Legacy")</f>
        <v>Loyal</v>
      </c>
      <c r="L70" t="str">
        <f>TEXT(Table1[[#This Row],[Join_Date]],"mmm-yyyy")</f>
        <v>Aug-2018</v>
      </c>
      <c r="M70">
        <v>7</v>
      </c>
      <c r="N70">
        <f>YEAR(Table1[[#This Row],[Join_Date]])</f>
        <v>2018</v>
      </c>
      <c r="O70" s="1">
        <v>43341</v>
      </c>
      <c r="P70" s="1"/>
    </row>
    <row r="71" spans="1:16" x14ac:dyDescent="0.25">
      <c r="A71" t="s">
        <v>173</v>
      </c>
      <c r="B71" t="s">
        <v>174</v>
      </c>
      <c r="C71" t="s">
        <v>22</v>
      </c>
      <c r="D71" t="s">
        <v>15</v>
      </c>
      <c r="E71">
        <v>32</v>
      </c>
      <c r="F71" t="s">
        <v>24</v>
      </c>
      <c r="G71" t="s">
        <v>17</v>
      </c>
      <c r="H71" t="str" cm="1">
        <f t="array" ref="H71">_xlfn.IFS(I71&lt;30000,"Low",I71&lt;60000,"Medium",I71&lt;100000,"High",TRUE,"Premium")</f>
        <v>High</v>
      </c>
      <c r="I71" s="2">
        <v>70106</v>
      </c>
      <c r="J71" t="s">
        <v>18</v>
      </c>
      <c r="K71" t="str" cm="1">
        <f t="array" ref="K71">_xlfn.IFS(Table1[[#This Row],[tenure]]&lt;=2,"New",Table1[[#This Row],[tenure]]&lt;=5,"Emerging",Table1[[#This Row],[tenure]]&lt;=8,"Loyal",Table1[[#This Row],[tenure]]&lt;=10,"Legacy")</f>
        <v>New</v>
      </c>
      <c r="L71" t="str">
        <f>TEXT(Table1[[#This Row],[Join_Date]],"mmm-yyyy")</f>
        <v>Jul-2024</v>
      </c>
      <c r="M71">
        <v>1</v>
      </c>
      <c r="N71">
        <f>YEAR(Table1[[#This Row],[Join_Date]])</f>
        <v>2024</v>
      </c>
      <c r="O71" s="1">
        <v>45477</v>
      </c>
      <c r="P71" s="1"/>
    </row>
    <row r="72" spans="1:16" x14ac:dyDescent="0.25">
      <c r="A72" t="s">
        <v>175</v>
      </c>
      <c r="B72" t="s">
        <v>176</v>
      </c>
      <c r="C72" t="s">
        <v>22</v>
      </c>
      <c r="D72" t="s">
        <v>54</v>
      </c>
      <c r="E72">
        <v>71</v>
      </c>
      <c r="F72" t="s">
        <v>16</v>
      </c>
      <c r="G72" t="s">
        <v>29</v>
      </c>
      <c r="H72" t="str" cm="1">
        <f t="array" ref="H72">_xlfn.IFS(I72&lt;30000,"Low",I72&lt;60000,"Medium",I72&lt;100000,"High",TRUE,"Premium")</f>
        <v>Premium</v>
      </c>
      <c r="I72" s="2">
        <v>101121</v>
      </c>
      <c r="J72" t="s">
        <v>26</v>
      </c>
      <c r="K72" t="str" cm="1">
        <f t="array" ref="K72">_xlfn.IFS(Table1[[#This Row],[tenure]]&lt;=2,"New",Table1[[#This Row],[tenure]]&lt;=5,"Emerging",Table1[[#This Row],[tenure]]&lt;=8,"Loyal",Table1[[#This Row],[tenure]]&lt;=10,"Legacy")</f>
        <v>New</v>
      </c>
      <c r="L72" t="str">
        <f>TEXT(Table1[[#This Row],[Join_Date]],"mmm-yyyy")</f>
        <v>Jun-2025</v>
      </c>
      <c r="M72">
        <v>0</v>
      </c>
      <c r="N72">
        <f>YEAR(Table1[[#This Row],[Join_Date]])</f>
        <v>2025</v>
      </c>
      <c r="O72" s="1">
        <v>45815</v>
      </c>
      <c r="P72" s="1"/>
    </row>
    <row r="73" spans="1:16" x14ac:dyDescent="0.25">
      <c r="A73" t="s">
        <v>177</v>
      </c>
      <c r="B73" t="s">
        <v>178</v>
      </c>
      <c r="C73" t="s">
        <v>22</v>
      </c>
      <c r="D73" t="s">
        <v>23</v>
      </c>
      <c r="E73">
        <v>60</v>
      </c>
      <c r="F73" t="s">
        <v>16</v>
      </c>
      <c r="G73" t="s">
        <v>17</v>
      </c>
      <c r="H73" t="str" cm="1">
        <f t="array" ref="H73">_xlfn.IFS(I73&lt;30000,"Low",I73&lt;60000,"Medium",I73&lt;100000,"High",TRUE,"Premium")</f>
        <v>Medium</v>
      </c>
      <c r="I73" s="2">
        <v>45559</v>
      </c>
      <c r="J73" t="s">
        <v>26</v>
      </c>
      <c r="K73" t="str" cm="1">
        <f t="array" ref="K73">_xlfn.IFS(Table1[[#This Row],[tenure]]&lt;=2,"New",Table1[[#This Row],[tenure]]&lt;=5,"Emerging",Table1[[#This Row],[tenure]]&lt;=8,"Loyal",Table1[[#This Row],[tenure]]&lt;=10,"Legacy")</f>
        <v>Legacy</v>
      </c>
      <c r="L73" t="str">
        <f>TEXT(Table1[[#This Row],[Join_Date]],"mmm-yyyy")</f>
        <v>Mar-2016</v>
      </c>
      <c r="M73">
        <v>9</v>
      </c>
      <c r="N73">
        <f>YEAR(Table1[[#This Row],[Join_Date]])</f>
        <v>2016</v>
      </c>
      <c r="O73" s="1">
        <v>42457</v>
      </c>
      <c r="P73" s="1"/>
    </row>
    <row r="74" spans="1:16" x14ac:dyDescent="0.25">
      <c r="A74" t="s">
        <v>179</v>
      </c>
      <c r="B74" t="s">
        <v>180</v>
      </c>
      <c r="C74" t="s">
        <v>14</v>
      </c>
      <c r="D74" t="s">
        <v>23</v>
      </c>
      <c r="E74">
        <v>54</v>
      </c>
      <c r="F74" t="s">
        <v>16</v>
      </c>
      <c r="G74" t="s">
        <v>46</v>
      </c>
      <c r="H74" t="str" cm="1">
        <f t="array" ref="H74">_xlfn.IFS(I74&lt;30000,"Low",I74&lt;60000,"Medium",I74&lt;100000,"High",TRUE,"Premium")</f>
        <v>Premium</v>
      </c>
      <c r="I74" s="2">
        <v>125595</v>
      </c>
      <c r="J74" t="s">
        <v>26</v>
      </c>
      <c r="K74" t="str" cm="1">
        <f t="array" ref="K74">_xlfn.IFS(Table1[[#This Row],[tenure]]&lt;=2,"New",Table1[[#This Row],[tenure]]&lt;=5,"Emerging",Table1[[#This Row],[tenure]]&lt;=8,"Loyal",Table1[[#This Row],[tenure]]&lt;=10,"Legacy")</f>
        <v>Emerging</v>
      </c>
      <c r="L74" t="str">
        <f>TEXT(Table1[[#This Row],[Join_Date]],"mmm-yyyy")</f>
        <v>Apr-2020</v>
      </c>
      <c r="M74">
        <v>5</v>
      </c>
      <c r="N74">
        <f>YEAR(Table1[[#This Row],[Join_Date]])</f>
        <v>2020</v>
      </c>
      <c r="O74" s="1">
        <v>43929</v>
      </c>
      <c r="P74" s="1"/>
    </row>
    <row r="75" spans="1:16" x14ac:dyDescent="0.25">
      <c r="A75" t="s">
        <v>181</v>
      </c>
      <c r="B75" t="s">
        <v>182</v>
      </c>
      <c r="C75" t="s">
        <v>22</v>
      </c>
      <c r="D75" t="s">
        <v>23</v>
      </c>
      <c r="E75">
        <v>50</v>
      </c>
      <c r="F75" t="s">
        <v>38</v>
      </c>
      <c r="G75" t="s">
        <v>17</v>
      </c>
      <c r="H75" t="str" cm="1">
        <f t="array" ref="H75">_xlfn.IFS(I75&lt;30000,"Low",I75&lt;60000,"Medium",I75&lt;100000,"High",TRUE,"Premium")</f>
        <v>Medium</v>
      </c>
      <c r="I75" s="2">
        <v>53742</v>
      </c>
      <c r="J75" t="s">
        <v>26</v>
      </c>
      <c r="K75" t="str" cm="1">
        <f t="array" ref="K75">_xlfn.IFS(Table1[[#This Row],[tenure]]&lt;=2,"New",Table1[[#This Row],[tenure]]&lt;=5,"Emerging",Table1[[#This Row],[tenure]]&lt;=8,"Loyal",Table1[[#This Row],[tenure]]&lt;=10,"Legacy")</f>
        <v>New</v>
      </c>
      <c r="L75" t="str">
        <f>TEXT(Table1[[#This Row],[Join_Date]],"mmm-yyyy")</f>
        <v>Jan-2025</v>
      </c>
      <c r="M75">
        <v>1</v>
      </c>
      <c r="N75">
        <f>YEAR(Table1[[#This Row],[Join_Date]])</f>
        <v>2025</v>
      </c>
      <c r="O75" s="1">
        <v>45677</v>
      </c>
      <c r="P75" s="1"/>
    </row>
    <row r="76" spans="1:16" x14ac:dyDescent="0.25">
      <c r="A76" t="s">
        <v>183</v>
      </c>
      <c r="B76" t="s">
        <v>184</v>
      </c>
      <c r="C76" t="s">
        <v>14</v>
      </c>
      <c r="D76" t="s">
        <v>37</v>
      </c>
      <c r="E76">
        <v>25</v>
      </c>
      <c r="F76" t="s">
        <v>42</v>
      </c>
      <c r="G76" t="s">
        <v>17</v>
      </c>
      <c r="H76" t="str" cm="1">
        <f t="array" ref="H76">_xlfn.IFS(I76&lt;30000,"Low",I76&lt;60000,"Medium",I76&lt;100000,"High",TRUE,"Premium")</f>
        <v>High</v>
      </c>
      <c r="I76" s="2">
        <v>89669</v>
      </c>
      <c r="J76" t="s">
        <v>30</v>
      </c>
      <c r="K76" t="str" cm="1">
        <f t="array" ref="K76">_xlfn.IFS(Table1[[#This Row],[tenure]]&lt;=2,"New",Table1[[#This Row],[tenure]]&lt;=5,"Emerging",Table1[[#This Row],[tenure]]&lt;=8,"Loyal",Table1[[#This Row],[tenure]]&lt;=10,"Legacy")</f>
        <v>Loyal</v>
      </c>
      <c r="L76" t="str">
        <f>TEXT(Table1[[#This Row],[Join_Date]],"mmm-yyyy")</f>
        <v>Jul-2018</v>
      </c>
      <c r="M76">
        <v>7</v>
      </c>
      <c r="N76">
        <f>YEAR(Table1[[#This Row],[Join_Date]])</f>
        <v>2018</v>
      </c>
      <c r="O76" s="1">
        <v>43309</v>
      </c>
      <c r="P76" s="1"/>
    </row>
    <row r="77" spans="1:16" x14ac:dyDescent="0.25">
      <c r="A77" t="s">
        <v>185</v>
      </c>
      <c r="B77" t="s">
        <v>186</v>
      </c>
      <c r="C77" t="s">
        <v>22</v>
      </c>
      <c r="D77" t="s">
        <v>54</v>
      </c>
      <c r="E77">
        <v>70</v>
      </c>
      <c r="F77" t="s">
        <v>38</v>
      </c>
      <c r="G77" t="s">
        <v>25</v>
      </c>
      <c r="H77" t="str" cm="1">
        <f t="array" ref="H77">_xlfn.IFS(I77&lt;30000,"Low",I77&lt;60000,"Medium",I77&lt;100000,"High",TRUE,"Premium")</f>
        <v>Premium</v>
      </c>
      <c r="I77" s="2">
        <v>172826</v>
      </c>
      <c r="J77" t="s">
        <v>18</v>
      </c>
      <c r="K77" t="str" cm="1">
        <f t="array" ref="K77">_xlfn.IFS(Table1[[#This Row],[tenure]]&lt;=2,"New",Table1[[#This Row],[tenure]]&lt;=5,"Emerging",Table1[[#This Row],[tenure]]&lt;=8,"Loyal",Table1[[#This Row],[tenure]]&lt;=10,"Legacy")</f>
        <v>Loyal</v>
      </c>
      <c r="L77" t="str">
        <f>TEXT(Table1[[#This Row],[Join_Date]],"mmm-yyyy")</f>
        <v>Jul-2017</v>
      </c>
      <c r="M77">
        <v>8</v>
      </c>
      <c r="N77">
        <f>YEAR(Table1[[#This Row],[Join_Date]])</f>
        <v>2017</v>
      </c>
      <c r="O77" s="1">
        <v>42917</v>
      </c>
      <c r="P77" s="1"/>
    </row>
    <row r="78" spans="1:16" x14ac:dyDescent="0.25">
      <c r="A78" t="s">
        <v>187</v>
      </c>
      <c r="B78" t="s">
        <v>188</v>
      </c>
      <c r="C78" t="s">
        <v>22</v>
      </c>
      <c r="D78" t="s">
        <v>54</v>
      </c>
      <c r="E78">
        <v>61</v>
      </c>
      <c r="F78" t="s">
        <v>16</v>
      </c>
      <c r="G78" t="s">
        <v>17</v>
      </c>
      <c r="H78" t="str" cm="1">
        <f t="array" ref="H78">_xlfn.IFS(I78&lt;30000,"Low",I78&lt;60000,"Medium",I78&lt;100000,"High",TRUE,"Premium")</f>
        <v>Premium</v>
      </c>
      <c r="I78" s="2">
        <v>155044</v>
      </c>
      <c r="J78" t="s">
        <v>18</v>
      </c>
      <c r="K78" t="str" cm="1">
        <f t="array" ref="K78">_xlfn.IFS(Table1[[#This Row],[tenure]]&lt;=2,"New",Table1[[#This Row],[tenure]]&lt;=5,"Emerging",Table1[[#This Row],[tenure]]&lt;=8,"Loyal",Table1[[#This Row],[tenure]]&lt;=10,"Legacy")</f>
        <v>Emerging</v>
      </c>
      <c r="L78" t="str">
        <f>TEXT(Table1[[#This Row],[Join_Date]],"mmm-yyyy")</f>
        <v>Jan-2022</v>
      </c>
      <c r="M78">
        <v>4</v>
      </c>
      <c r="N78">
        <f>YEAR(Table1[[#This Row],[Join_Date]])</f>
        <v>2022</v>
      </c>
      <c r="O78" s="1">
        <v>44584</v>
      </c>
      <c r="P78" s="1"/>
    </row>
    <row r="79" spans="1:16" x14ac:dyDescent="0.25">
      <c r="A79" t="s">
        <v>189</v>
      </c>
      <c r="B79" t="s">
        <v>190</v>
      </c>
      <c r="C79" t="s">
        <v>22</v>
      </c>
      <c r="D79" t="s">
        <v>54</v>
      </c>
      <c r="E79">
        <v>61</v>
      </c>
      <c r="F79" t="s">
        <v>42</v>
      </c>
      <c r="G79" t="s">
        <v>17</v>
      </c>
      <c r="H79" t="str" cm="1">
        <f t="array" ref="H79">_xlfn.IFS(I79&lt;30000,"Low",I79&lt;60000,"Medium",I79&lt;100000,"High",TRUE,"Premium")</f>
        <v>High</v>
      </c>
      <c r="I79" s="2">
        <v>90831</v>
      </c>
      <c r="J79" t="s">
        <v>18</v>
      </c>
      <c r="K79" t="str" cm="1">
        <f t="array" ref="K79">_xlfn.IFS(Table1[[#This Row],[tenure]]&lt;=2,"New",Table1[[#This Row],[tenure]]&lt;=5,"Emerging",Table1[[#This Row],[tenure]]&lt;=8,"Loyal",Table1[[#This Row],[tenure]]&lt;=10,"Legacy")</f>
        <v>Loyal</v>
      </c>
      <c r="L79" t="str">
        <f>TEXT(Table1[[#This Row],[Join_Date]],"mmm-yyyy")</f>
        <v>Jul-2018</v>
      </c>
      <c r="M79">
        <v>7</v>
      </c>
      <c r="N79">
        <f>YEAR(Table1[[#This Row],[Join_Date]])</f>
        <v>2018</v>
      </c>
      <c r="O79" s="1">
        <v>43302</v>
      </c>
      <c r="P79" s="1"/>
    </row>
    <row r="80" spans="1:16" x14ac:dyDescent="0.25">
      <c r="A80" t="s">
        <v>191</v>
      </c>
      <c r="B80" t="s">
        <v>192</v>
      </c>
      <c r="C80" t="s">
        <v>14</v>
      </c>
      <c r="D80" t="s">
        <v>37</v>
      </c>
      <c r="E80">
        <v>22</v>
      </c>
      <c r="F80" t="s">
        <v>16</v>
      </c>
      <c r="G80" t="s">
        <v>39</v>
      </c>
      <c r="H80" t="str" cm="1">
        <f t="array" ref="H80">_xlfn.IFS(I80&lt;30000,"Low",I80&lt;60000,"Medium",I80&lt;100000,"High",TRUE,"Premium")</f>
        <v>Premium</v>
      </c>
      <c r="I80" s="2">
        <v>132217</v>
      </c>
      <c r="J80" t="s">
        <v>26</v>
      </c>
      <c r="K80" t="str" cm="1">
        <f t="array" ref="K80">_xlfn.IFS(Table1[[#This Row],[tenure]]&lt;=2,"New",Table1[[#This Row],[tenure]]&lt;=5,"Emerging",Table1[[#This Row],[tenure]]&lt;=8,"Loyal",Table1[[#This Row],[tenure]]&lt;=10,"Legacy")</f>
        <v>Emerging</v>
      </c>
      <c r="L80" t="str">
        <f>TEXT(Table1[[#This Row],[Join_Date]],"mmm-yyyy")</f>
        <v>Jan-2022</v>
      </c>
      <c r="M80">
        <v>4</v>
      </c>
      <c r="N80">
        <f>YEAR(Table1[[#This Row],[Join_Date]])</f>
        <v>2022</v>
      </c>
      <c r="O80" s="1">
        <v>44565</v>
      </c>
      <c r="P80" s="1"/>
    </row>
    <row r="81" spans="1:16" x14ac:dyDescent="0.25">
      <c r="A81" t="s">
        <v>193</v>
      </c>
      <c r="B81" t="s">
        <v>194</v>
      </c>
      <c r="C81" t="s">
        <v>22</v>
      </c>
      <c r="D81" t="s">
        <v>23</v>
      </c>
      <c r="E81">
        <v>56</v>
      </c>
      <c r="F81" t="s">
        <v>38</v>
      </c>
      <c r="G81" t="s">
        <v>46</v>
      </c>
      <c r="H81" t="str" cm="1">
        <f t="array" ref="H81">_xlfn.IFS(I81&lt;30000,"Low",I81&lt;60000,"Medium",I81&lt;100000,"High",TRUE,"Premium")</f>
        <v>High</v>
      </c>
      <c r="I81" s="2">
        <v>61873</v>
      </c>
      <c r="J81" t="s">
        <v>26</v>
      </c>
      <c r="K81" t="str" cm="1">
        <f t="array" ref="K81">_xlfn.IFS(Table1[[#This Row],[tenure]]&lt;=2,"New",Table1[[#This Row],[tenure]]&lt;=5,"Emerging",Table1[[#This Row],[tenure]]&lt;=8,"Loyal",Table1[[#This Row],[tenure]]&lt;=10,"Legacy")</f>
        <v>Loyal</v>
      </c>
      <c r="L81" t="str">
        <f>TEXT(Table1[[#This Row],[Join_Date]],"mmm-yyyy")</f>
        <v>Apr-2018</v>
      </c>
      <c r="M81">
        <v>7</v>
      </c>
      <c r="N81">
        <f>YEAR(Table1[[#This Row],[Join_Date]])</f>
        <v>2018</v>
      </c>
      <c r="O81" s="1">
        <v>43200</v>
      </c>
      <c r="P81" s="1"/>
    </row>
    <row r="82" spans="1:16" x14ac:dyDescent="0.25">
      <c r="A82" t="s">
        <v>195</v>
      </c>
      <c r="B82" t="s">
        <v>196</v>
      </c>
      <c r="C82" t="s">
        <v>14</v>
      </c>
      <c r="D82" t="s">
        <v>37</v>
      </c>
      <c r="E82">
        <v>21</v>
      </c>
      <c r="F82" t="s">
        <v>38</v>
      </c>
      <c r="G82" t="s">
        <v>51</v>
      </c>
      <c r="H82" t="str" cm="1">
        <f t="array" ref="H82">_xlfn.IFS(I82&lt;30000,"Low",I82&lt;60000,"Medium",I82&lt;100000,"High",TRUE,"Premium")</f>
        <v>Premium</v>
      </c>
      <c r="I82" s="2">
        <v>126532</v>
      </c>
      <c r="J82" t="s">
        <v>18</v>
      </c>
      <c r="K82" t="str" cm="1">
        <f t="array" ref="K82">_xlfn.IFS(Table1[[#This Row],[tenure]]&lt;=2,"New",Table1[[#This Row],[tenure]]&lt;=5,"Emerging",Table1[[#This Row],[tenure]]&lt;=8,"Loyal",Table1[[#This Row],[tenure]]&lt;=10,"Legacy")</f>
        <v>New</v>
      </c>
      <c r="L82" t="str">
        <f>TEXT(Table1[[#This Row],[Join_Date]],"mmm-yyyy")</f>
        <v>Mar-2023</v>
      </c>
      <c r="M82">
        <v>2</v>
      </c>
      <c r="N82">
        <f>YEAR(Table1[[#This Row],[Join_Date]])</f>
        <v>2023</v>
      </c>
      <c r="O82" s="1">
        <v>45011</v>
      </c>
      <c r="P82" s="1"/>
    </row>
    <row r="83" spans="1:16" x14ac:dyDescent="0.25">
      <c r="A83" t="s">
        <v>197</v>
      </c>
      <c r="B83" t="s">
        <v>198</v>
      </c>
      <c r="C83" t="s">
        <v>22</v>
      </c>
      <c r="D83" t="s">
        <v>37</v>
      </c>
      <c r="E83">
        <v>23</v>
      </c>
      <c r="F83" t="s">
        <v>38</v>
      </c>
      <c r="G83" t="s">
        <v>25</v>
      </c>
      <c r="H83" t="str" cm="1">
        <f t="array" ref="H83">_xlfn.IFS(I83&lt;30000,"Low",I83&lt;60000,"Medium",I83&lt;100000,"High",TRUE,"Premium")</f>
        <v>Premium</v>
      </c>
      <c r="I83" s="2">
        <v>146267</v>
      </c>
      <c r="J83" t="s">
        <v>30</v>
      </c>
      <c r="K83" t="str" cm="1">
        <f t="array" ref="K83">_xlfn.IFS(Table1[[#This Row],[tenure]]&lt;=2,"New",Table1[[#This Row],[tenure]]&lt;=5,"Emerging",Table1[[#This Row],[tenure]]&lt;=8,"Loyal",Table1[[#This Row],[tenure]]&lt;=10,"Legacy")</f>
        <v>New</v>
      </c>
      <c r="L83" t="str">
        <f>TEXT(Table1[[#This Row],[Join_Date]],"mmm-yyyy")</f>
        <v>May-2025</v>
      </c>
      <c r="M83">
        <v>0</v>
      </c>
      <c r="N83">
        <f>YEAR(Table1[[#This Row],[Join_Date]])</f>
        <v>2025</v>
      </c>
      <c r="O83" s="1">
        <v>45791</v>
      </c>
      <c r="P83" s="1"/>
    </row>
    <row r="84" spans="1:16" x14ac:dyDescent="0.25">
      <c r="A84" t="s">
        <v>199</v>
      </c>
      <c r="B84" t="s">
        <v>200</v>
      </c>
      <c r="C84" t="s">
        <v>14</v>
      </c>
      <c r="D84" t="s">
        <v>54</v>
      </c>
      <c r="E84">
        <v>62</v>
      </c>
      <c r="F84" t="s">
        <v>16</v>
      </c>
      <c r="G84" t="s">
        <v>39</v>
      </c>
      <c r="H84" t="str" cm="1">
        <f t="array" ref="H84">_xlfn.IFS(I84&lt;30000,"Low",I84&lt;60000,"Medium",I84&lt;100000,"High",TRUE,"Premium")</f>
        <v>Premium</v>
      </c>
      <c r="I84" s="2">
        <v>160975</v>
      </c>
      <c r="J84" t="s">
        <v>18</v>
      </c>
      <c r="K84" t="str" cm="1">
        <f t="array" ref="K84">_xlfn.IFS(Table1[[#This Row],[tenure]]&lt;=2,"New",Table1[[#This Row],[tenure]]&lt;=5,"Emerging",Table1[[#This Row],[tenure]]&lt;=8,"Loyal",Table1[[#This Row],[tenure]]&lt;=10,"Legacy")</f>
        <v>Emerging</v>
      </c>
      <c r="L84" t="str">
        <f>TEXT(Table1[[#This Row],[Join_Date]],"mmm-yyyy")</f>
        <v>Apr-2021</v>
      </c>
      <c r="M84">
        <v>4</v>
      </c>
      <c r="N84">
        <f>YEAR(Table1[[#This Row],[Join_Date]])</f>
        <v>2021</v>
      </c>
      <c r="O84" s="1">
        <v>44302</v>
      </c>
      <c r="P84" s="1"/>
    </row>
    <row r="85" spans="1:16" x14ac:dyDescent="0.25">
      <c r="A85" t="s">
        <v>201</v>
      </c>
      <c r="B85" t="s">
        <v>202</v>
      </c>
      <c r="C85" t="s">
        <v>22</v>
      </c>
      <c r="D85" t="s">
        <v>23</v>
      </c>
      <c r="E85">
        <v>49</v>
      </c>
      <c r="F85" t="s">
        <v>42</v>
      </c>
      <c r="G85" t="s">
        <v>34</v>
      </c>
      <c r="H85" t="str" cm="1">
        <f t="array" ref="H85">_xlfn.IFS(I85&lt;30000,"Low",I85&lt;60000,"Medium",I85&lt;100000,"High",TRUE,"Premium")</f>
        <v>Premium</v>
      </c>
      <c r="I85" s="2">
        <v>154092</v>
      </c>
      <c r="J85" t="s">
        <v>30</v>
      </c>
      <c r="K85" t="str" cm="1">
        <f t="array" ref="K85">_xlfn.IFS(Table1[[#This Row],[tenure]]&lt;=2,"New",Table1[[#This Row],[tenure]]&lt;=5,"Emerging",Table1[[#This Row],[tenure]]&lt;=8,"Loyal",Table1[[#This Row],[tenure]]&lt;=10,"Legacy")</f>
        <v>Emerging</v>
      </c>
      <c r="L85" t="str">
        <f>TEXT(Table1[[#This Row],[Join_Date]],"mmm-yyyy")</f>
        <v>Apr-2021</v>
      </c>
      <c r="M85">
        <v>4</v>
      </c>
      <c r="N85">
        <f>YEAR(Table1[[#This Row],[Join_Date]])</f>
        <v>2021</v>
      </c>
      <c r="O85" s="1">
        <v>44288</v>
      </c>
      <c r="P85" s="1"/>
    </row>
    <row r="86" spans="1:16" x14ac:dyDescent="0.25">
      <c r="A86" t="s">
        <v>203</v>
      </c>
      <c r="B86" t="s">
        <v>204</v>
      </c>
      <c r="C86" t="s">
        <v>14</v>
      </c>
      <c r="D86" t="s">
        <v>54</v>
      </c>
      <c r="E86">
        <v>69</v>
      </c>
      <c r="F86" t="s">
        <v>42</v>
      </c>
      <c r="G86" t="s">
        <v>46</v>
      </c>
      <c r="H86" t="str" cm="1">
        <f t="array" ref="H86">_xlfn.IFS(I86&lt;30000,"Low",I86&lt;60000,"Medium",I86&lt;100000,"High",TRUE,"Premium")</f>
        <v>High</v>
      </c>
      <c r="I86" s="2">
        <v>61755</v>
      </c>
      <c r="J86" t="s">
        <v>18</v>
      </c>
      <c r="K86" t="str" cm="1">
        <f t="array" ref="K86">_xlfn.IFS(Table1[[#This Row],[tenure]]&lt;=2,"New",Table1[[#This Row],[tenure]]&lt;=5,"Emerging",Table1[[#This Row],[tenure]]&lt;=8,"Loyal",Table1[[#This Row],[tenure]]&lt;=10,"Legacy")</f>
        <v>Loyal</v>
      </c>
      <c r="L86" t="str">
        <f>TEXT(Table1[[#This Row],[Join_Date]],"mmm-yyyy")</f>
        <v>Jan-2020</v>
      </c>
      <c r="M86">
        <v>6</v>
      </c>
      <c r="N86">
        <f>YEAR(Table1[[#This Row],[Join_Date]])</f>
        <v>2020</v>
      </c>
      <c r="O86" s="1">
        <v>43838</v>
      </c>
      <c r="P86" s="1"/>
    </row>
    <row r="87" spans="1:16" x14ac:dyDescent="0.25">
      <c r="A87" t="s">
        <v>205</v>
      </c>
      <c r="B87" t="s">
        <v>206</v>
      </c>
      <c r="C87" t="s">
        <v>14</v>
      </c>
      <c r="D87" t="s">
        <v>23</v>
      </c>
      <c r="E87">
        <v>47</v>
      </c>
      <c r="F87" t="s">
        <v>16</v>
      </c>
      <c r="G87" t="s">
        <v>46</v>
      </c>
      <c r="H87" t="str" cm="1">
        <f t="array" ref="H87">_xlfn.IFS(I87&lt;30000,"Low",I87&lt;60000,"Medium",I87&lt;100000,"High",TRUE,"Premium")</f>
        <v>Premium</v>
      </c>
      <c r="I87" s="2">
        <v>105956</v>
      </c>
      <c r="J87" t="s">
        <v>18</v>
      </c>
      <c r="K87" t="str" cm="1">
        <f t="array" ref="K87">_xlfn.IFS(Table1[[#This Row],[tenure]]&lt;=2,"New",Table1[[#This Row],[tenure]]&lt;=5,"Emerging",Table1[[#This Row],[tenure]]&lt;=8,"Loyal",Table1[[#This Row],[tenure]]&lt;=10,"Legacy")</f>
        <v>Emerging</v>
      </c>
      <c r="L87" t="str">
        <f>TEXT(Table1[[#This Row],[Join_Date]],"mmm-yyyy")</f>
        <v>Mar-2021</v>
      </c>
      <c r="M87">
        <v>4</v>
      </c>
      <c r="N87">
        <f>YEAR(Table1[[#This Row],[Join_Date]])</f>
        <v>2021</v>
      </c>
      <c r="O87" s="1">
        <v>44285</v>
      </c>
      <c r="P87" s="1"/>
    </row>
    <row r="88" spans="1:16" x14ac:dyDescent="0.25">
      <c r="A88" t="s">
        <v>207</v>
      </c>
      <c r="B88" t="s">
        <v>208</v>
      </c>
      <c r="C88" t="s">
        <v>22</v>
      </c>
      <c r="D88" t="s">
        <v>54</v>
      </c>
      <c r="E88">
        <v>64</v>
      </c>
      <c r="F88" t="s">
        <v>42</v>
      </c>
      <c r="G88" t="s">
        <v>34</v>
      </c>
      <c r="H88" t="str" cm="1">
        <f t="array" ref="H88">_xlfn.IFS(I88&lt;30000,"Low",I88&lt;60000,"Medium",I88&lt;100000,"High",TRUE,"Premium")</f>
        <v>Premium</v>
      </c>
      <c r="I88" s="2">
        <v>106988</v>
      </c>
      <c r="J88" t="s">
        <v>18</v>
      </c>
      <c r="K88" t="str" cm="1">
        <f t="array" ref="K88">_xlfn.IFS(Table1[[#This Row],[tenure]]&lt;=2,"New",Table1[[#This Row],[tenure]]&lt;=5,"Emerging",Table1[[#This Row],[tenure]]&lt;=8,"Loyal",Table1[[#This Row],[tenure]]&lt;=10,"Legacy")</f>
        <v>New</v>
      </c>
      <c r="L88" t="str">
        <f>TEXT(Table1[[#This Row],[Join_Date]],"mmm-yyyy")</f>
        <v>Jun-2025</v>
      </c>
      <c r="M88">
        <v>0</v>
      </c>
      <c r="N88">
        <f>YEAR(Table1[[#This Row],[Join_Date]])</f>
        <v>2025</v>
      </c>
      <c r="O88" s="1">
        <v>45811</v>
      </c>
      <c r="P88" s="1"/>
    </row>
    <row r="89" spans="1:16" x14ac:dyDescent="0.25">
      <c r="A89" t="s">
        <v>209</v>
      </c>
      <c r="B89" t="s">
        <v>210</v>
      </c>
      <c r="C89" t="s">
        <v>14</v>
      </c>
      <c r="D89" t="s">
        <v>23</v>
      </c>
      <c r="E89">
        <v>52</v>
      </c>
      <c r="F89" t="s">
        <v>16</v>
      </c>
      <c r="G89" t="s">
        <v>51</v>
      </c>
      <c r="H89" t="str" cm="1">
        <f t="array" ref="H89">_xlfn.IFS(I89&lt;30000,"Low",I89&lt;60000,"Medium",I89&lt;100000,"High",TRUE,"Premium")</f>
        <v>High</v>
      </c>
      <c r="I89" s="2">
        <v>65648</v>
      </c>
      <c r="J89" t="s">
        <v>18</v>
      </c>
      <c r="K89" t="str" cm="1">
        <f t="array" ref="K89">_xlfn.IFS(Table1[[#This Row],[tenure]]&lt;=2,"New",Table1[[#This Row],[tenure]]&lt;=5,"Emerging",Table1[[#This Row],[tenure]]&lt;=8,"Loyal",Table1[[#This Row],[tenure]]&lt;=10,"Legacy")</f>
        <v>Loyal</v>
      </c>
      <c r="L89" t="str">
        <f>TEXT(Table1[[#This Row],[Join_Date]],"mmm-yyyy")</f>
        <v>Oct-2019</v>
      </c>
      <c r="M89">
        <v>6</v>
      </c>
      <c r="N89">
        <f>YEAR(Table1[[#This Row],[Join_Date]])</f>
        <v>2019</v>
      </c>
      <c r="O89" s="1">
        <v>43744</v>
      </c>
      <c r="P89" s="1"/>
    </row>
    <row r="90" spans="1:16" x14ac:dyDescent="0.25">
      <c r="A90" t="s">
        <v>211</v>
      </c>
      <c r="B90" t="s">
        <v>212</v>
      </c>
      <c r="C90" t="s">
        <v>22</v>
      </c>
      <c r="D90" t="s">
        <v>54</v>
      </c>
      <c r="E90">
        <v>72</v>
      </c>
      <c r="F90" t="s">
        <v>42</v>
      </c>
      <c r="G90" t="s">
        <v>17</v>
      </c>
      <c r="H90" t="str" cm="1">
        <f t="array" ref="H90">_xlfn.IFS(I90&lt;30000,"Low",I90&lt;60000,"Medium",I90&lt;100000,"High",TRUE,"Premium")</f>
        <v>Premium</v>
      </c>
      <c r="I90" s="2">
        <v>145991</v>
      </c>
      <c r="J90" t="s">
        <v>18</v>
      </c>
      <c r="K90" t="str" cm="1">
        <f t="array" ref="K90">_xlfn.IFS(Table1[[#This Row],[tenure]]&lt;=2,"New",Table1[[#This Row],[tenure]]&lt;=5,"Emerging",Table1[[#This Row],[tenure]]&lt;=8,"Loyal",Table1[[#This Row],[tenure]]&lt;=10,"Legacy")</f>
        <v>Emerging</v>
      </c>
      <c r="L90" t="str">
        <f>TEXT(Table1[[#This Row],[Join_Date]],"mmm-yyyy")</f>
        <v>Jan-2021</v>
      </c>
      <c r="M90">
        <v>5</v>
      </c>
      <c r="N90">
        <f>YEAR(Table1[[#This Row],[Join_Date]])</f>
        <v>2021</v>
      </c>
      <c r="O90" s="1">
        <v>44205</v>
      </c>
      <c r="P90" s="1"/>
    </row>
    <row r="91" spans="1:16" x14ac:dyDescent="0.25">
      <c r="A91" t="s">
        <v>213</v>
      </c>
      <c r="B91" t="s">
        <v>214</v>
      </c>
      <c r="C91" t="s">
        <v>22</v>
      </c>
      <c r="D91" t="s">
        <v>23</v>
      </c>
      <c r="E91">
        <v>57</v>
      </c>
      <c r="F91" t="s">
        <v>24</v>
      </c>
      <c r="G91" t="s">
        <v>39</v>
      </c>
      <c r="H91" t="str" cm="1">
        <f t="array" ref="H91">_xlfn.IFS(I91&lt;30000,"Low",I91&lt;60000,"Medium",I91&lt;100000,"High",TRUE,"Premium")</f>
        <v>Premium</v>
      </c>
      <c r="I91" s="2">
        <v>160588</v>
      </c>
      <c r="J91" t="s">
        <v>18</v>
      </c>
      <c r="K91" t="str" cm="1">
        <f t="array" ref="K91">_xlfn.IFS(Table1[[#This Row],[tenure]]&lt;=2,"New",Table1[[#This Row],[tenure]]&lt;=5,"Emerging",Table1[[#This Row],[tenure]]&lt;=8,"Loyal",Table1[[#This Row],[tenure]]&lt;=10,"Legacy")</f>
        <v>Legacy</v>
      </c>
      <c r="L91" t="str">
        <f>TEXT(Table1[[#This Row],[Join_Date]],"mmm-yyyy")</f>
        <v>Aug-2015</v>
      </c>
      <c r="M91">
        <v>10</v>
      </c>
      <c r="N91">
        <f>YEAR(Table1[[#This Row],[Join_Date]])</f>
        <v>2015</v>
      </c>
      <c r="O91" s="1">
        <v>42239</v>
      </c>
      <c r="P91" s="1"/>
    </row>
    <row r="92" spans="1:16" x14ac:dyDescent="0.25">
      <c r="A92" t="s">
        <v>215</v>
      </c>
      <c r="B92" t="s">
        <v>216</v>
      </c>
      <c r="C92" t="s">
        <v>22</v>
      </c>
      <c r="D92" t="s">
        <v>54</v>
      </c>
      <c r="E92">
        <v>69</v>
      </c>
      <c r="F92" t="s">
        <v>24</v>
      </c>
      <c r="G92" t="s">
        <v>29</v>
      </c>
      <c r="H92" t="str" cm="1">
        <f t="array" ref="H92">_xlfn.IFS(I92&lt;30000,"Low",I92&lt;60000,"Medium",I92&lt;100000,"High",TRUE,"Premium")</f>
        <v>Premium</v>
      </c>
      <c r="I92" s="2">
        <v>135005</v>
      </c>
      <c r="J92" t="s">
        <v>26</v>
      </c>
      <c r="K92" t="str" cm="1">
        <f t="array" ref="K92">_xlfn.IFS(Table1[[#This Row],[tenure]]&lt;=2,"New",Table1[[#This Row],[tenure]]&lt;=5,"Emerging",Table1[[#This Row],[tenure]]&lt;=8,"Loyal",Table1[[#This Row],[tenure]]&lt;=10,"Legacy")</f>
        <v>Emerging</v>
      </c>
      <c r="L92" t="str">
        <f>TEXT(Table1[[#This Row],[Join_Date]],"mmm-yyyy")</f>
        <v>Aug-2022</v>
      </c>
      <c r="M92">
        <v>3</v>
      </c>
      <c r="N92">
        <f>YEAR(Table1[[#This Row],[Join_Date]])</f>
        <v>2022</v>
      </c>
      <c r="O92" s="1">
        <v>44775</v>
      </c>
      <c r="P92" s="1"/>
    </row>
    <row r="93" spans="1:16" x14ac:dyDescent="0.25">
      <c r="A93" t="s">
        <v>217</v>
      </c>
      <c r="B93" t="s">
        <v>218</v>
      </c>
      <c r="C93" t="s">
        <v>22</v>
      </c>
      <c r="D93" t="s">
        <v>15</v>
      </c>
      <c r="E93">
        <v>33</v>
      </c>
      <c r="F93" t="s">
        <v>38</v>
      </c>
      <c r="G93" t="s">
        <v>25</v>
      </c>
      <c r="H93" t="str" cm="1">
        <f t="array" ref="H93">_xlfn.IFS(I93&lt;30000,"Low",I93&lt;60000,"Medium",I93&lt;100000,"High",TRUE,"Premium")</f>
        <v>Low</v>
      </c>
      <c r="I93" s="2">
        <v>22396</v>
      </c>
      <c r="J93" t="s">
        <v>18</v>
      </c>
      <c r="K93" t="str" cm="1">
        <f t="array" ref="K93">_xlfn.IFS(Table1[[#This Row],[tenure]]&lt;=2,"New",Table1[[#This Row],[tenure]]&lt;=5,"Emerging",Table1[[#This Row],[tenure]]&lt;=8,"Loyal",Table1[[#This Row],[tenure]]&lt;=10,"Legacy")</f>
        <v>Legacy</v>
      </c>
      <c r="L93" t="str">
        <f>TEXT(Table1[[#This Row],[Join_Date]],"mmm-yyyy")</f>
        <v>Jun-2016</v>
      </c>
      <c r="M93">
        <v>9</v>
      </c>
      <c r="N93">
        <f>YEAR(Table1[[#This Row],[Join_Date]])</f>
        <v>2016</v>
      </c>
      <c r="O93" s="1">
        <v>42531</v>
      </c>
      <c r="P93" s="1"/>
    </row>
    <row r="94" spans="1:16" x14ac:dyDescent="0.25">
      <c r="A94" t="s">
        <v>219</v>
      </c>
      <c r="B94" t="s">
        <v>220</v>
      </c>
      <c r="C94" t="s">
        <v>22</v>
      </c>
      <c r="D94" t="s">
        <v>15</v>
      </c>
      <c r="E94">
        <v>30</v>
      </c>
      <c r="F94" t="s">
        <v>24</v>
      </c>
      <c r="G94" t="s">
        <v>29</v>
      </c>
      <c r="H94" t="str" cm="1">
        <f t="array" ref="H94">_xlfn.IFS(I94&lt;30000,"Low",I94&lt;60000,"Medium",I94&lt;100000,"High",TRUE,"Premium")</f>
        <v>Premium</v>
      </c>
      <c r="I94" s="2">
        <v>104082</v>
      </c>
      <c r="J94" t="s">
        <v>18</v>
      </c>
      <c r="K94" t="str" cm="1">
        <f t="array" ref="K94">_xlfn.IFS(Table1[[#This Row],[tenure]]&lt;=2,"New",Table1[[#This Row],[tenure]]&lt;=5,"Emerging",Table1[[#This Row],[tenure]]&lt;=8,"Loyal",Table1[[#This Row],[tenure]]&lt;=10,"Legacy")</f>
        <v>Loyal</v>
      </c>
      <c r="L94" t="str">
        <f>TEXT(Table1[[#This Row],[Join_Date]],"mmm-yyyy")</f>
        <v>Jan-2018</v>
      </c>
      <c r="M94">
        <v>8</v>
      </c>
      <c r="N94">
        <f>YEAR(Table1[[#This Row],[Join_Date]])</f>
        <v>2018</v>
      </c>
      <c r="O94" s="1">
        <v>43102</v>
      </c>
      <c r="P94" s="1"/>
    </row>
    <row r="95" spans="1:16" x14ac:dyDescent="0.25">
      <c r="A95" t="s">
        <v>221</v>
      </c>
      <c r="B95" t="s">
        <v>222</v>
      </c>
      <c r="C95" t="s">
        <v>22</v>
      </c>
      <c r="D95" t="s">
        <v>54</v>
      </c>
      <c r="E95">
        <v>67</v>
      </c>
      <c r="F95" t="s">
        <v>24</v>
      </c>
      <c r="G95" t="s">
        <v>34</v>
      </c>
      <c r="H95" t="str" cm="1">
        <f t="array" ref="H95">_xlfn.IFS(I95&lt;30000,"Low",I95&lt;60000,"Medium",I95&lt;100000,"High",TRUE,"Premium")</f>
        <v>Premium</v>
      </c>
      <c r="I95" s="2">
        <v>170201</v>
      </c>
      <c r="J95" t="s">
        <v>26</v>
      </c>
      <c r="K95" t="str" cm="1">
        <f t="array" ref="K95">_xlfn.IFS(Table1[[#This Row],[tenure]]&lt;=2,"New",Table1[[#This Row],[tenure]]&lt;=5,"Emerging",Table1[[#This Row],[tenure]]&lt;=8,"Loyal",Table1[[#This Row],[tenure]]&lt;=10,"Legacy")</f>
        <v>New</v>
      </c>
      <c r="L95" t="str">
        <f>TEXT(Table1[[#This Row],[Join_Date]],"mmm-yyyy")</f>
        <v>Nov-2023</v>
      </c>
      <c r="M95">
        <v>2</v>
      </c>
      <c r="N95">
        <f>YEAR(Table1[[#This Row],[Join_Date]])</f>
        <v>2023</v>
      </c>
      <c r="O95" s="1">
        <v>45234</v>
      </c>
      <c r="P95" s="1"/>
    </row>
    <row r="96" spans="1:16" x14ac:dyDescent="0.25">
      <c r="A96" t="s">
        <v>223</v>
      </c>
      <c r="B96" t="s">
        <v>224</v>
      </c>
      <c r="C96" t="s">
        <v>22</v>
      </c>
      <c r="D96" t="s">
        <v>23</v>
      </c>
      <c r="E96">
        <v>59</v>
      </c>
      <c r="F96" t="s">
        <v>24</v>
      </c>
      <c r="G96" t="s">
        <v>46</v>
      </c>
      <c r="H96" t="str" cm="1">
        <f t="array" ref="H96">_xlfn.IFS(I96&lt;30000,"Low",I96&lt;60000,"Medium",I96&lt;100000,"High",TRUE,"Premium")</f>
        <v>Premium</v>
      </c>
      <c r="I96" s="2">
        <v>148322</v>
      </c>
      <c r="J96" t="s">
        <v>26</v>
      </c>
      <c r="K96" t="str" cm="1">
        <f t="array" ref="K96">_xlfn.IFS(Table1[[#This Row],[tenure]]&lt;=2,"New",Table1[[#This Row],[tenure]]&lt;=5,"Emerging",Table1[[#This Row],[tenure]]&lt;=8,"Loyal",Table1[[#This Row],[tenure]]&lt;=10,"Legacy")</f>
        <v>Emerging</v>
      </c>
      <c r="L96" t="str">
        <f>TEXT(Table1[[#This Row],[Join_Date]],"mmm-yyyy")</f>
        <v>Jul-2021</v>
      </c>
      <c r="M96">
        <v>4</v>
      </c>
      <c r="N96">
        <f>YEAR(Table1[[#This Row],[Join_Date]])</f>
        <v>2021</v>
      </c>
      <c r="O96" s="1">
        <v>44381</v>
      </c>
      <c r="P96" s="1"/>
    </row>
    <row r="97" spans="1:16" x14ac:dyDescent="0.25">
      <c r="A97" t="s">
        <v>225</v>
      </c>
      <c r="B97" t="s">
        <v>226</v>
      </c>
      <c r="C97" t="s">
        <v>22</v>
      </c>
      <c r="D97" t="s">
        <v>23</v>
      </c>
      <c r="E97">
        <v>47</v>
      </c>
      <c r="F97" t="s">
        <v>16</v>
      </c>
      <c r="G97" t="s">
        <v>51</v>
      </c>
      <c r="H97" t="str" cm="1">
        <f t="array" ref="H97">_xlfn.IFS(I97&lt;30000,"Low",I97&lt;60000,"Medium",I97&lt;100000,"High",TRUE,"Premium")</f>
        <v>Premium</v>
      </c>
      <c r="I97" s="2">
        <v>152663</v>
      </c>
      <c r="J97" t="s">
        <v>18</v>
      </c>
      <c r="K97" t="str" cm="1">
        <f t="array" ref="K97">_xlfn.IFS(Table1[[#This Row],[tenure]]&lt;=2,"New",Table1[[#This Row],[tenure]]&lt;=5,"Emerging",Table1[[#This Row],[tenure]]&lt;=8,"Loyal",Table1[[#This Row],[tenure]]&lt;=10,"Legacy")</f>
        <v>Loyal</v>
      </c>
      <c r="L97" t="str">
        <f>TEXT(Table1[[#This Row],[Join_Date]],"mmm-yyyy")</f>
        <v>Aug-2017</v>
      </c>
      <c r="M97">
        <v>8</v>
      </c>
      <c r="N97">
        <f>YEAR(Table1[[#This Row],[Join_Date]])</f>
        <v>2017</v>
      </c>
      <c r="O97" s="1">
        <v>42976</v>
      </c>
      <c r="P97" s="1"/>
    </row>
    <row r="98" spans="1:16" x14ac:dyDescent="0.25">
      <c r="A98" t="s">
        <v>227</v>
      </c>
      <c r="B98" t="s">
        <v>228</v>
      </c>
      <c r="C98" t="s">
        <v>22</v>
      </c>
      <c r="D98" t="s">
        <v>15</v>
      </c>
      <c r="E98">
        <v>36</v>
      </c>
      <c r="F98" t="s">
        <v>24</v>
      </c>
      <c r="G98" t="s">
        <v>46</v>
      </c>
      <c r="H98" t="str" cm="1">
        <f t="array" ref="H98">_xlfn.IFS(I98&lt;30000,"Low",I98&lt;60000,"Medium",I98&lt;100000,"High",TRUE,"Premium")</f>
        <v>Medium</v>
      </c>
      <c r="I98" s="2">
        <v>31303</v>
      </c>
      <c r="J98" t="s">
        <v>18</v>
      </c>
      <c r="K98" t="str" cm="1">
        <f t="array" ref="K98">_xlfn.IFS(Table1[[#This Row],[tenure]]&lt;=2,"New",Table1[[#This Row],[tenure]]&lt;=5,"Emerging",Table1[[#This Row],[tenure]]&lt;=8,"Loyal",Table1[[#This Row],[tenure]]&lt;=10,"Legacy")</f>
        <v>Loyal</v>
      </c>
      <c r="L98" t="str">
        <f>TEXT(Table1[[#This Row],[Join_Date]],"mmm-yyyy")</f>
        <v>Dec-2017</v>
      </c>
      <c r="M98">
        <v>8</v>
      </c>
      <c r="N98">
        <f>YEAR(Table1[[#This Row],[Join_Date]])</f>
        <v>2017</v>
      </c>
      <c r="O98" s="1">
        <v>43091</v>
      </c>
      <c r="P98" s="1"/>
    </row>
    <row r="99" spans="1:16" x14ac:dyDescent="0.25">
      <c r="A99" t="s">
        <v>229</v>
      </c>
      <c r="B99" t="s">
        <v>230</v>
      </c>
      <c r="C99" t="s">
        <v>22</v>
      </c>
      <c r="D99" t="s">
        <v>15</v>
      </c>
      <c r="E99">
        <v>34</v>
      </c>
      <c r="F99" t="s">
        <v>24</v>
      </c>
      <c r="G99" t="s">
        <v>25</v>
      </c>
      <c r="H99" t="str" cm="1">
        <f t="array" ref="H99">_xlfn.IFS(I99&lt;30000,"Low",I99&lt;60000,"Medium",I99&lt;100000,"High",TRUE,"Premium")</f>
        <v>Premium</v>
      </c>
      <c r="I99" s="2">
        <v>181633</v>
      </c>
      <c r="J99" t="s">
        <v>18</v>
      </c>
      <c r="K99" t="str" cm="1">
        <f t="array" ref="K99">_xlfn.IFS(Table1[[#This Row],[tenure]]&lt;=2,"New",Table1[[#This Row],[tenure]]&lt;=5,"Emerging",Table1[[#This Row],[tenure]]&lt;=8,"Loyal",Table1[[#This Row],[tenure]]&lt;=10,"Legacy")</f>
        <v>New</v>
      </c>
      <c r="L99" t="str">
        <f>TEXT(Table1[[#This Row],[Join_Date]],"mmm-yyyy")</f>
        <v>Jun-2023</v>
      </c>
      <c r="M99">
        <v>2</v>
      </c>
      <c r="N99">
        <f>YEAR(Table1[[#This Row],[Join_Date]])</f>
        <v>2023</v>
      </c>
      <c r="O99" s="1">
        <v>45099</v>
      </c>
      <c r="P99" s="1"/>
    </row>
    <row r="100" spans="1:16" x14ac:dyDescent="0.25">
      <c r="A100" t="s">
        <v>231</v>
      </c>
      <c r="B100" t="s">
        <v>232</v>
      </c>
      <c r="C100" t="s">
        <v>22</v>
      </c>
      <c r="D100" t="s">
        <v>54</v>
      </c>
      <c r="E100">
        <v>73</v>
      </c>
      <c r="F100" t="s">
        <v>38</v>
      </c>
      <c r="G100" t="s">
        <v>46</v>
      </c>
      <c r="H100" t="str" cm="1">
        <f t="array" ref="H100">_xlfn.IFS(I100&lt;30000,"Low",I100&lt;60000,"Medium",I100&lt;100000,"High",TRUE,"Premium")</f>
        <v>High</v>
      </c>
      <c r="I100" s="2">
        <v>91719</v>
      </c>
      <c r="J100" t="s">
        <v>18</v>
      </c>
      <c r="K100" t="str" cm="1">
        <f t="array" ref="K100">_xlfn.IFS(Table1[[#This Row],[tenure]]&lt;=2,"New",Table1[[#This Row],[tenure]]&lt;=5,"Emerging",Table1[[#This Row],[tenure]]&lt;=8,"Loyal",Table1[[#This Row],[tenure]]&lt;=10,"Legacy")</f>
        <v>Emerging</v>
      </c>
      <c r="L100" t="str">
        <f>TEXT(Table1[[#This Row],[Join_Date]],"mmm-yyyy")</f>
        <v>Nov-2020</v>
      </c>
      <c r="M100">
        <v>5</v>
      </c>
      <c r="N100">
        <f>YEAR(Table1[[#This Row],[Join_Date]])</f>
        <v>2020</v>
      </c>
      <c r="O100" s="1">
        <v>44154</v>
      </c>
      <c r="P100" s="1"/>
    </row>
    <row r="101" spans="1:16" x14ac:dyDescent="0.25">
      <c r="A101" t="s">
        <v>233</v>
      </c>
      <c r="B101" t="s">
        <v>234</v>
      </c>
      <c r="C101" t="s">
        <v>14</v>
      </c>
      <c r="D101" t="s">
        <v>15</v>
      </c>
      <c r="E101">
        <v>36</v>
      </c>
      <c r="F101" t="s">
        <v>24</v>
      </c>
      <c r="G101" t="s">
        <v>46</v>
      </c>
      <c r="H101" t="str" cm="1">
        <f t="array" ref="H101">_xlfn.IFS(I101&lt;30000,"Low",I101&lt;60000,"Medium",I101&lt;100000,"High",TRUE,"Premium")</f>
        <v>Premium</v>
      </c>
      <c r="I101" s="2">
        <v>119616</v>
      </c>
      <c r="J101" t="s">
        <v>26</v>
      </c>
      <c r="K101" t="str" cm="1">
        <f t="array" ref="K101">_xlfn.IFS(Table1[[#This Row],[tenure]]&lt;=2,"New",Table1[[#This Row],[tenure]]&lt;=5,"Emerging",Table1[[#This Row],[tenure]]&lt;=8,"Loyal",Table1[[#This Row],[tenure]]&lt;=10,"Legacy")</f>
        <v>Emerging</v>
      </c>
      <c r="L101" t="str">
        <f>TEXT(Table1[[#This Row],[Join_Date]],"mmm-yyyy")</f>
        <v>Jan-2023</v>
      </c>
      <c r="M101">
        <v>3</v>
      </c>
      <c r="N101">
        <f>YEAR(Table1[[#This Row],[Join_Date]])</f>
        <v>2023</v>
      </c>
      <c r="O101" s="1">
        <v>44942</v>
      </c>
      <c r="P101" s="1"/>
    </row>
    <row r="102" spans="1:16" x14ac:dyDescent="0.25">
      <c r="A102" t="s">
        <v>235</v>
      </c>
      <c r="B102" t="s">
        <v>236</v>
      </c>
      <c r="C102" t="s">
        <v>14</v>
      </c>
      <c r="D102" t="s">
        <v>23</v>
      </c>
      <c r="E102">
        <v>45</v>
      </c>
      <c r="F102" t="s">
        <v>24</v>
      </c>
      <c r="G102" t="s">
        <v>25</v>
      </c>
      <c r="H102" t="str" cm="1">
        <f t="array" ref="H102">_xlfn.IFS(I102&lt;30000,"Low",I102&lt;60000,"Medium",I102&lt;100000,"High",TRUE,"Premium")</f>
        <v>Premium</v>
      </c>
      <c r="I102" s="2">
        <v>144165</v>
      </c>
      <c r="J102" t="s">
        <v>18</v>
      </c>
      <c r="K102" t="str" cm="1">
        <f t="array" ref="K102">_xlfn.IFS(Table1[[#This Row],[tenure]]&lt;=2,"New",Table1[[#This Row],[tenure]]&lt;=5,"Emerging",Table1[[#This Row],[tenure]]&lt;=8,"Loyal",Table1[[#This Row],[tenure]]&lt;=10,"Legacy")</f>
        <v>Emerging</v>
      </c>
      <c r="L102" t="str">
        <f>TEXT(Table1[[#This Row],[Join_Date]],"mmm-yyyy")</f>
        <v>Jul-2020</v>
      </c>
      <c r="M102">
        <v>5</v>
      </c>
      <c r="N102">
        <f>YEAR(Table1[[#This Row],[Join_Date]])</f>
        <v>2020</v>
      </c>
      <c r="O102" s="1">
        <v>44018</v>
      </c>
      <c r="P102" s="1"/>
    </row>
    <row r="103" spans="1:16" x14ac:dyDescent="0.25">
      <c r="A103" t="s">
        <v>237</v>
      </c>
      <c r="B103" t="s">
        <v>238</v>
      </c>
      <c r="C103" t="s">
        <v>22</v>
      </c>
      <c r="D103" t="s">
        <v>54</v>
      </c>
      <c r="E103">
        <v>72</v>
      </c>
      <c r="F103" t="s">
        <v>42</v>
      </c>
      <c r="G103" t="s">
        <v>39</v>
      </c>
      <c r="H103" t="str" cm="1">
        <f t="array" ref="H103">_xlfn.IFS(I103&lt;30000,"Low",I103&lt;60000,"Medium",I103&lt;100000,"High",TRUE,"Premium")</f>
        <v>Premium</v>
      </c>
      <c r="I103" s="2">
        <v>106231</v>
      </c>
      <c r="J103" t="s">
        <v>18</v>
      </c>
      <c r="K103" t="str" cm="1">
        <f t="array" ref="K103">_xlfn.IFS(Table1[[#This Row],[tenure]]&lt;=2,"New",Table1[[#This Row],[tenure]]&lt;=5,"Emerging",Table1[[#This Row],[tenure]]&lt;=8,"Loyal",Table1[[#This Row],[tenure]]&lt;=10,"Legacy")</f>
        <v>Emerging</v>
      </c>
      <c r="L103" t="str">
        <f>TEXT(Table1[[#This Row],[Join_Date]],"mmm-yyyy")</f>
        <v>Dec-2021</v>
      </c>
      <c r="M103">
        <v>4</v>
      </c>
      <c r="N103">
        <f>YEAR(Table1[[#This Row],[Join_Date]])</f>
        <v>2021</v>
      </c>
      <c r="O103" s="1">
        <v>44560</v>
      </c>
      <c r="P103" s="1"/>
    </row>
    <row r="104" spans="1:16" x14ac:dyDescent="0.25">
      <c r="A104" t="s">
        <v>239</v>
      </c>
      <c r="B104" t="s">
        <v>240</v>
      </c>
      <c r="C104" t="s">
        <v>22</v>
      </c>
      <c r="D104" t="s">
        <v>15</v>
      </c>
      <c r="E104">
        <v>43</v>
      </c>
      <c r="F104" t="s">
        <v>38</v>
      </c>
      <c r="G104" t="s">
        <v>39</v>
      </c>
      <c r="H104" t="str" cm="1">
        <f t="array" ref="H104">_xlfn.IFS(I104&lt;30000,"Low",I104&lt;60000,"Medium",I104&lt;100000,"High",TRUE,"Premium")</f>
        <v>Low</v>
      </c>
      <c r="I104" s="2">
        <v>27314</v>
      </c>
      <c r="J104" t="s">
        <v>26</v>
      </c>
      <c r="K104" t="str" cm="1">
        <f t="array" ref="K104">_xlfn.IFS(Table1[[#This Row],[tenure]]&lt;=2,"New",Table1[[#This Row],[tenure]]&lt;=5,"Emerging",Table1[[#This Row],[tenure]]&lt;=8,"Loyal",Table1[[#This Row],[tenure]]&lt;=10,"Legacy")</f>
        <v>Emerging</v>
      </c>
      <c r="L104" t="str">
        <f>TEXT(Table1[[#This Row],[Join_Date]],"mmm-yyyy")</f>
        <v>May-2022</v>
      </c>
      <c r="M104">
        <v>3</v>
      </c>
      <c r="N104">
        <f>YEAR(Table1[[#This Row],[Join_Date]])</f>
        <v>2022</v>
      </c>
      <c r="O104" s="1">
        <v>44706</v>
      </c>
      <c r="P104" s="1"/>
    </row>
    <row r="105" spans="1:16" x14ac:dyDescent="0.25">
      <c r="A105" t="s">
        <v>241</v>
      </c>
      <c r="B105" t="s">
        <v>242</v>
      </c>
      <c r="C105" t="s">
        <v>22</v>
      </c>
      <c r="D105" t="s">
        <v>23</v>
      </c>
      <c r="E105">
        <v>54</v>
      </c>
      <c r="F105" t="s">
        <v>38</v>
      </c>
      <c r="G105" t="s">
        <v>25</v>
      </c>
      <c r="H105" t="str" cm="1">
        <f t="array" ref="H105">_xlfn.IFS(I105&lt;30000,"Low",I105&lt;60000,"Medium",I105&lt;100000,"High",TRUE,"Premium")</f>
        <v>Medium</v>
      </c>
      <c r="I105" s="2">
        <v>39623</v>
      </c>
      <c r="J105" t="s">
        <v>18</v>
      </c>
      <c r="K105" t="str" cm="1">
        <f t="array" ref="K105">_xlfn.IFS(Table1[[#This Row],[tenure]]&lt;=2,"New",Table1[[#This Row],[tenure]]&lt;=5,"Emerging",Table1[[#This Row],[tenure]]&lt;=8,"Loyal",Table1[[#This Row],[tenure]]&lt;=10,"Legacy")</f>
        <v>Legacy</v>
      </c>
      <c r="L105" t="str">
        <f>TEXT(Table1[[#This Row],[Join_Date]],"mmm-yyyy")</f>
        <v>Oct-2016</v>
      </c>
      <c r="M105">
        <v>9</v>
      </c>
      <c r="N105">
        <f>YEAR(Table1[[#This Row],[Join_Date]])</f>
        <v>2016</v>
      </c>
      <c r="O105" s="1">
        <v>42645</v>
      </c>
      <c r="P105" s="1"/>
    </row>
    <row r="106" spans="1:16" x14ac:dyDescent="0.25">
      <c r="A106" t="s">
        <v>243</v>
      </c>
      <c r="B106" t="s">
        <v>244</v>
      </c>
      <c r="C106" t="s">
        <v>22</v>
      </c>
      <c r="D106" t="s">
        <v>15</v>
      </c>
      <c r="E106">
        <v>43</v>
      </c>
      <c r="F106" t="s">
        <v>38</v>
      </c>
      <c r="G106" t="s">
        <v>51</v>
      </c>
      <c r="H106" t="str" cm="1">
        <f t="array" ref="H106">_xlfn.IFS(I106&lt;30000,"Low",I106&lt;60000,"Medium",I106&lt;100000,"High",TRUE,"Premium")</f>
        <v>Premium</v>
      </c>
      <c r="I106" s="2">
        <v>125228</v>
      </c>
      <c r="J106" t="s">
        <v>18</v>
      </c>
      <c r="K106" t="str" cm="1">
        <f t="array" ref="K106">_xlfn.IFS(Table1[[#This Row],[tenure]]&lt;=2,"New",Table1[[#This Row],[tenure]]&lt;=5,"Emerging",Table1[[#This Row],[tenure]]&lt;=8,"Loyal",Table1[[#This Row],[tenure]]&lt;=10,"Legacy")</f>
        <v>New</v>
      </c>
      <c r="L106" t="str">
        <f>TEXT(Table1[[#This Row],[Join_Date]],"mmm-yyyy")</f>
        <v>Apr-2025</v>
      </c>
      <c r="M106">
        <v>0</v>
      </c>
      <c r="N106">
        <f>YEAR(Table1[[#This Row],[Join_Date]])</f>
        <v>2025</v>
      </c>
      <c r="O106" s="1">
        <v>45748</v>
      </c>
      <c r="P106" s="1"/>
    </row>
    <row r="107" spans="1:16" x14ac:dyDescent="0.25">
      <c r="A107" t="s">
        <v>245</v>
      </c>
      <c r="B107" t="s">
        <v>246</v>
      </c>
      <c r="C107" t="s">
        <v>22</v>
      </c>
      <c r="D107" t="s">
        <v>54</v>
      </c>
      <c r="E107">
        <v>70</v>
      </c>
      <c r="F107" t="s">
        <v>38</v>
      </c>
      <c r="G107" t="s">
        <v>34</v>
      </c>
      <c r="H107" t="str" cm="1">
        <f t="array" ref="H107">_xlfn.IFS(I107&lt;30000,"Low",I107&lt;60000,"Medium",I107&lt;100000,"High",TRUE,"Premium")</f>
        <v>Premium</v>
      </c>
      <c r="I107" s="2">
        <v>184202</v>
      </c>
      <c r="J107" t="s">
        <v>18</v>
      </c>
      <c r="K107" t="str" cm="1">
        <f t="array" ref="K107">_xlfn.IFS(Table1[[#This Row],[tenure]]&lt;=2,"New",Table1[[#This Row],[tenure]]&lt;=5,"Emerging",Table1[[#This Row],[tenure]]&lt;=8,"Loyal",Table1[[#This Row],[tenure]]&lt;=10,"Legacy")</f>
        <v>Loyal</v>
      </c>
      <c r="L107" t="str">
        <f>TEXT(Table1[[#This Row],[Join_Date]],"mmm-yyyy")</f>
        <v>Jul-2017</v>
      </c>
      <c r="M107">
        <v>8</v>
      </c>
      <c r="N107">
        <f>YEAR(Table1[[#This Row],[Join_Date]])</f>
        <v>2017</v>
      </c>
      <c r="O107" s="1">
        <v>42940</v>
      </c>
      <c r="P107" s="1"/>
    </row>
    <row r="108" spans="1:16" x14ac:dyDescent="0.25">
      <c r="A108" t="s">
        <v>247</v>
      </c>
      <c r="B108" t="s">
        <v>248</v>
      </c>
      <c r="C108" t="s">
        <v>22</v>
      </c>
      <c r="D108" t="s">
        <v>15</v>
      </c>
      <c r="E108">
        <v>40</v>
      </c>
      <c r="F108" t="s">
        <v>38</v>
      </c>
      <c r="G108" t="s">
        <v>46</v>
      </c>
      <c r="H108" t="str" cm="1">
        <f t="array" ref="H108">_xlfn.IFS(I108&lt;30000,"Low",I108&lt;60000,"Medium",I108&lt;100000,"High",TRUE,"Premium")</f>
        <v>Premium</v>
      </c>
      <c r="I108" s="2">
        <v>117624</v>
      </c>
      <c r="J108" t="s">
        <v>30</v>
      </c>
      <c r="K108" t="str" cm="1">
        <f t="array" ref="K108">_xlfn.IFS(Table1[[#This Row],[tenure]]&lt;=2,"New",Table1[[#This Row],[tenure]]&lt;=5,"Emerging",Table1[[#This Row],[tenure]]&lt;=8,"Loyal",Table1[[#This Row],[tenure]]&lt;=10,"Legacy")</f>
        <v>New</v>
      </c>
      <c r="L108" t="str">
        <f>TEXT(Table1[[#This Row],[Join_Date]],"mmm-yyyy")</f>
        <v>Mar-2025</v>
      </c>
      <c r="M108">
        <v>1</v>
      </c>
      <c r="N108">
        <f>YEAR(Table1[[#This Row],[Join_Date]])</f>
        <v>2025</v>
      </c>
      <c r="O108" s="1">
        <v>45720</v>
      </c>
      <c r="P108" s="1"/>
    </row>
    <row r="109" spans="1:16" x14ac:dyDescent="0.25">
      <c r="A109" t="s">
        <v>249</v>
      </c>
      <c r="B109" t="s">
        <v>250</v>
      </c>
      <c r="C109" t="s">
        <v>22</v>
      </c>
      <c r="D109" t="s">
        <v>37</v>
      </c>
      <c r="E109">
        <v>26</v>
      </c>
      <c r="F109" t="s">
        <v>38</v>
      </c>
      <c r="G109" t="s">
        <v>51</v>
      </c>
      <c r="H109" t="str" cm="1">
        <f t="array" ref="H109">_xlfn.IFS(I109&lt;30000,"Low",I109&lt;60000,"Medium",I109&lt;100000,"High",TRUE,"Premium")</f>
        <v>Premium</v>
      </c>
      <c r="I109" s="2">
        <v>177364</v>
      </c>
      <c r="J109" t="s">
        <v>18</v>
      </c>
      <c r="K109" t="str" cm="1">
        <f t="array" ref="K109">_xlfn.IFS(Table1[[#This Row],[tenure]]&lt;=2,"New",Table1[[#This Row],[tenure]]&lt;=5,"Emerging",Table1[[#This Row],[tenure]]&lt;=8,"Loyal",Table1[[#This Row],[tenure]]&lt;=10,"Legacy")</f>
        <v>Emerging</v>
      </c>
      <c r="L109" t="str">
        <f>TEXT(Table1[[#This Row],[Join_Date]],"mmm-yyyy")</f>
        <v>Jan-2021</v>
      </c>
      <c r="M109">
        <v>5</v>
      </c>
      <c r="N109">
        <f>YEAR(Table1[[#This Row],[Join_Date]])</f>
        <v>2021</v>
      </c>
      <c r="O109" s="1">
        <v>44224</v>
      </c>
      <c r="P109" s="1"/>
    </row>
    <row r="110" spans="1:16" x14ac:dyDescent="0.25">
      <c r="A110" t="s">
        <v>251</v>
      </c>
      <c r="B110" t="s">
        <v>252</v>
      </c>
      <c r="C110" t="s">
        <v>22</v>
      </c>
      <c r="D110" t="s">
        <v>15</v>
      </c>
      <c r="E110">
        <v>29</v>
      </c>
      <c r="F110" t="s">
        <v>16</v>
      </c>
      <c r="G110" t="s">
        <v>46</v>
      </c>
      <c r="H110" t="str" cm="1">
        <f t="array" ref="H110">_xlfn.IFS(I110&lt;30000,"Low",I110&lt;60000,"Medium",I110&lt;100000,"High",TRUE,"Premium")</f>
        <v>Premium</v>
      </c>
      <c r="I110" s="2">
        <v>131785</v>
      </c>
      <c r="J110" t="s">
        <v>26</v>
      </c>
      <c r="K110" t="str" cm="1">
        <f t="array" ref="K110">_xlfn.IFS(Table1[[#This Row],[tenure]]&lt;=2,"New",Table1[[#This Row],[tenure]]&lt;=5,"Emerging",Table1[[#This Row],[tenure]]&lt;=8,"Loyal",Table1[[#This Row],[tenure]]&lt;=10,"Legacy")</f>
        <v>Emerging</v>
      </c>
      <c r="L110" t="str">
        <f>TEXT(Table1[[#This Row],[Join_Date]],"mmm-yyyy")</f>
        <v>Sep-2020</v>
      </c>
      <c r="M110">
        <v>5</v>
      </c>
      <c r="N110">
        <f>YEAR(Table1[[#This Row],[Join_Date]])</f>
        <v>2020</v>
      </c>
      <c r="O110" s="1">
        <v>44077</v>
      </c>
      <c r="P110" s="1"/>
    </row>
    <row r="111" spans="1:16" x14ac:dyDescent="0.25">
      <c r="A111" t="s">
        <v>253</v>
      </c>
      <c r="B111" t="s">
        <v>254</v>
      </c>
      <c r="C111" t="s">
        <v>14</v>
      </c>
      <c r="D111" t="s">
        <v>54</v>
      </c>
      <c r="E111">
        <v>70</v>
      </c>
      <c r="F111" t="s">
        <v>24</v>
      </c>
      <c r="G111" t="s">
        <v>34</v>
      </c>
      <c r="H111" t="str" cm="1">
        <f t="array" ref="H111">_xlfn.IFS(I111&lt;30000,"Low",I111&lt;60000,"Medium",I111&lt;100000,"High",TRUE,"Premium")</f>
        <v>Premium</v>
      </c>
      <c r="I111" s="2">
        <v>106206</v>
      </c>
      <c r="J111" t="s">
        <v>18</v>
      </c>
      <c r="K111" t="str" cm="1">
        <f t="array" ref="K111">_xlfn.IFS(Table1[[#This Row],[tenure]]&lt;=2,"New",Table1[[#This Row],[tenure]]&lt;=5,"Emerging",Table1[[#This Row],[tenure]]&lt;=8,"Loyal",Table1[[#This Row],[tenure]]&lt;=10,"Legacy")</f>
        <v>Loyal</v>
      </c>
      <c r="L111" t="str">
        <f>TEXT(Table1[[#This Row],[Join_Date]],"mmm-yyyy")</f>
        <v>Jun-2018</v>
      </c>
      <c r="M111">
        <v>7</v>
      </c>
      <c r="N111">
        <f>YEAR(Table1[[#This Row],[Join_Date]])</f>
        <v>2018</v>
      </c>
      <c r="O111" s="1">
        <v>43256</v>
      </c>
      <c r="P111" s="1"/>
    </row>
    <row r="112" spans="1:16" x14ac:dyDescent="0.25">
      <c r="A112" t="s">
        <v>255</v>
      </c>
      <c r="B112" t="s">
        <v>256</v>
      </c>
      <c r="C112" t="s">
        <v>22</v>
      </c>
      <c r="D112" t="s">
        <v>37</v>
      </c>
      <c r="E112">
        <v>18</v>
      </c>
      <c r="F112" t="s">
        <v>38</v>
      </c>
      <c r="G112" t="s">
        <v>39</v>
      </c>
      <c r="H112" t="str" cm="1">
        <f t="array" ref="H112">_xlfn.IFS(I112&lt;30000,"Low",I112&lt;60000,"Medium",I112&lt;100000,"High",TRUE,"Premium")</f>
        <v>High</v>
      </c>
      <c r="I112" s="2">
        <v>89274</v>
      </c>
      <c r="J112" t="s">
        <v>18</v>
      </c>
      <c r="K112" t="str" cm="1">
        <f t="array" ref="K112">_xlfn.IFS(Table1[[#This Row],[tenure]]&lt;=2,"New",Table1[[#This Row],[tenure]]&lt;=5,"Emerging",Table1[[#This Row],[tenure]]&lt;=8,"Loyal",Table1[[#This Row],[tenure]]&lt;=10,"Legacy")</f>
        <v>Loyal</v>
      </c>
      <c r="L112" t="str">
        <f>TEXT(Table1[[#This Row],[Join_Date]],"mmm-yyyy")</f>
        <v>Jul-2019</v>
      </c>
      <c r="M112">
        <v>6</v>
      </c>
      <c r="N112">
        <f>YEAR(Table1[[#This Row],[Join_Date]])</f>
        <v>2019</v>
      </c>
      <c r="O112" s="1">
        <v>43657</v>
      </c>
      <c r="P112" s="1"/>
    </row>
    <row r="113" spans="1:16" x14ac:dyDescent="0.25">
      <c r="A113" t="s">
        <v>257</v>
      </c>
      <c r="B113" t="s">
        <v>258</v>
      </c>
      <c r="C113" t="s">
        <v>14</v>
      </c>
      <c r="D113" t="s">
        <v>37</v>
      </c>
      <c r="E113">
        <v>18</v>
      </c>
      <c r="F113" t="s">
        <v>24</v>
      </c>
      <c r="G113" t="s">
        <v>51</v>
      </c>
      <c r="H113" t="str" cm="1">
        <f t="array" ref="H113">_xlfn.IFS(I113&lt;30000,"Low",I113&lt;60000,"Medium",I113&lt;100000,"High",TRUE,"Premium")</f>
        <v>Premium</v>
      </c>
      <c r="I113" s="2">
        <v>153541</v>
      </c>
      <c r="J113" t="s">
        <v>26</v>
      </c>
      <c r="K113" t="str" cm="1">
        <f t="array" ref="K113">_xlfn.IFS(Table1[[#This Row],[tenure]]&lt;=2,"New",Table1[[#This Row],[tenure]]&lt;=5,"Emerging",Table1[[#This Row],[tenure]]&lt;=8,"Loyal",Table1[[#This Row],[tenure]]&lt;=10,"Legacy")</f>
        <v>Emerging</v>
      </c>
      <c r="L113" t="str">
        <f>TEXT(Table1[[#This Row],[Join_Date]],"mmm-yyyy")</f>
        <v>Apr-2020</v>
      </c>
      <c r="M113">
        <v>5</v>
      </c>
      <c r="N113">
        <f>YEAR(Table1[[#This Row],[Join_Date]])</f>
        <v>2020</v>
      </c>
      <c r="O113" s="1">
        <v>43931</v>
      </c>
      <c r="P113" s="1"/>
    </row>
    <row r="114" spans="1:16" x14ac:dyDescent="0.25">
      <c r="A114" t="s">
        <v>259</v>
      </c>
      <c r="B114" t="s">
        <v>260</v>
      </c>
      <c r="C114" t="s">
        <v>22</v>
      </c>
      <c r="D114" t="s">
        <v>54</v>
      </c>
      <c r="E114">
        <v>64</v>
      </c>
      <c r="F114" t="s">
        <v>24</v>
      </c>
      <c r="G114" t="s">
        <v>17</v>
      </c>
      <c r="H114" t="str" cm="1">
        <f t="array" ref="H114">_xlfn.IFS(I114&lt;30000,"Low",I114&lt;60000,"Medium",I114&lt;100000,"High",TRUE,"Premium")</f>
        <v>High</v>
      </c>
      <c r="I114" s="2">
        <v>73947</v>
      </c>
      <c r="J114" t="s">
        <v>30</v>
      </c>
      <c r="K114" t="str" cm="1">
        <f t="array" ref="K114">_xlfn.IFS(Table1[[#This Row],[tenure]]&lt;=2,"New",Table1[[#This Row],[tenure]]&lt;=5,"Emerging",Table1[[#This Row],[tenure]]&lt;=8,"Loyal",Table1[[#This Row],[tenure]]&lt;=10,"Legacy")</f>
        <v>Legacy</v>
      </c>
      <c r="L114" t="str">
        <f>TEXT(Table1[[#This Row],[Join_Date]],"mmm-yyyy")</f>
        <v>Mar-2016</v>
      </c>
      <c r="M114">
        <v>9</v>
      </c>
      <c r="N114">
        <f>YEAR(Table1[[#This Row],[Join_Date]])</f>
        <v>2016</v>
      </c>
      <c r="O114" s="1">
        <v>42445</v>
      </c>
      <c r="P114" s="1"/>
    </row>
    <row r="115" spans="1:16" x14ac:dyDescent="0.25">
      <c r="A115" t="s">
        <v>261</v>
      </c>
      <c r="B115" t="s">
        <v>262</v>
      </c>
      <c r="C115" t="s">
        <v>22</v>
      </c>
      <c r="D115" t="s">
        <v>23</v>
      </c>
      <c r="E115">
        <v>51</v>
      </c>
      <c r="F115" t="s">
        <v>16</v>
      </c>
      <c r="G115" t="s">
        <v>17</v>
      </c>
      <c r="H115" t="str" cm="1">
        <f t="array" ref="H115">_xlfn.IFS(I115&lt;30000,"Low",I115&lt;60000,"Medium",I115&lt;100000,"High",TRUE,"Premium")</f>
        <v>Premium</v>
      </c>
      <c r="I115" s="2">
        <v>173606</v>
      </c>
      <c r="J115" t="s">
        <v>26</v>
      </c>
      <c r="K115" t="str" cm="1">
        <f t="array" ref="K115">_xlfn.IFS(Table1[[#This Row],[tenure]]&lt;=2,"New",Table1[[#This Row],[tenure]]&lt;=5,"Emerging",Table1[[#This Row],[tenure]]&lt;=8,"Loyal",Table1[[#This Row],[tenure]]&lt;=10,"Legacy")</f>
        <v>Loyal</v>
      </c>
      <c r="L115" t="str">
        <f>TEXT(Table1[[#This Row],[Join_Date]],"mmm-yyyy")</f>
        <v>Jul-2019</v>
      </c>
      <c r="M115">
        <v>6</v>
      </c>
      <c r="N115">
        <f>YEAR(Table1[[#This Row],[Join_Date]])</f>
        <v>2019</v>
      </c>
      <c r="O115" s="1">
        <v>43658</v>
      </c>
      <c r="P115" s="1"/>
    </row>
    <row r="116" spans="1:16" x14ac:dyDescent="0.25">
      <c r="A116" t="s">
        <v>263</v>
      </c>
      <c r="B116" t="s">
        <v>264</v>
      </c>
      <c r="C116" t="s">
        <v>14</v>
      </c>
      <c r="D116" t="s">
        <v>23</v>
      </c>
      <c r="E116">
        <v>49</v>
      </c>
      <c r="F116" t="s">
        <v>38</v>
      </c>
      <c r="G116" t="s">
        <v>17</v>
      </c>
      <c r="H116" t="str" cm="1">
        <f t="array" ref="H116">_xlfn.IFS(I116&lt;30000,"Low",I116&lt;60000,"Medium",I116&lt;100000,"High",TRUE,"Premium")</f>
        <v>High</v>
      </c>
      <c r="I116" s="2">
        <v>68874</v>
      </c>
      <c r="J116" t="s">
        <v>26</v>
      </c>
      <c r="K116" t="str" cm="1">
        <f t="array" ref="K116">_xlfn.IFS(Table1[[#This Row],[tenure]]&lt;=2,"New",Table1[[#This Row],[tenure]]&lt;=5,"Emerging",Table1[[#This Row],[tenure]]&lt;=8,"Loyal",Table1[[#This Row],[tenure]]&lt;=10,"Legacy")</f>
        <v>New</v>
      </c>
      <c r="L116" t="str">
        <f>TEXT(Table1[[#This Row],[Join_Date]],"mmm-yyyy")</f>
        <v>Aug-2024</v>
      </c>
      <c r="M116">
        <v>1</v>
      </c>
      <c r="N116">
        <f>YEAR(Table1[[#This Row],[Join_Date]])</f>
        <v>2024</v>
      </c>
      <c r="O116" s="1">
        <v>45532</v>
      </c>
      <c r="P116" s="1"/>
    </row>
    <row r="117" spans="1:16" x14ac:dyDescent="0.25">
      <c r="A117" t="s">
        <v>265</v>
      </c>
      <c r="B117" t="s">
        <v>266</v>
      </c>
      <c r="C117" t="s">
        <v>22</v>
      </c>
      <c r="D117" t="s">
        <v>54</v>
      </c>
      <c r="E117">
        <v>71</v>
      </c>
      <c r="F117" t="s">
        <v>42</v>
      </c>
      <c r="G117" t="s">
        <v>39</v>
      </c>
      <c r="H117" t="str" cm="1">
        <f t="array" ref="H117">_xlfn.IFS(I117&lt;30000,"Low",I117&lt;60000,"Medium",I117&lt;100000,"High",TRUE,"Premium")</f>
        <v>High</v>
      </c>
      <c r="I117" s="2">
        <v>69708</v>
      </c>
      <c r="J117" t="s">
        <v>26</v>
      </c>
      <c r="K117" t="str" cm="1">
        <f t="array" ref="K117">_xlfn.IFS(Table1[[#This Row],[tenure]]&lt;=2,"New",Table1[[#This Row],[tenure]]&lt;=5,"Emerging",Table1[[#This Row],[tenure]]&lt;=8,"Loyal",Table1[[#This Row],[tenure]]&lt;=10,"Legacy")</f>
        <v>New</v>
      </c>
      <c r="L117" t="str">
        <f>TEXT(Table1[[#This Row],[Join_Date]],"mmm-yyyy")</f>
        <v>May-2025</v>
      </c>
      <c r="M117">
        <v>0</v>
      </c>
      <c r="N117">
        <f>YEAR(Table1[[#This Row],[Join_Date]])</f>
        <v>2025</v>
      </c>
      <c r="O117" s="1">
        <v>45797</v>
      </c>
      <c r="P117" s="1"/>
    </row>
    <row r="118" spans="1:16" x14ac:dyDescent="0.25">
      <c r="A118" t="s">
        <v>267</v>
      </c>
      <c r="B118" t="s">
        <v>268</v>
      </c>
      <c r="C118" t="s">
        <v>14</v>
      </c>
      <c r="D118" t="s">
        <v>54</v>
      </c>
      <c r="E118">
        <v>65</v>
      </c>
      <c r="F118" t="s">
        <v>16</v>
      </c>
      <c r="G118" t="s">
        <v>39</v>
      </c>
      <c r="H118" t="str" cm="1">
        <f t="array" ref="H118">_xlfn.IFS(I118&lt;30000,"Low",I118&lt;60000,"Medium",I118&lt;100000,"High",TRUE,"Premium")</f>
        <v>High</v>
      </c>
      <c r="I118" s="2">
        <v>94553</v>
      </c>
      <c r="J118" t="s">
        <v>18</v>
      </c>
      <c r="K118" t="str" cm="1">
        <f t="array" ref="K118">_xlfn.IFS(Table1[[#This Row],[tenure]]&lt;=2,"New",Table1[[#This Row],[tenure]]&lt;=5,"Emerging",Table1[[#This Row],[tenure]]&lt;=8,"Loyal",Table1[[#This Row],[tenure]]&lt;=10,"Legacy")</f>
        <v>New</v>
      </c>
      <c r="L118" t="str">
        <f>TEXT(Table1[[#This Row],[Join_Date]],"mmm-yyyy")</f>
        <v>Feb-2025</v>
      </c>
      <c r="M118">
        <v>1</v>
      </c>
      <c r="N118">
        <f>YEAR(Table1[[#This Row],[Join_Date]])</f>
        <v>2025</v>
      </c>
      <c r="O118" s="1">
        <v>45706</v>
      </c>
      <c r="P118" s="1"/>
    </row>
    <row r="119" spans="1:16" x14ac:dyDescent="0.25">
      <c r="A119" t="s">
        <v>269</v>
      </c>
      <c r="B119" t="s">
        <v>270</v>
      </c>
      <c r="C119" t="s">
        <v>22</v>
      </c>
      <c r="D119" t="s">
        <v>15</v>
      </c>
      <c r="E119">
        <v>42</v>
      </c>
      <c r="F119" t="s">
        <v>42</v>
      </c>
      <c r="G119" t="s">
        <v>34</v>
      </c>
      <c r="H119" t="str" cm="1">
        <f t="array" ref="H119">_xlfn.IFS(I119&lt;30000,"Low",I119&lt;60000,"Medium",I119&lt;100000,"High",TRUE,"Premium")</f>
        <v>High</v>
      </c>
      <c r="I119" s="2">
        <v>88344</v>
      </c>
      <c r="J119" t="s">
        <v>18</v>
      </c>
      <c r="K119" t="str" cm="1">
        <f t="array" ref="K119">_xlfn.IFS(Table1[[#This Row],[tenure]]&lt;=2,"New",Table1[[#This Row],[tenure]]&lt;=5,"Emerging",Table1[[#This Row],[tenure]]&lt;=8,"Loyal",Table1[[#This Row],[tenure]]&lt;=10,"Legacy")</f>
        <v>New</v>
      </c>
      <c r="L119" t="str">
        <f>TEXT(Table1[[#This Row],[Join_Date]],"mmm-yyyy")</f>
        <v>Mar-2025</v>
      </c>
      <c r="M119">
        <v>1</v>
      </c>
      <c r="N119">
        <f>YEAR(Table1[[#This Row],[Join_Date]])</f>
        <v>2025</v>
      </c>
      <c r="O119" s="1">
        <v>45720</v>
      </c>
      <c r="P119" s="1"/>
    </row>
    <row r="120" spans="1:16" x14ac:dyDescent="0.25">
      <c r="A120" t="s">
        <v>271</v>
      </c>
      <c r="B120" t="s">
        <v>272</v>
      </c>
      <c r="C120" t="s">
        <v>22</v>
      </c>
      <c r="D120" t="s">
        <v>23</v>
      </c>
      <c r="E120">
        <v>57</v>
      </c>
      <c r="F120" t="s">
        <v>24</v>
      </c>
      <c r="G120" t="s">
        <v>46</v>
      </c>
      <c r="H120" t="str" cm="1">
        <f t="array" ref="H120">_xlfn.IFS(I120&lt;30000,"Low",I120&lt;60000,"Medium",I120&lt;100000,"High",TRUE,"Premium")</f>
        <v>High</v>
      </c>
      <c r="I120" s="2">
        <v>69138</v>
      </c>
      <c r="J120" t="s">
        <v>26</v>
      </c>
      <c r="K120" t="str" cm="1">
        <f t="array" ref="K120">_xlfn.IFS(Table1[[#This Row],[tenure]]&lt;=2,"New",Table1[[#This Row],[tenure]]&lt;=5,"Emerging",Table1[[#This Row],[tenure]]&lt;=8,"Loyal",Table1[[#This Row],[tenure]]&lt;=10,"Legacy")</f>
        <v>Loyal</v>
      </c>
      <c r="L120" t="str">
        <f>TEXT(Table1[[#This Row],[Join_Date]],"mmm-yyyy")</f>
        <v>Dec-2019</v>
      </c>
      <c r="M120">
        <v>6</v>
      </c>
      <c r="N120">
        <f>YEAR(Table1[[#This Row],[Join_Date]])</f>
        <v>2019</v>
      </c>
      <c r="O120" s="1">
        <v>43821</v>
      </c>
      <c r="P120" s="1"/>
    </row>
    <row r="121" spans="1:16" x14ac:dyDescent="0.25">
      <c r="A121" t="s">
        <v>273</v>
      </c>
      <c r="B121" t="s">
        <v>274</v>
      </c>
      <c r="C121" t="s">
        <v>14</v>
      </c>
      <c r="D121" t="s">
        <v>54</v>
      </c>
      <c r="E121">
        <v>62</v>
      </c>
      <c r="F121" t="s">
        <v>24</v>
      </c>
      <c r="G121" t="s">
        <v>34</v>
      </c>
      <c r="H121" t="str" cm="1">
        <f t="array" ref="H121">_xlfn.IFS(I121&lt;30000,"Low",I121&lt;60000,"Medium",I121&lt;100000,"High",TRUE,"Premium")</f>
        <v>High</v>
      </c>
      <c r="I121" s="2">
        <v>67638</v>
      </c>
      <c r="J121" t="s">
        <v>18</v>
      </c>
      <c r="K121" t="str" cm="1">
        <f t="array" ref="K121">_xlfn.IFS(Table1[[#This Row],[tenure]]&lt;=2,"New",Table1[[#This Row],[tenure]]&lt;=5,"Emerging",Table1[[#This Row],[tenure]]&lt;=8,"Loyal",Table1[[#This Row],[tenure]]&lt;=10,"Legacy")</f>
        <v>Loyal</v>
      </c>
      <c r="L121" t="str">
        <f>TEXT(Table1[[#This Row],[Join_Date]],"mmm-yyyy")</f>
        <v>Mar-2019</v>
      </c>
      <c r="M121">
        <v>6</v>
      </c>
      <c r="N121">
        <f>YEAR(Table1[[#This Row],[Join_Date]])</f>
        <v>2019</v>
      </c>
      <c r="O121" s="1">
        <v>43555</v>
      </c>
      <c r="P121" s="1"/>
    </row>
    <row r="122" spans="1:16" x14ac:dyDescent="0.25">
      <c r="A122" t="s">
        <v>275</v>
      </c>
      <c r="B122" t="s">
        <v>276</v>
      </c>
      <c r="C122" t="s">
        <v>22</v>
      </c>
      <c r="D122" t="s">
        <v>54</v>
      </c>
      <c r="E122">
        <v>70</v>
      </c>
      <c r="F122" t="s">
        <v>16</v>
      </c>
      <c r="G122" t="s">
        <v>34</v>
      </c>
      <c r="H122" t="str" cm="1">
        <f t="array" ref="H122">_xlfn.IFS(I122&lt;30000,"Low",I122&lt;60000,"Medium",I122&lt;100000,"High",TRUE,"Premium")</f>
        <v>High</v>
      </c>
      <c r="I122" s="2">
        <v>98249</v>
      </c>
      <c r="J122" t="s">
        <v>26</v>
      </c>
      <c r="K122" t="str" cm="1">
        <f t="array" ref="K122">_xlfn.IFS(Table1[[#This Row],[tenure]]&lt;=2,"New",Table1[[#This Row],[tenure]]&lt;=5,"Emerging",Table1[[#This Row],[tenure]]&lt;=8,"Loyal",Table1[[#This Row],[tenure]]&lt;=10,"Legacy")</f>
        <v>New</v>
      </c>
      <c r="L122" t="str">
        <f>TEXT(Table1[[#This Row],[Join_Date]],"mmm-yyyy")</f>
        <v>Jun-2023</v>
      </c>
      <c r="M122">
        <v>2</v>
      </c>
      <c r="N122">
        <f>YEAR(Table1[[#This Row],[Join_Date]])</f>
        <v>2023</v>
      </c>
      <c r="O122" s="1">
        <v>45094</v>
      </c>
      <c r="P122" s="1"/>
    </row>
    <row r="123" spans="1:16" x14ac:dyDescent="0.25">
      <c r="A123" t="s">
        <v>277</v>
      </c>
      <c r="B123" t="s">
        <v>278</v>
      </c>
      <c r="C123" t="s">
        <v>14</v>
      </c>
      <c r="D123" t="s">
        <v>37</v>
      </c>
      <c r="E123">
        <v>18</v>
      </c>
      <c r="F123" t="s">
        <v>16</v>
      </c>
      <c r="G123" t="s">
        <v>39</v>
      </c>
      <c r="H123" t="str" cm="1">
        <f t="array" ref="H123">_xlfn.IFS(I123&lt;30000,"Low",I123&lt;60000,"Medium",I123&lt;100000,"High",TRUE,"Premium")</f>
        <v>Premium</v>
      </c>
      <c r="I123" s="2">
        <v>125865</v>
      </c>
      <c r="J123" t="s">
        <v>30</v>
      </c>
      <c r="K123" t="str" cm="1">
        <f t="array" ref="K123">_xlfn.IFS(Table1[[#This Row],[tenure]]&lt;=2,"New",Table1[[#This Row],[tenure]]&lt;=5,"Emerging",Table1[[#This Row],[tenure]]&lt;=8,"Loyal",Table1[[#This Row],[tenure]]&lt;=10,"Legacy")</f>
        <v>Legacy</v>
      </c>
      <c r="L123" t="str">
        <f>TEXT(Table1[[#This Row],[Join_Date]],"mmm-yyyy")</f>
        <v>Sep-2015</v>
      </c>
      <c r="M123">
        <v>10</v>
      </c>
      <c r="N123">
        <f>YEAR(Table1[[#This Row],[Join_Date]])</f>
        <v>2015</v>
      </c>
      <c r="O123" s="1">
        <v>42270</v>
      </c>
      <c r="P123" s="1"/>
    </row>
    <row r="124" spans="1:16" x14ac:dyDescent="0.25">
      <c r="A124" t="s">
        <v>279</v>
      </c>
      <c r="B124" t="s">
        <v>280</v>
      </c>
      <c r="C124" t="s">
        <v>22</v>
      </c>
      <c r="D124" t="s">
        <v>15</v>
      </c>
      <c r="E124">
        <v>33</v>
      </c>
      <c r="F124" t="s">
        <v>42</v>
      </c>
      <c r="G124" t="s">
        <v>17</v>
      </c>
      <c r="H124" t="str" cm="1">
        <f t="array" ref="H124">_xlfn.IFS(I124&lt;30000,"Low",I124&lt;60000,"Medium",I124&lt;100000,"High",TRUE,"Premium")</f>
        <v>Low</v>
      </c>
      <c r="I124" s="2">
        <v>22719</v>
      </c>
      <c r="J124" t="s">
        <v>18</v>
      </c>
      <c r="K124" t="str" cm="1">
        <f t="array" ref="K124">_xlfn.IFS(Table1[[#This Row],[tenure]]&lt;=2,"New",Table1[[#This Row],[tenure]]&lt;=5,"Emerging",Table1[[#This Row],[tenure]]&lt;=8,"Loyal",Table1[[#This Row],[tenure]]&lt;=10,"Legacy")</f>
        <v>Loyal</v>
      </c>
      <c r="L124" t="str">
        <f>TEXT(Table1[[#This Row],[Join_Date]],"mmm-yyyy")</f>
        <v>Jul-2017</v>
      </c>
      <c r="M124">
        <v>8</v>
      </c>
      <c r="N124">
        <f>YEAR(Table1[[#This Row],[Join_Date]])</f>
        <v>2017</v>
      </c>
      <c r="O124" s="1">
        <v>42921</v>
      </c>
      <c r="P124" s="1"/>
    </row>
    <row r="125" spans="1:16" x14ac:dyDescent="0.25">
      <c r="A125" t="s">
        <v>281</v>
      </c>
      <c r="B125" t="s">
        <v>282</v>
      </c>
      <c r="C125" t="s">
        <v>14</v>
      </c>
      <c r="D125" t="s">
        <v>23</v>
      </c>
      <c r="E125">
        <v>56</v>
      </c>
      <c r="F125" t="s">
        <v>38</v>
      </c>
      <c r="G125" t="s">
        <v>29</v>
      </c>
      <c r="H125" t="str" cm="1">
        <f t="array" ref="H125">_xlfn.IFS(I125&lt;30000,"Low",I125&lt;60000,"Medium",I125&lt;100000,"High",TRUE,"Premium")</f>
        <v>Premium</v>
      </c>
      <c r="I125" s="2">
        <v>173962</v>
      </c>
      <c r="J125" t="s">
        <v>18</v>
      </c>
      <c r="K125" t="str" cm="1">
        <f t="array" ref="K125">_xlfn.IFS(Table1[[#This Row],[tenure]]&lt;=2,"New",Table1[[#This Row],[tenure]]&lt;=5,"Emerging",Table1[[#This Row],[tenure]]&lt;=8,"Loyal",Table1[[#This Row],[tenure]]&lt;=10,"Legacy")</f>
        <v>Emerging</v>
      </c>
      <c r="L125" t="str">
        <f>TEXT(Table1[[#This Row],[Join_Date]],"mmm-yyyy")</f>
        <v>Jul-2022</v>
      </c>
      <c r="M125">
        <v>3</v>
      </c>
      <c r="N125">
        <f>YEAR(Table1[[#This Row],[Join_Date]])</f>
        <v>2022</v>
      </c>
      <c r="O125" s="1">
        <v>44752</v>
      </c>
      <c r="P125" s="1"/>
    </row>
    <row r="126" spans="1:16" x14ac:dyDescent="0.25">
      <c r="A126" t="s">
        <v>283</v>
      </c>
      <c r="B126" t="s">
        <v>284</v>
      </c>
      <c r="C126" t="s">
        <v>14</v>
      </c>
      <c r="D126" t="s">
        <v>37</v>
      </c>
      <c r="E126">
        <v>22</v>
      </c>
      <c r="F126" t="s">
        <v>42</v>
      </c>
      <c r="G126" t="s">
        <v>46</v>
      </c>
      <c r="H126" t="str" cm="1">
        <f t="array" ref="H126">_xlfn.IFS(I126&lt;30000,"Low",I126&lt;60000,"Medium",I126&lt;100000,"High",TRUE,"Premium")</f>
        <v>Premium</v>
      </c>
      <c r="I126" s="2">
        <v>187581</v>
      </c>
      <c r="J126" t="s">
        <v>26</v>
      </c>
      <c r="K126" t="str" cm="1">
        <f t="array" ref="K126">_xlfn.IFS(Table1[[#This Row],[tenure]]&lt;=2,"New",Table1[[#This Row],[tenure]]&lt;=5,"Emerging",Table1[[#This Row],[tenure]]&lt;=8,"Loyal",Table1[[#This Row],[tenure]]&lt;=10,"Legacy")</f>
        <v>Legacy</v>
      </c>
      <c r="L126" t="str">
        <f>TEXT(Table1[[#This Row],[Join_Date]],"mmm-yyyy")</f>
        <v>Jan-2017</v>
      </c>
      <c r="M126">
        <v>9</v>
      </c>
      <c r="N126">
        <f>YEAR(Table1[[#This Row],[Join_Date]])</f>
        <v>2017</v>
      </c>
      <c r="O126" s="1">
        <v>42754</v>
      </c>
      <c r="P126" s="1"/>
    </row>
    <row r="127" spans="1:16" x14ac:dyDescent="0.25">
      <c r="A127" t="s">
        <v>285</v>
      </c>
      <c r="B127" t="s">
        <v>286</v>
      </c>
      <c r="C127" t="s">
        <v>22</v>
      </c>
      <c r="D127" t="s">
        <v>15</v>
      </c>
      <c r="E127">
        <v>39</v>
      </c>
      <c r="F127" t="s">
        <v>16</v>
      </c>
      <c r="G127" t="s">
        <v>39</v>
      </c>
      <c r="H127" t="str" cm="1">
        <f t="array" ref="H127">_xlfn.IFS(I127&lt;30000,"Low",I127&lt;60000,"Medium",I127&lt;100000,"High",TRUE,"Premium")</f>
        <v>High</v>
      </c>
      <c r="I127" s="2">
        <v>62534</v>
      </c>
      <c r="J127" t="s">
        <v>18</v>
      </c>
      <c r="K127" t="str" cm="1">
        <f t="array" ref="K127">_xlfn.IFS(Table1[[#This Row],[tenure]]&lt;=2,"New",Table1[[#This Row],[tenure]]&lt;=5,"Emerging",Table1[[#This Row],[tenure]]&lt;=8,"Loyal",Table1[[#This Row],[tenure]]&lt;=10,"Legacy")</f>
        <v>Loyal</v>
      </c>
      <c r="L127" t="str">
        <f>TEXT(Table1[[#This Row],[Join_Date]],"mmm-yyyy")</f>
        <v>Mar-2020</v>
      </c>
      <c r="M127">
        <v>6</v>
      </c>
      <c r="N127">
        <f>YEAR(Table1[[#This Row],[Join_Date]])</f>
        <v>2020</v>
      </c>
      <c r="O127" s="1">
        <v>43891</v>
      </c>
      <c r="P127" s="1"/>
    </row>
    <row r="128" spans="1:16" x14ac:dyDescent="0.25">
      <c r="A128" t="s">
        <v>287</v>
      </c>
      <c r="B128" t="s">
        <v>288</v>
      </c>
      <c r="C128" t="s">
        <v>22</v>
      </c>
      <c r="D128" t="s">
        <v>23</v>
      </c>
      <c r="E128">
        <v>46</v>
      </c>
      <c r="F128" t="s">
        <v>42</v>
      </c>
      <c r="G128" t="s">
        <v>17</v>
      </c>
      <c r="H128" t="str" cm="1">
        <f t="array" ref="H128">_xlfn.IFS(I128&lt;30000,"Low",I128&lt;60000,"Medium",I128&lt;100000,"High",TRUE,"Premium")</f>
        <v>Premium</v>
      </c>
      <c r="I128" s="2">
        <v>112241</v>
      </c>
      <c r="J128" t="s">
        <v>26</v>
      </c>
      <c r="K128" t="str" cm="1">
        <f t="array" ref="K128">_xlfn.IFS(Table1[[#This Row],[tenure]]&lt;=2,"New",Table1[[#This Row],[tenure]]&lt;=5,"Emerging",Table1[[#This Row],[tenure]]&lt;=8,"Loyal",Table1[[#This Row],[tenure]]&lt;=10,"Legacy")</f>
        <v>Legacy</v>
      </c>
      <c r="L128" t="str">
        <f>TEXT(Table1[[#This Row],[Join_Date]],"mmm-yyyy")</f>
        <v>Jan-2016</v>
      </c>
      <c r="M128">
        <v>10</v>
      </c>
      <c r="N128">
        <f>YEAR(Table1[[#This Row],[Join_Date]])</f>
        <v>2016</v>
      </c>
      <c r="O128" s="1">
        <v>42374</v>
      </c>
      <c r="P128" s="1"/>
    </row>
    <row r="129" spans="1:16" x14ac:dyDescent="0.25">
      <c r="A129" t="s">
        <v>289</v>
      </c>
      <c r="B129" t="s">
        <v>290</v>
      </c>
      <c r="C129" t="s">
        <v>14</v>
      </c>
      <c r="D129" t="s">
        <v>54</v>
      </c>
      <c r="E129">
        <v>72</v>
      </c>
      <c r="F129" t="s">
        <v>16</v>
      </c>
      <c r="G129" t="s">
        <v>51</v>
      </c>
      <c r="H129" t="str" cm="1">
        <f t="array" ref="H129">_xlfn.IFS(I129&lt;30000,"Low",I129&lt;60000,"Medium",I129&lt;100000,"High",TRUE,"Premium")</f>
        <v>Premium</v>
      </c>
      <c r="I129" s="2">
        <v>169859</v>
      </c>
      <c r="J129" t="s">
        <v>18</v>
      </c>
      <c r="K129" t="str" cm="1">
        <f t="array" ref="K129">_xlfn.IFS(Table1[[#This Row],[tenure]]&lt;=2,"New",Table1[[#This Row],[tenure]]&lt;=5,"Emerging",Table1[[#This Row],[tenure]]&lt;=8,"Loyal",Table1[[#This Row],[tenure]]&lt;=10,"Legacy")</f>
        <v>New</v>
      </c>
      <c r="L129" t="str">
        <f>TEXT(Table1[[#This Row],[Join_Date]],"mmm-yyyy")</f>
        <v>Apr-2023</v>
      </c>
      <c r="M129">
        <v>2</v>
      </c>
      <c r="N129">
        <f>YEAR(Table1[[#This Row],[Join_Date]])</f>
        <v>2023</v>
      </c>
      <c r="O129" s="1">
        <v>45039</v>
      </c>
      <c r="P129" s="1"/>
    </row>
    <row r="130" spans="1:16" x14ac:dyDescent="0.25">
      <c r="A130" t="s">
        <v>291</v>
      </c>
      <c r="B130" t="s">
        <v>292</v>
      </c>
      <c r="C130" t="s">
        <v>22</v>
      </c>
      <c r="D130" t="s">
        <v>37</v>
      </c>
      <c r="E130">
        <v>20</v>
      </c>
      <c r="F130" t="s">
        <v>42</v>
      </c>
      <c r="G130" t="s">
        <v>29</v>
      </c>
      <c r="H130" t="str" cm="1">
        <f t="array" ref="H130">_xlfn.IFS(I130&lt;30000,"Low",I130&lt;60000,"Medium",I130&lt;100000,"High",TRUE,"Premium")</f>
        <v>Premium</v>
      </c>
      <c r="I130" s="2">
        <v>146209</v>
      </c>
      <c r="J130" t="s">
        <v>26</v>
      </c>
      <c r="K130" t="str" cm="1">
        <f t="array" ref="K130">_xlfn.IFS(Table1[[#This Row],[tenure]]&lt;=2,"New",Table1[[#This Row],[tenure]]&lt;=5,"Emerging",Table1[[#This Row],[tenure]]&lt;=8,"Loyal",Table1[[#This Row],[tenure]]&lt;=10,"Legacy")</f>
        <v>Loyal</v>
      </c>
      <c r="L130" t="str">
        <f>TEXT(Table1[[#This Row],[Join_Date]],"mmm-yyyy")</f>
        <v>Feb-2019</v>
      </c>
      <c r="M130">
        <v>7</v>
      </c>
      <c r="N130">
        <f>YEAR(Table1[[#This Row],[Join_Date]])</f>
        <v>2019</v>
      </c>
      <c r="O130" s="1">
        <v>43517</v>
      </c>
      <c r="P130" s="1"/>
    </row>
    <row r="131" spans="1:16" x14ac:dyDescent="0.25">
      <c r="A131" t="s">
        <v>293</v>
      </c>
      <c r="B131" t="s">
        <v>294</v>
      </c>
      <c r="C131" t="s">
        <v>22</v>
      </c>
      <c r="D131" t="s">
        <v>15</v>
      </c>
      <c r="E131">
        <v>29</v>
      </c>
      <c r="F131" t="s">
        <v>16</v>
      </c>
      <c r="G131" t="s">
        <v>29</v>
      </c>
      <c r="H131" t="str" cm="1">
        <f t="array" ref="H131">_xlfn.IFS(I131&lt;30000,"Low",I131&lt;60000,"Medium",I131&lt;100000,"High",TRUE,"Premium")</f>
        <v>Premium</v>
      </c>
      <c r="I131" s="2">
        <v>199917</v>
      </c>
      <c r="J131" t="s">
        <v>18</v>
      </c>
      <c r="K131" t="str" cm="1">
        <f t="array" ref="K131">_xlfn.IFS(Table1[[#This Row],[tenure]]&lt;=2,"New",Table1[[#This Row],[tenure]]&lt;=5,"Emerging",Table1[[#This Row],[tenure]]&lt;=8,"Loyal",Table1[[#This Row],[tenure]]&lt;=10,"Legacy")</f>
        <v>New</v>
      </c>
      <c r="L131" t="str">
        <f>TEXT(Table1[[#This Row],[Join_Date]],"mmm-yyyy")</f>
        <v>Jul-2024</v>
      </c>
      <c r="M131">
        <v>1</v>
      </c>
      <c r="N131">
        <f>YEAR(Table1[[#This Row],[Join_Date]])</f>
        <v>2024</v>
      </c>
      <c r="O131" s="1">
        <v>45498</v>
      </c>
      <c r="P131" s="1"/>
    </row>
    <row r="132" spans="1:16" x14ac:dyDescent="0.25">
      <c r="A132" t="s">
        <v>295</v>
      </c>
      <c r="B132" t="s">
        <v>296</v>
      </c>
      <c r="C132" t="s">
        <v>22</v>
      </c>
      <c r="D132" t="s">
        <v>15</v>
      </c>
      <c r="E132">
        <v>43</v>
      </c>
      <c r="F132" t="s">
        <v>16</v>
      </c>
      <c r="G132" t="s">
        <v>39</v>
      </c>
      <c r="H132" t="str" cm="1">
        <f t="array" ref="H132">_xlfn.IFS(I132&lt;30000,"Low",I132&lt;60000,"Medium",I132&lt;100000,"High",TRUE,"Premium")</f>
        <v>Premium</v>
      </c>
      <c r="I132" s="2">
        <v>112124</v>
      </c>
      <c r="J132" t="s">
        <v>26</v>
      </c>
      <c r="K132" t="str" cm="1">
        <f t="array" ref="K132">_xlfn.IFS(Table1[[#This Row],[tenure]]&lt;=2,"New",Table1[[#This Row],[tenure]]&lt;=5,"Emerging",Table1[[#This Row],[tenure]]&lt;=8,"Loyal",Table1[[#This Row],[tenure]]&lt;=10,"Legacy")</f>
        <v>Emerging</v>
      </c>
      <c r="L132" t="str">
        <f>TEXT(Table1[[#This Row],[Join_Date]],"mmm-yyyy")</f>
        <v>May-2020</v>
      </c>
      <c r="M132">
        <v>5</v>
      </c>
      <c r="N132">
        <f>YEAR(Table1[[#This Row],[Join_Date]])</f>
        <v>2020</v>
      </c>
      <c r="O132" s="1">
        <v>43955</v>
      </c>
      <c r="P132" s="1"/>
    </row>
    <row r="133" spans="1:16" x14ac:dyDescent="0.25">
      <c r="A133" t="s">
        <v>297</v>
      </c>
      <c r="B133" t="s">
        <v>298</v>
      </c>
      <c r="C133" t="s">
        <v>14</v>
      </c>
      <c r="D133" t="s">
        <v>15</v>
      </c>
      <c r="E133">
        <v>33</v>
      </c>
      <c r="F133" t="s">
        <v>16</v>
      </c>
      <c r="G133" t="s">
        <v>25</v>
      </c>
      <c r="H133" t="str" cm="1">
        <f t="array" ref="H133">_xlfn.IFS(I133&lt;30000,"Low",I133&lt;60000,"Medium",I133&lt;100000,"High",TRUE,"Premium")</f>
        <v>Premium</v>
      </c>
      <c r="I133" s="2">
        <v>111659</v>
      </c>
      <c r="J133" t="s">
        <v>18</v>
      </c>
      <c r="K133" t="str" cm="1">
        <f t="array" ref="K133">_xlfn.IFS(Table1[[#This Row],[tenure]]&lt;=2,"New",Table1[[#This Row],[tenure]]&lt;=5,"Emerging",Table1[[#This Row],[tenure]]&lt;=8,"Loyal",Table1[[#This Row],[tenure]]&lt;=10,"Legacy")</f>
        <v>Loyal</v>
      </c>
      <c r="L133" t="str">
        <f>TEXT(Table1[[#This Row],[Join_Date]],"mmm-yyyy")</f>
        <v>Feb-2018</v>
      </c>
      <c r="M133">
        <v>8</v>
      </c>
      <c r="N133">
        <f>YEAR(Table1[[#This Row],[Join_Date]])</f>
        <v>2018</v>
      </c>
      <c r="O133" s="1">
        <v>43143</v>
      </c>
      <c r="P133" s="1"/>
    </row>
    <row r="134" spans="1:16" x14ac:dyDescent="0.25">
      <c r="A134" t="s">
        <v>299</v>
      </c>
      <c r="B134" t="s">
        <v>300</v>
      </c>
      <c r="C134" t="s">
        <v>14</v>
      </c>
      <c r="D134" t="s">
        <v>54</v>
      </c>
      <c r="E134">
        <v>68</v>
      </c>
      <c r="F134" t="s">
        <v>38</v>
      </c>
      <c r="G134" t="s">
        <v>46</v>
      </c>
      <c r="H134" t="str" cm="1">
        <f t="array" ref="H134">_xlfn.IFS(I134&lt;30000,"Low",I134&lt;60000,"Medium",I134&lt;100000,"High",TRUE,"Premium")</f>
        <v>Premium</v>
      </c>
      <c r="I134" s="2">
        <v>184134</v>
      </c>
      <c r="J134" t="s">
        <v>18</v>
      </c>
      <c r="K134" t="str" cm="1">
        <f t="array" ref="K134">_xlfn.IFS(Table1[[#This Row],[tenure]]&lt;=2,"New",Table1[[#This Row],[tenure]]&lt;=5,"Emerging",Table1[[#This Row],[tenure]]&lt;=8,"Loyal",Table1[[#This Row],[tenure]]&lt;=10,"Legacy")</f>
        <v>Emerging</v>
      </c>
      <c r="L134" t="str">
        <f>TEXT(Table1[[#This Row],[Join_Date]],"mmm-yyyy")</f>
        <v>Sep-2021</v>
      </c>
      <c r="M134">
        <v>4</v>
      </c>
      <c r="N134">
        <f>YEAR(Table1[[#This Row],[Join_Date]])</f>
        <v>2021</v>
      </c>
      <c r="O134" s="1">
        <v>44454</v>
      </c>
      <c r="P134" s="1"/>
    </row>
    <row r="135" spans="1:16" x14ac:dyDescent="0.25">
      <c r="A135" t="s">
        <v>301</v>
      </c>
      <c r="B135" t="s">
        <v>302</v>
      </c>
      <c r="C135" t="s">
        <v>14</v>
      </c>
      <c r="D135" t="s">
        <v>23</v>
      </c>
      <c r="E135">
        <v>54</v>
      </c>
      <c r="F135" t="s">
        <v>42</v>
      </c>
      <c r="G135" t="s">
        <v>29</v>
      </c>
      <c r="H135" t="str" cm="1">
        <f t="array" ref="H135">_xlfn.IFS(I135&lt;30000,"Low",I135&lt;60000,"Medium",I135&lt;100000,"High",TRUE,"Premium")</f>
        <v>High</v>
      </c>
      <c r="I135" s="2">
        <v>95713</v>
      </c>
      <c r="J135" t="s">
        <v>18</v>
      </c>
      <c r="K135" t="str" cm="1">
        <f t="array" ref="K135">_xlfn.IFS(Table1[[#This Row],[tenure]]&lt;=2,"New",Table1[[#This Row],[tenure]]&lt;=5,"Emerging",Table1[[#This Row],[tenure]]&lt;=8,"Loyal",Table1[[#This Row],[tenure]]&lt;=10,"Legacy")</f>
        <v>Loyal</v>
      </c>
      <c r="L135" t="str">
        <f>TEXT(Table1[[#This Row],[Join_Date]],"mmm-yyyy")</f>
        <v>Jul-2018</v>
      </c>
      <c r="M135">
        <v>7</v>
      </c>
      <c r="N135">
        <f>YEAR(Table1[[#This Row],[Join_Date]])</f>
        <v>2018</v>
      </c>
      <c r="O135" s="1">
        <v>43302</v>
      </c>
      <c r="P135" s="1"/>
    </row>
    <row r="136" spans="1:16" x14ac:dyDescent="0.25">
      <c r="A136" t="s">
        <v>303</v>
      </c>
      <c r="B136" t="s">
        <v>304</v>
      </c>
      <c r="C136" t="s">
        <v>14</v>
      </c>
      <c r="D136" t="s">
        <v>15</v>
      </c>
      <c r="E136">
        <v>39</v>
      </c>
      <c r="F136" t="s">
        <v>42</v>
      </c>
      <c r="G136" t="s">
        <v>39</v>
      </c>
      <c r="H136" t="str" cm="1">
        <f t="array" ref="H136">_xlfn.IFS(I136&lt;30000,"Low",I136&lt;60000,"Medium",I136&lt;100000,"High",TRUE,"Premium")</f>
        <v>High</v>
      </c>
      <c r="I136" s="2">
        <v>95418</v>
      </c>
      <c r="J136" t="s">
        <v>26</v>
      </c>
      <c r="K136" t="str" cm="1">
        <f t="array" ref="K136">_xlfn.IFS(Table1[[#This Row],[tenure]]&lt;=2,"New",Table1[[#This Row],[tenure]]&lt;=5,"Emerging",Table1[[#This Row],[tenure]]&lt;=8,"Loyal",Table1[[#This Row],[tenure]]&lt;=10,"Legacy")</f>
        <v>Loyal</v>
      </c>
      <c r="L136" t="str">
        <f>TEXT(Table1[[#This Row],[Join_Date]],"mmm-yyyy")</f>
        <v>Jun-2018</v>
      </c>
      <c r="M136">
        <v>7</v>
      </c>
      <c r="N136">
        <f>YEAR(Table1[[#This Row],[Join_Date]])</f>
        <v>2018</v>
      </c>
      <c r="O136" s="1">
        <v>43262</v>
      </c>
      <c r="P136" s="1"/>
    </row>
    <row r="137" spans="1:16" x14ac:dyDescent="0.25">
      <c r="A137" t="s">
        <v>305</v>
      </c>
      <c r="B137" t="s">
        <v>306</v>
      </c>
      <c r="C137" t="s">
        <v>14</v>
      </c>
      <c r="D137" t="s">
        <v>54</v>
      </c>
      <c r="E137">
        <v>74</v>
      </c>
      <c r="F137" t="s">
        <v>42</v>
      </c>
      <c r="G137" t="s">
        <v>39</v>
      </c>
      <c r="H137" t="str" cm="1">
        <f t="array" ref="H137">_xlfn.IFS(I137&lt;30000,"Low",I137&lt;60000,"Medium",I137&lt;100000,"High",TRUE,"Premium")</f>
        <v>Premium</v>
      </c>
      <c r="I137" s="2">
        <v>148232</v>
      </c>
      <c r="J137" t="s">
        <v>26</v>
      </c>
      <c r="K137" t="str" cm="1">
        <f t="array" ref="K137">_xlfn.IFS(Table1[[#This Row],[tenure]]&lt;=2,"New",Table1[[#This Row],[tenure]]&lt;=5,"Emerging",Table1[[#This Row],[tenure]]&lt;=8,"Loyal",Table1[[#This Row],[tenure]]&lt;=10,"Legacy")</f>
        <v>New</v>
      </c>
      <c r="L137" t="str">
        <f>TEXT(Table1[[#This Row],[Join_Date]],"mmm-yyyy")</f>
        <v>May-2024</v>
      </c>
      <c r="M137">
        <v>1</v>
      </c>
      <c r="N137">
        <f>YEAR(Table1[[#This Row],[Join_Date]])</f>
        <v>2024</v>
      </c>
      <c r="O137" s="1">
        <v>45439</v>
      </c>
      <c r="P137" s="1"/>
    </row>
    <row r="138" spans="1:16" x14ac:dyDescent="0.25">
      <c r="A138" t="s">
        <v>307</v>
      </c>
      <c r="B138" t="s">
        <v>308</v>
      </c>
      <c r="C138" t="s">
        <v>14</v>
      </c>
      <c r="D138" t="s">
        <v>23</v>
      </c>
      <c r="E138">
        <v>46</v>
      </c>
      <c r="F138" t="s">
        <v>16</v>
      </c>
      <c r="G138" t="s">
        <v>17</v>
      </c>
      <c r="H138" t="str" cm="1">
        <f t="array" ref="H138">_xlfn.IFS(I138&lt;30000,"Low",I138&lt;60000,"Medium",I138&lt;100000,"High",TRUE,"Premium")</f>
        <v>Premium</v>
      </c>
      <c r="I138" s="2">
        <v>185904</v>
      </c>
      <c r="J138" t="s">
        <v>18</v>
      </c>
      <c r="K138" t="str" cm="1">
        <f t="array" ref="K138">_xlfn.IFS(Table1[[#This Row],[tenure]]&lt;=2,"New",Table1[[#This Row],[tenure]]&lt;=5,"Emerging",Table1[[#This Row],[tenure]]&lt;=8,"Loyal",Table1[[#This Row],[tenure]]&lt;=10,"Legacy")</f>
        <v>Loyal</v>
      </c>
      <c r="L138" t="str">
        <f>TEXT(Table1[[#This Row],[Join_Date]],"mmm-yyyy")</f>
        <v>May-2019</v>
      </c>
      <c r="M138">
        <v>6</v>
      </c>
      <c r="N138">
        <f>YEAR(Table1[[#This Row],[Join_Date]])</f>
        <v>2019</v>
      </c>
      <c r="O138" s="1">
        <v>43594</v>
      </c>
      <c r="P138" s="1"/>
    </row>
    <row r="139" spans="1:16" x14ac:dyDescent="0.25">
      <c r="A139" t="s">
        <v>309</v>
      </c>
      <c r="B139" t="s">
        <v>310</v>
      </c>
      <c r="C139" t="s">
        <v>14</v>
      </c>
      <c r="D139" t="s">
        <v>15</v>
      </c>
      <c r="E139">
        <v>31</v>
      </c>
      <c r="F139" t="s">
        <v>42</v>
      </c>
      <c r="G139" t="s">
        <v>51</v>
      </c>
      <c r="H139" t="str" cm="1">
        <f t="array" ref="H139">_xlfn.IFS(I139&lt;30000,"Low",I139&lt;60000,"Medium",I139&lt;100000,"High",TRUE,"Premium")</f>
        <v>Premium</v>
      </c>
      <c r="I139" s="2">
        <v>183038</v>
      </c>
      <c r="J139" t="s">
        <v>18</v>
      </c>
      <c r="K139" t="str" cm="1">
        <f t="array" ref="K139">_xlfn.IFS(Table1[[#This Row],[tenure]]&lt;=2,"New",Table1[[#This Row],[tenure]]&lt;=5,"Emerging",Table1[[#This Row],[tenure]]&lt;=8,"Loyal",Table1[[#This Row],[tenure]]&lt;=10,"Legacy")</f>
        <v>Loyal</v>
      </c>
      <c r="L139" t="str">
        <f>TEXT(Table1[[#This Row],[Join_Date]],"mmm-yyyy")</f>
        <v>Mar-2017</v>
      </c>
      <c r="M139">
        <v>8</v>
      </c>
      <c r="N139">
        <f>YEAR(Table1[[#This Row],[Join_Date]])</f>
        <v>2017</v>
      </c>
      <c r="O139" s="1">
        <v>42817</v>
      </c>
      <c r="P139" s="1"/>
    </row>
    <row r="140" spans="1:16" x14ac:dyDescent="0.25">
      <c r="A140" t="s">
        <v>311</v>
      </c>
      <c r="B140" t="s">
        <v>312</v>
      </c>
      <c r="C140" t="s">
        <v>14</v>
      </c>
      <c r="D140" t="s">
        <v>23</v>
      </c>
      <c r="E140">
        <v>45</v>
      </c>
      <c r="F140" t="s">
        <v>42</v>
      </c>
      <c r="G140" t="s">
        <v>25</v>
      </c>
      <c r="H140" t="str" cm="1">
        <f t="array" ref="H140">_xlfn.IFS(I140&lt;30000,"Low",I140&lt;60000,"Medium",I140&lt;100000,"High",TRUE,"Premium")</f>
        <v>Premium</v>
      </c>
      <c r="I140" s="2">
        <v>164059</v>
      </c>
      <c r="J140" t="s">
        <v>18</v>
      </c>
      <c r="K140" t="str" cm="1">
        <f t="array" ref="K140">_xlfn.IFS(Table1[[#This Row],[tenure]]&lt;=2,"New",Table1[[#This Row],[tenure]]&lt;=5,"Emerging",Table1[[#This Row],[tenure]]&lt;=8,"Loyal",Table1[[#This Row],[tenure]]&lt;=10,"Legacy")</f>
        <v>New</v>
      </c>
      <c r="L140" t="str">
        <f>TEXT(Table1[[#This Row],[Join_Date]],"mmm-yyyy")</f>
        <v>Nov-2024</v>
      </c>
      <c r="M140">
        <v>1</v>
      </c>
      <c r="N140">
        <f>YEAR(Table1[[#This Row],[Join_Date]])</f>
        <v>2024</v>
      </c>
      <c r="O140" s="1">
        <v>45619</v>
      </c>
      <c r="P140" s="1"/>
    </row>
    <row r="141" spans="1:16" x14ac:dyDescent="0.25">
      <c r="A141" t="s">
        <v>313</v>
      </c>
      <c r="B141" t="s">
        <v>314</v>
      </c>
      <c r="C141" t="s">
        <v>14</v>
      </c>
      <c r="D141" t="s">
        <v>37</v>
      </c>
      <c r="E141">
        <v>22</v>
      </c>
      <c r="F141" t="s">
        <v>16</v>
      </c>
      <c r="G141" t="s">
        <v>46</v>
      </c>
      <c r="H141" t="str" cm="1">
        <f t="array" ref="H141">_xlfn.IFS(I141&lt;30000,"Low",I141&lt;60000,"Medium",I141&lt;100000,"High",TRUE,"Premium")</f>
        <v>Premium</v>
      </c>
      <c r="I141" s="2">
        <v>188383</v>
      </c>
      <c r="J141" t="s">
        <v>26</v>
      </c>
      <c r="K141" t="str" cm="1">
        <f t="array" ref="K141">_xlfn.IFS(Table1[[#This Row],[tenure]]&lt;=2,"New",Table1[[#This Row],[tenure]]&lt;=5,"Emerging",Table1[[#This Row],[tenure]]&lt;=8,"Loyal",Table1[[#This Row],[tenure]]&lt;=10,"Legacy")</f>
        <v>Loyal</v>
      </c>
      <c r="L141" t="str">
        <f>TEXT(Table1[[#This Row],[Join_Date]],"mmm-yyyy")</f>
        <v>Sep-2018</v>
      </c>
      <c r="M141">
        <v>7</v>
      </c>
      <c r="N141">
        <f>YEAR(Table1[[#This Row],[Join_Date]])</f>
        <v>2018</v>
      </c>
      <c r="O141" s="1">
        <v>43371</v>
      </c>
      <c r="P141" s="1"/>
    </row>
    <row r="142" spans="1:16" x14ac:dyDescent="0.25">
      <c r="A142" t="s">
        <v>315</v>
      </c>
      <c r="B142" t="s">
        <v>316</v>
      </c>
      <c r="C142" t="s">
        <v>22</v>
      </c>
      <c r="D142" t="s">
        <v>54</v>
      </c>
      <c r="E142">
        <v>64</v>
      </c>
      <c r="F142" t="s">
        <v>24</v>
      </c>
      <c r="G142" t="s">
        <v>34</v>
      </c>
      <c r="H142" t="str" cm="1">
        <f t="array" ref="H142">_xlfn.IFS(I142&lt;30000,"Low",I142&lt;60000,"Medium",I142&lt;100000,"High",TRUE,"Premium")</f>
        <v>Medium</v>
      </c>
      <c r="I142" s="2">
        <v>51575</v>
      </c>
      <c r="J142" t="s">
        <v>26</v>
      </c>
      <c r="K142" t="str" cm="1">
        <f t="array" ref="K142">_xlfn.IFS(Table1[[#This Row],[tenure]]&lt;=2,"New",Table1[[#This Row],[tenure]]&lt;=5,"Emerging",Table1[[#This Row],[tenure]]&lt;=8,"Loyal",Table1[[#This Row],[tenure]]&lt;=10,"Legacy")</f>
        <v>Loyal</v>
      </c>
      <c r="L142" t="str">
        <f>TEXT(Table1[[#This Row],[Join_Date]],"mmm-yyyy")</f>
        <v>Aug-2018</v>
      </c>
      <c r="M142">
        <v>7</v>
      </c>
      <c r="N142">
        <f>YEAR(Table1[[#This Row],[Join_Date]])</f>
        <v>2018</v>
      </c>
      <c r="O142" s="1">
        <v>43326</v>
      </c>
      <c r="P142" s="1"/>
    </row>
    <row r="143" spans="1:16" x14ac:dyDescent="0.25">
      <c r="A143" t="s">
        <v>317</v>
      </c>
      <c r="B143" t="s">
        <v>318</v>
      </c>
      <c r="C143" t="s">
        <v>14</v>
      </c>
      <c r="D143" t="s">
        <v>54</v>
      </c>
      <c r="E143">
        <v>66</v>
      </c>
      <c r="F143" t="s">
        <v>16</v>
      </c>
      <c r="G143" t="s">
        <v>51</v>
      </c>
      <c r="H143" t="str" cm="1">
        <f t="array" ref="H143">_xlfn.IFS(I143&lt;30000,"Low",I143&lt;60000,"Medium",I143&lt;100000,"High",TRUE,"Premium")</f>
        <v>High</v>
      </c>
      <c r="I143" s="2">
        <v>83852</v>
      </c>
      <c r="J143" t="s">
        <v>18</v>
      </c>
      <c r="K143" t="str" cm="1">
        <f t="array" ref="K143">_xlfn.IFS(Table1[[#This Row],[tenure]]&lt;=2,"New",Table1[[#This Row],[tenure]]&lt;=5,"Emerging",Table1[[#This Row],[tenure]]&lt;=8,"Loyal",Table1[[#This Row],[tenure]]&lt;=10,"Legacy")</f>
        <v>New</v>
      </c>
      <c r="L143" t="str">
        <f>TEXT(Table1[[#This Row],[Join_Date]],"mmm-yyyy")</f>
        <v>Sep-2024</v>
      </c>
      <c r="M143">
        <v>1</v>
      </c>
      <c r="N143">
        <f>YEAR(Table1[[#This Row],[Join_Date]])</f>
        <v>2024</v>
      </c>
      <c r="O143" s="1">
        <v>45560</v>
      </c>
      <c r="P143" s="1"/>
    </row>
    <row r="144" spans="1:16" x14ac:dyDescent="0.25">
      <c r="A144" t="s">
        <v>319</v>
      </c>
      <c r="B144" t="s">
        <v>320</v>
      </c>
      <c r="C144" t="s">
        <v>22</v>
      </c>
      <c r="D144" t="s">
        <v>23</v>
      </c>
      <c r="E144">
        <v>47</v>
      </c>
      <c r="F144" t="s">
        <v>42</v>
      </c>
      <c r="G144" t="s">
        <v>51</v>
      </c>
      <c r="H144" t="str" cm="1">
        <f t="array" ref="H144">_xlfn.IFS(I144&lt;30000,"Low",I144&lt;60000,"Medium",I144&lt;100000,"High",TRUE,"Premium")</f>
        <v>Premium</v>
      </c>
      <c r="I144" s="2">
        <v>152079</v>
      </c>
      <c r="J144" t="s">
        <v>18</v>
      </c>
      <c r="K144" t="str" cm="1">
        <f t="array" ref="K144">_xlfn.IFS(Table1[[#This Row],[tenure]]&lt;=2,"New",Table1[[#This Row],[tenure]]&lt;=5,"Emerging",Table1[[#This Row],[tenure]]&lt;=8,"Loyal",Table1[[#This Row],[tenure]]&lt;=10,"Legacy")</f>
        <v>Emerging</v>
      </c>
      <c r="L144" t="str">
        <f>TEXT(Table1[[#This Row],[Join_Date]],"mmm-yyyy")</f>
        <v>Nov-2021</v>
      </c>
      <c r="M144">
        <v>4</v>
      </c>
      <c r="N144">
        <f>YEAR(Table1[[#This Row],[Join_Date]])</f>
        <v>2021</v>
      </c>
      <c r="O144" s="1">
        <v>44528</v>
      </c>
      <c r="P144" s="1"/>
    </row>
    <row r="145" spans="1:16" x14ac:dyDescent="0.25">
      <c r="A145" t="s">
        <v>321</v>
      </c>
      <c r="B145" t="s">
        <v>322</v>
      </c>
      <c r="C145" t="s">
        <v>22</v>
      </c>
      <c r="D145" t="s">
        <v>54</v>
      </c>
      <c r="E145">
        <v>63</v>
      </c>
      <c r="F145" t="s">
        <v>16</v>
      </c>
      <c r="G145" t="s">
        <v>17</v>
      </c>
      <c r="H145" t="str" cm="1">
        <f t="array" ref="H145">_xlfn.IFS(I145&lt;30000,"Low",I145&lt;60000,"Medium",I145&lt;100000,"High",TRUE,"Premium")</f>
        <v>High</v>
      </c>
      <c r="I145" s="2">
        <v>96242</v>
      </c>
      <c r="J145" t="s">
        <v>18</v>
      </c>
      <c r="K145" t="str" cm="1">
        <f t="array" ref="K145">_xlfn.IFS(Table1[[#This Row],[tenure]]&lt;=2,"New",Table1[[#This Row],[tenure]]&lt;=5,"Emerging",Table1[[#This Row],[tenure]]&lt;=8,"Loyal",Table1[[#This Row],[tenure]]&lt;=10,"Legacy")</f>
        <v>Loyal</v>
      </c>
      <c r="L145" t="str">
        <f>TEXT(Table1[[#This Row],[Join_Date]],"mmm-yyyy")</f>
        <v>Dec-2017</v>
      </c>
      <c r="M145">
        <v>8</v>
      </c>
      <c r="N145">
        <f>YEAR(Table1[[#This Row],[Join_Date]])</f>
        <v>2017</v>
      </c>
      <c r="O145" s="1">
        <v>43084</v>
      </c>
      <c r="P145" s="1"/>
    </row>
    <row r="146" spans="1:16" x14ac:dyDescent="0.25">
      <c r="A146" t="s">
        <v>323</v>
      </c>
      <c r="B146" t="s">
        <v>324</v>
      </c>
      <c r="C146" t="s">
        <v>22</v>
      </c>
      <c r="D146" t="s">
        <v>54</v>
      </c>
      <c r="E146">
        <v>69</v>
      </c>
      <c r="F146" t="s">
        <v>24</v>
      </c>
      <c r="G146" t="s">
        <v>29</v>
      </c>
      <c r="H146" t="str" cm="1">
        <f t="array" ref="H146">_xlfn.IFS(I146&lt;30000,"Low",I146&lt;60000,"Medium",I146&lt;100000,"High",TRUE,"Premium")</f>
        <v>Premium</v>
      </c>
      <c r="I146" s="2">
        <v>198589</v>
      </c>
      <c r="J146" t="s">
        <v>18</v>
      </c>
      <c r="K146" t="str" cm="1">
        <f t="array" ref="K146">_xlfn.IFS(Table1[[#This Row],[tenure]]&lt;=2,"New",Table1[[#This Row],[tenure]]&lt;=5,"Emerging",Table1[[#This Row],[tenure]]&lt;=8,"Loyal",Table1[[#This Row],[tenure]]&lt;=10,"Legacy")</f>
        <v>Loyal</v>
      </c>
      <c r="L146" t="str">
        <f>TEXT(Table1[[#This Row],[Join_Date]],"mmm-yyyy")</f>
        <v>May-2019</v>
      </c>
      <c r="M146">
        <v>6</v>
      </c>
      <c r="N146">
        <f>YEAR(Table1[[#This Row],[Join_Date]])</f>
        <v>2019</v>
      </c>
      <c r="O146" s="1">
        <v>43588</v>
      </c>
      <c r="P146" s="1"/>
    </row>
    <row r="147" spans="1:16" x14ac:dyDescent="0.25">
      <c r="A147" t="s">
        <v>325</v>
      </c>
      <c r="B147" t="s">
        <v>326</v>
      </c>
      <c r="C147" t="s">
        <v>14</v>
      </c>
      <c r="D147" t="s">
        <v>37</v>
      </c>
      <c r="E147">
        <v>22</v>
      </c>
      <c r="F147" t="s">
        <v>16</v>
      </c>
      <c r="G147" t="s">
        <v>29</v>
      </c>
      <c r="H147" t="str" cm="1">
        <f t="array" ref="H147">_xlfn.IFS(I147&lt;30000,"Low",I147&lt;60000,"Medium",I147&lt;100000,"High",TRUE,"Premium")</f>
        <v>Medium</v>
      </c>
      <c r="I147" s="2">
        <v>49257</v>
      </c>
      <c r="J147" t="s">
        <v>18</v>
      </c>
      <c r="K147" t="str" cm="1">
        <f t="array" ref="K147">_xlfn.IFS(Table1[[#This Row],[tenure]]&lt;=2,"New",Table1[[#This Row],[tenure]]&lt;=5,"Emerging",Table1[[#This Row],[tenure]]&lt;=8,"Loyal",Table1[[#This Row],[tenure]]&lt;=10,"Legacy")</f>
        <v>Emerging</v>
      </c>
      <c r="L147" t="str">
        <f>TEXT(Table1[[#This Row],[Join_Date]],"mmm-yyyy")</f>
        <v>Jul-2020</v>
      </c>
      <c r="M147">
        <v>5</v>
      </c>
      <c r="N147">
        <f>YEAR(Table1[[#This Row],[Join_Date]])</f>
        <v>2020</v>
      </c>
      <c r="O147" s="1">
        <v>44029</v>
      </c>
      <c r="P147" s="1"/>
    </row>
    <row r="148" spans="1:16" x14ac:dyDescent="0.25">
      <c r="A148" t="s">
        <v>327</v>
      </c>
      <c r="B148" t="s">
        <v>328</v>
      </c>
      <c r="C148" t="s">
        <v>14</v>
      </c>
      <c r="D148" t="s">
        <v>15</v>
      </c>
      <c r="E148">
        <v>29</v>
      </c>
      <c r="F148" t="s">
        <v>42</v>
      </c>
      <c r="G148" t="s">
        <v>17</v>
      </c>
      <c r="H148" t="str" cm="1">
        <f t="array" ref="H148">_xlfn.IFS(I148&lt;30000,"Low",I148&lt;60000,"Medium",I148&lt;100000,"High",TRUE,"Premium")</f>
        <v>Premium</v>
      </c>
      <c r="I148" s="2">
        <v>193279</v>
      </c>
      <c r="J148" t="s">
        <v>30</v>
      </c>
      <c r="K148" t="str" cm="1">
        <f t="array" ref="K148">_xlfn.IFS(Table1[[#This Row],[tenure]]&lt;=2,"New",Table1[[#This Row],[tenure]]&lt;=5,"Emerging",Table1[[#This Row],[tenure]]&lt;=8,"Loyal",Table1[[#This Row],[tenure]]&lt;=10,"Legacy")</f>
        <v>Loyal</v>
      </c>
      <c r="L148" t="str">
        <f>TEXT(Table1[[#This Row],[Join_Date]],"mmm-yyyy")</f>
        <v>Feb-2020</v>
      </c>
      <c r="M148">
        <v>6</v>
      </c>
      <c r="N148">
        <f>YEAR(Table1[[#This Row],[Join_Date]])</f>
        <v>2020</v>
      </c>
      <c r="O148" s="1">
        <v>43888</v>
      </c>
      <c r="P148" s="1"/>
    </row>
    <row r="149" spans="1:16" x14ac:dyDescent="0.25">
      <c r="A149" t="s">
        <v>329</v>
      </c>
      <c r="B149" t="s">
        <v>330</v>
      </c>
      <c r="C149" t="s">
        <v>14</v>
      </c>
      <c r="D149" t="s">
        <v>15</v>
      </c>
      <c r="E149">
        <v>33</v>
      </c>
      <c r="F149" t="s">
        <v>24</v>
      </c>
      <c r="G149" t="s">
        <v>39</v>
      </c>
      <c r="H149" t="str" cm="1">
        <f t="array" ref="H149">_xlfn.IFS(I149&lt;30000,"Low",I149&lt;60000,"Medium",I149&lt;100000,"High",TRUE,"Premium")</f>
        <v>Premium</v>
      </c>
      <c r="I149" s="2">
        <v>164353</v>
      </c>
      <c r="J149" t="s">
        <v>18</v>
      </c>
      <c r="K149" t="str" cm="1">
        <f t="array" ref="K149">_xlfn.IFS(Table1[[#This Row],[tenure]]&lt;=2,"New",Table1[[#This Row],[tenure]]&lt;=5,"Emerging",Table1[[#This Row],[tenure]]&lt;=8,"Loyal",Table1[[#This Row],[tenure]]&lt;=10,"Legacy")</f>
        <v>Loyal</v>
      </c>
      <c r="L149" t="str">
        <f>TEXT(Table1[[#This Row],[Join_Date]],"mmm-yyyy")</f>
        <v>Aug-2018</v>
      </c>
      <c r="M149">
        <v>7</v>
      </c>
      <c r="N149">
        <f>YEAR(Table1[[#This Row],[Join_Date]])</f>
        <v>2018</v>
      </c>
      <c r="O149" s="1">
        <v>43337</v>
      </c>
      <c r="P149" s="1"/>
    </row>
    <row r="150" spans="1:16" x14ac:dyDescent="0.25">
      <c r="A150" t="s">
        <v>331</v>
      </c>
      <c r="B150" t="s">
        <v>332</v>
      </c>
      <c r="C150" t="s">
        <v>14</v>
      </c>
      <c r="D150" t="s">
        <v>15</v>
      </c>
      <c r="E150">
        <v>43</v>
      </c>
      <c r="F150" t="s">
        <v>38</v>
      </c>
      <c r="G150" t="s">
        <v>29</v>
      </c>
      <c r="H150" t="str" cm="1">
        <f t="array" ref="H150">_xlfn.IFS(I150&lt;30000,"Low",I150&lt;60000,"Medium",I150&lt;100000,"High",TRUE,"Premium")</f>
        <v>High</v>
      </c>
      <c r="I150" s="2">
        <v>81246</v>
      </c>
      <c r="J150" t="s">
        <v>26</v>
      </c>
      <c r="K150" t="str" cm="1">
        <f t="array" ref="K150">_xlfn.IFS(Table1[[#This Row],[tenure]]&lt;=2,"New",Table1[[#This Row],[tenure]]&lt;=5,"Emerging",Table1[[#This Row],[tenure]]&lt;=8,"Loyal",Table1[[#This Row],[tenure]]&lt;=10,"Legacy")</f>
        <v>Emerging</v>
      </c>
      <c r="L150" t="str">
        <f>TEXT(Table1[[#This Row],[Join_Date]],"mmm-yyyy")</f>
        <v>Nov-2022</v>
      </c>
      <c r="M150">
        <v>3</v>
      </c>
      <c r="N150">
        <f>YEAR(Table1[[#This Row],[Join_Date]])</f>
        <v>2022</v>
      </c>
      <c r="O150" s="1">
        <v>44893</v>
      </c>
      <c r="P150" s="1"/>
    </row>
    <row r="151" spans="1:16" x14ac:dyDescent="0.25">
      <c r="A151" t="s">
        <v>333</v>
      </c>
      <c r="B151" t="s">
        <v>334</v>
      </c>
      <c r="C151" t="s">
        <v>22</v>
      </c>
      <c r="D151" t="s">
        <v>15</v>
      </c>
      <c r="E151">
        <v>43</v>
      </c>
      <c r="F151" t="s">
        <v>42</v>
      </c>
      <c r="G151" t="s">
        <v>25</v>
      </c>
      <c r="H151" t="str" cm="1">
        <f t="array" ref="H151">_xlfn.IFS(I151&lt;30000,"Low",I151&lt;60000,"Medium",I151&lt;100000,"High",TRUE,"Premium")</f>
        <v>Low</v>
      </c>
      <c r="I151" s="2">
        <v>21435</v>
      </c>
      <c r="J151" t="s">
        <v>18</v>
      </c>
      <c r="K151" t="str" cm="1">
        <f t="array" ref="K151">_xlfn.IFS(Table1[[#This Row],[tenure]]&lt;=2,"New",Table1[[#This Row],[tenure]]&lt;=5,"Emerging",Table1[[#This Row],[tenure]]&lt;=8,"Loyal",Table1[[#This Row],[tenure]]&lt;=10,"Legacy")</f>
        <v>Emerging</v>
      </c>
      <c r="L151" t="str">
        <f>TEXT(Table1[[#This Row],[Join_Date]],"mmm-yyyy")</f>
        <v>Jul-2020</v>
      </c>
      <c r="M151">
        <v>5</v>
      </c>
      <c r="N151">
        <f>YEAR(Table1[[#This Row],[Join_Date]])</f>
        <v>2020</v>
      </c>
      <c r="O151" s="1">
        <v>44015</v>
      </c>
      <c r="P151" s="1"/>
    </row>
    <row r="152" spans="1:16" x14ac:dyDescent="0.25">
      <c r="A152" t="s">
        <v>335</v>
      </c>
      <c r="B152" t="s">
        <v>336</v>
      </c>
      <c r="C152" t="s">
        <v>14</v>
      </c>
      <c r="D152" t="s">
        <v>54</v>
      </c>
      <c r="E152">
        <v>65</v>
      </c>
      <c r="F152" t="s">
        <v>24</v>
      </c>
      <c r="G152" t="s">
        <v>46</v>
      </c>
      <c r="H152" t="str" cm="1">
        <f t="array" ref="H152">_xlfn.IFS(I152&lt;30000,"Low",I152&lt;60000,"Medium",I152&lt;100000,"High",TRUE,"Premium")</f>
        <v>Premium</v>
      </c>
      <c r="I152" s="2">
        <v>111357</v>
      </c>
      <c r="J152" t="s">
        <v>18</v>
      </c>
      <c r="K152" t="str" cm="1">
        <f t="array" ref="K152">_xlfn.IFS(Table1[[#This Row],[tenure]]&lt;=2,"New",Table1[[#This Row],[tenure]]&lt;=5,"Emerging",Table1[[#This Row],[tenure]]&lt;=8,"Loyal",Table1[[#This Row],[tenure]]&lt;=10,"Legacy")</f>
        <v>Emerging</v>
      </c>
      <c r="L152" t="str">
        <f>TEXT(Table1[[#This Row],[Join_Date]],"mmm-yyyy")</f>
        <v>Apr-2020</v>
      </c>
      <c r="M152">
        <v>5</v>
      </c>
      <c r="N152">
        <f>YEAR(Table1[[#This Row],[Join_Date]])</f>
        <v>2020</v>
      </c>
      <c r="O152" s="1">
        <v>43949</v>
      </c>
      <c r="P152" s="1"/>
    </row>
    <row r="153" spans="1:16" x14ac:dyDescent="0.25">
      <c r="A153" t="s">
        <v>337</v>
      </c>
      <c r="B153" t="s">
        <v>338</v>
      </c>
      <c r="C153" t="s">
        <v>14</v>
      </c>
      <c r="D153" t="s">
        <v>15</v>
      </c>
      <c r="E153">
        <v>38</v>
      </c>
      <c r="F153" t="s">
        <v>24</v>
      </c>
      <c r="G153" t="s">
        <v>51</v>
      </c>
      <c r="H153" t="str" cm="1">
        <f t="array" ref="H153">_xlfn.IFS(I153&lt;30000,"Low",I153&lt;60000,"Medium",I153&lt;100000,"High",TRUE,"Premium")</f>
        <v>Premium</v>
      </c>
      <c r="I153" s="2">
        <v>177732</v>
      </c>
      <c r="J153" t="s">
        <v>26</v>
      </c>
      <c r="K153" t="str" cm="1">
        <f t="array" ref="K153">_xlfn.IFS(Table1[[#This Row],[tenure]]&lt;=2,"New",Table1[[#This Row],[tenure]]&lt;=5,"Emerging",Table1[[#This Row],[tenure]]&lt;=8,"Loyal",Table1[[#This Row],[tenure]]&lt;=10,"Legacy")</f>
        <v>Loyal</v>
      </c>
      <c r="L153" t="str">
        <f>TEXT(Table1[[#This Row],[Join_Date]],"mmm-yyyy")</f>
        <v>Nov-2018</v>
      </c>
      <c r="M153">
        <v>7</v>
      </c>
      <c r="N153">
        <f>YEAR(Table1[[#This Row],[Join_Date]])</f>
        <v>2018</v>
      </c>
      <c r="O153" s="1">
        <v>43409</v>
      </c>
      <c r="P153" s="1"/>
    </row>
    <row r="154" spans="1:16" x14ac:dyDescent="0.25">
      <c r="A154" t="s">
        <v>339</v>
      </c>
      <c r="B154" t="s">
        <v>340</v>
      </c>
      <c r="C154" t="s">
        <v>14</v>
      </c>
      <c r="D154" t="s">
        <v>23</v>
      </c>
      <c r="E154">
        <v>56</v>
      </c>
      <c r="F154" t="s">
        <v>38</v>
      </c>
      <c r="G154" t="s">
        <v>51</v>
      </c>
      <c r="H154" t="str" cm="1">
        <f t="array" ref="H154">_xlfn.IFS(I154&lt;30000,"Low",I154&lt;60000,"Medium",I154&lt;100000,"High",TRUE,"Premium")</f>
        <v>Premium</v>
      </c>
      <c r="I154" s="2">
        <v>156156</v>
      </c>
      <c r="J154" t="s">
        <v>26</v>
      </c>
      <c r="K154" t="str" cm="1">
        <f t="array" ref="K154">_xlfn.IFS(Table1[[#This Row],[tenure]]&lt;=2,"New",Table1[[#This Row],[tenure]]&lt;=5,"Emerging",Table1[[#This Row],[tenure]]&lt;=8,"Loyal",Table1[[#This Row],[tenure]]&lt;=10,"Legacy")</f>
        <v>Legacy</v>
      </c>
      <c r="L154" t="str">
        <f>TEXT(Table1[[#This Row],[Join_Date]],"mmm-yyyy")</f>
        <v>Dec-2015</v>
      </c>
      <c r="M154">
        <v>10</v>
      </c>
      <c r="N154">
        <f>YEAR(Table1[[#This Row],[Join_Date]])</f>
        <v>2015</v>
      </c>
      <c r="O154" s="1">
        <v>42365</v>
      </c>
      <c r="P154" s="1"/>
    </row>
    <row r="155" spans="1:16" x14ac:dyDescent="0.25">
      <c r="A155" t="s">
        <v>341</v>
      </c>
      <c r="B155" t="s">
        <v>342</v>
      </c>
      <c r="C155" t="s">
        <v>14</v>
      </c>
      <c r="D155" t="s">
        <v>23</v>
      </c>
      <c r="E155">
        <v>53</v>
      </c>
      <c r="F155" t="s">
        <v>16</v>
      </c>
      <c r="G155" t="s">
        <v>25</v>
      </c>
      <c r="H155" t="str" cm="1">
        <f t="array" ref="H155">_xlfn.IFS(I155&lt;30000,"Low",I155&lt;60000,"Medium",I155&lt;100000,"High",TRUE,"Premium")</f>
        <v>Premium</v>
      </c>
      <c r="I155" s="2">
        <v>164579</v>
      </c>
      <c r="J155" t="s">
        <v>30</v>
      </c>
      <c r="K155" t="str" cm="1">
        <f t="array" ref="K155">_xlfn.IFS(Table1[[#This Row],[tenure]]&lt;=2,"New",Table1[[#This Row],[tenure]]&lt;=5,"Emerging",Table1[[#This Row],[tenure]]&lt;=8,"Loyal",Table1[[#This Row],[tenure]]&lt;=10,"Legacy")</f>
        <v>Legacy</v>
      </c>
      <c r="L155" t="str">
        <f>TEXT(Table1[[#This Row],[Join_Date]],"mmm-yyyy")</f>
        <v>Oct-2015</v>
      </c>
      <c r="M155">
        <v>10</v>
      </c>
      <c r="N155">
        <f>YEAR(Table1[[#This Row],[Join_Date]])</f>
        <v>2015</v>
      </c>
      <c r="O155" s="1">
        <v>42280</v>
      </c>
      <c r="P155" s="1"/>
    </row>
    <row r="156" spans="1:16" x14ac:dyDescent="0.25">
      <c r="A156" t="s">
        <v>343</v>
      </c>
      <c r="B156" t="s">
        <v>344</v>
      </c>
      <c r="C156" t="s">
        <v>14</v>
      </c>
      <c r="D156" t="s">
        <v>23</v>
      </c>
      <c r="E156">
        <v>50</v>
      </c>
      <c r="F156" t="s">
        <v>16</v>
      </c>
      <c r="G156" t="s">
        <v>29</v>
      </c>
      <c r="H156" t="str" cm="1">
        <f t="array" ref="H156">_xlfn.IFS(I156&lt;30000,"Low",I156&lt;60000,"Medium",I156&lt;100000,"High",TRUE,"Premium")</f>
        <v>Premium</v>
      </c>
      <c r="I156" s="2">
        <v>103807</v>
      </c>
      <c r="J156" t="s">
        <v>18</v>
      </c>
      <c r="K156" t="str" cm="1">
        <f t="array" ref="K156">_xlfn.IFS(Table1[[#This Row],[tenure]]&lt;=2,"New",Table1[[#This Row],[tenure]]&lt;=5,"Emerging",Table1[[#This Row],[tenure]]&lt;=8,"Loyal",Table1[[#This Row],[tenure]]&lt;=10,"Legacy")</f>
        <v>New</v>
      </c>
      <c r="L156" t="str">
        <f>TEXT(Table1[[#This Row],[Join_Date]],"mmm-yyyy")</f>
        <v>Dec-2023</v>
      </c>
      <c r="M156">
        <v>2</v>
      </c>
      <c r="N156">
        <f>YEAR(Table1[[#This Row],[Join_Date]])</f>
        <v>2023</v>
      </c>
      <c r="O156" s="1">
        <v>45264</v>
      </c>
      <c r="P156" s="1"/>
    </row>
    <row r="157" spans="1:16" x14ac:dyDescent="0.25">
      <c r="A157" t="s">
        <v>345</v>
      </c>
      <c r="B157" t="s">
        <v>346</v>
      </c>
      <c r="C157" t="s">
        <v>22</v>
      </c>
      <c r="D157" t="s">
        <v>23</v>
      </c>
      <c r="E157">
        <v>47</v>
      </c>
      <c r="F157" t="s">
        <v>42</v>
      </c>
      <c r="G157" t="s">
        <v>51</v>
      </c>
      <c r="H157" t="str" cm="1">
        <f t="array" ref="H157">_xlfn.IFS(I157&lt;30000,"Low",I157&lt;60000,"Medium",I157&lt;100000,"High",TRUE,"Premium")</f>
        <v>Premium</v>
      </c>
      <c r="I157" s="2">
        <v>196611</v>
      </c>
      <c r="J157" t="s">
        <v>18</v>
      </c>
      <c r="K157" t="str" cm="1">
        <f t="array" ref="K157">_xlfn.IFS(Table1[[#This Row],[tenure]]&lt;=2,"New",Table1[[#This Row],[tenure]]&lt;=5,"Emerging",Table1[[#This Row],[tenure]]&lt;=8,"Loyal",Table1[[#This Row],[tenure]]&lt;=10,"Legacy")</f>
        <v>Emerging</v>
      </c>
      <c r="L157" t="str">
        <f>TEXT(Table1[[#This Row],[Join_Date]],"mmm-yyyy")</f>
        <v>Oct-2022</v>
      </c>
      <c r="M157">
        <v>3</v>
      </c>
      <c r="N157">
        <f>YEAR(Table1[[#This Row],[Join_Date]])</f>
        <v>2022</v>
      </c>
      <c r="O157" s="1">
        <v>44850</v>
      </c>
      <c r="P157" s="1"/>
    </row>
    <row r="158" spans="1:16" x14ac:dyDescent="0.25">
      <c r="A158" t="s">
        <v>347</v>
      </c>
      <c r="B158" t="s">
        <v>348</v>
      </c>
      <c r="C158" t="s">
        <v>14</v>
      </c>
      <c r="D158" t="s">
        <v>23</v>
      </c>
      <c r="E158">
        <v>54</v>
      </c>
      <c r="F158" t="s">
        <v>38</v>
      </c>
      <c r="G158" t="s">
        <v>34</v>
      </c>
      <c r="H158" t="str" cm="1">
        <f t="array" ref="H158">_xlfn.IFS(I158&lt;30000,"Low",I158&lt;60000,"Medium",I158&lt;100000,"High",TRUE,"Premium")</f>
        <v>Premium</v>
      </c>
      <c r="I158" s="2">
        <v>135953</v>
      </c>
      <c r="J158" t="s">
        <v>26</v>
      </c>
      <c r="K158" t="str" cm="1">
        <f t="array" ref="K158">_xlfn.IFS(Table1[[#This Row],[tenure]]&lt;=2,"New",Table1[[#This Row],[tenure]]&lt;=5,"Emerging",Table1[[#This Row],[tenure]]&lt;=8,"Loyal",Table1[[#This Row],[tenure]]&lt;=10,"Legacy")</f>
        <v>Loyal</v>
      </c>
      <c r="L158" t="str">
        <f>TEXT(Table1[[#This Row],[Join_Date]],"mmm-yyyy")</f>
        <v>Mar-2018</v>
      </c>
      <c r="M158">
        <v>8</v>
      </c>
      <c r="N158">
        <f>YEAR(Table1[[#This Row],[Join_Date]])</f>
        <v>2018</v>
      </c>
      <c r="O158" s="1">
        <v>43172</v>
      </c>
      <c r="P158" s="1"/>
    </row>
    <row r="159" spans="1:16" x14ac:dyDescent="0.25">
      <c r="A159" t="s">
        <v>349</v>
      </c>
      <c r="B159" t="s">
        <v>350</v>
      </c>
      <c r="C159" t="s">
        <v>22</v>
      </c>
      <c r="D159" t="s">
        <v>15</v>
      </c>
      <c r="E159">
        <v>40</v>
      </c>
      <c r="F159" t="s">
        <v>16</v>
      </c>
      <c r="G159" t="s">
        <v>46</v>
      </c>
      <c r="H159" t="str" cm="1">
        <f t="array" ref="H159">_xlfn.IFS(I159&lt;30000,"Low",I159&lt;60000,"Medium",I159&lt;100000,"High",TRUE,"Premium")</f>
        <v>Premium</v>
      </c>
      <c r="I159" s="2">
        <v>158563</v>
      </c>
      <c r="J159" t="s">
        <v>18</v>
      </c>
      <c r="K159" t="str" cm="1">
        <f t="array" ref="K159">_xlfn.IFS(Table1[[#This Row],[tenure]]&lt;=2,"New",Table1[[#This Row],[tenure]]&lt;=5,"Emerging",Table1[[#This Row],[tenure]]&lt;=8,"Loyal",Table1[[#This Row],[tenure]]&lt;=10,"Legacy")</f>
        <v>New</v>
      </c>
      <c r="L159" t="str">
        <f>TEXT(Table1[[#This Row],[Join_Date]],"mmm-yyyy")</f>
        <v>Apr-2025</v>
      </c>
      <c r="M159">
        <v>0</v>
      </c>
      <c r="N159">
        <f>YEAR(Table1[[#This Row],[Join_Date]])</f>
        <v>2025</v>
      </c>
      <c r="O159" s="1">
        <v>45774</v>
      </c>
      <c r="P159" s="1"/>
    </row>
    <row r="160" spans="1:16" x14ac:dyDescent="0.25">
      <c r="A160" t="s">
        <v>351</v>
      </c>
      <c r="B160" t="s">
        <v>352</v>
      </c>
      <c r="C160" t="s">
        <v>14</v>
      </c>
      <c r="D160" t="s">
        <v>37</v>
      </c>
      <c r="E160">
        <v>27</v>
      </c>
      <c r="F160" t="s">
        <v>38</v>
      </c>
      <c r="G160" t="s">
        <v>46</v>
      </c>
      <c r="H160" t="str" cm="1">
        <f t="array" ref="H160">_xlfn.IFS(I160&lt;30000,"Low",I160&lt;60000,"Medium",I160&lt;100000,"High",TRUE,"Premium")</f>
        <v>Premium</v>
      </c>
      <c r="I160" s="2">
        <v>143797</v>
      </c>
      <c r="J160" t="s">
        <v>18</v>
      </c>
      <c r="K160" t="str" cm="1">
        <f t="array" ref="K160">_xlfn.IFS(Table1[[#This Row],[tenure]]&lt;=2,"New",Table1[[#This Row],[tenure]]&lt;=5,"Emerging",Table1[[#This Row],[tenure]]&lt;=8,"Loyal",Table1[[#This Row],[tenure]]&lt;=10,"Legacy")</f>
        <v>Loyal</v>
      </c>
      <c r="L160" t="str">
        <f>TEXT(Table1[[#This Row],[Join_Date]],"mmm-yyyy")</f>
        <v>Apr-2018</v>
      </c>
      <c r="M160">
        <v>7</v>
      </c>
      <c r="N160">
        <f>YEAR(Table1[[#This Row],[Join_Date]])</f>
        <v>2018</v>
      </c>
      <c r="O160" s="1">
        <v>43200</v>
      </c>
      <c r="P160" s="1"/>
    </row>
    <row r="161" spans="1:16" x14ac:dyDescent="0.25">
      <c r="A161" t="s">
        <v>353</v>
      </c>
      <c r="B161" t="s">
        <v>354</v>
      </c>
      <c r="C161" t="s">
        <v>22</v>
      </c>
      <c r="D161" t="s">
        <v>54</v>
      </c>
      <c r="E161">
        <v>71</v>
      </c>
      <c r="F161" t="s">
        <v>16</v>
      </c>
      <c r="G161" t="s">
        <v>51</v>
      </c>
      <c r="H161" t="str" cm="1">
        <f t="array" ref="H161">_xlfn.IFS(I161&lt;30000,"Low",I161&lt;60000,"Medium",I161&lt;100000,"High",TRUE,"Premium")</f>
        <v>High</v>
      </c>
      <c r="I161" s="2">
        <v>83888</v>
      </c>
      <c r="J161" t="s">
        <v>18</v>
      </c>
      <c r="K161" t="str" cm="1">
        <f t="array" ref="K161">_xlfn.IFS(Table1[[#This Row],[tenure]]&lt;=2,"New",Table1[[#This Row],[tenure]]&lt;=5,"Emerging",Table1[[#This Row],[tenure]]&lt;=8,"Loyal",Table1[[#This Row],[tenure]]&lt;=10,"Legacy")</f>
        <v>Legacy</v>
      </c>
      <c r="L161" t="str">
        <f>TEXT(Table1[[#This Row],[Join_Date]],"mmm-yyyy")</f>
        <v>Nov-2015</v>
      </c>
      <c r="M161">
        <v>10</v>
      </c>
      <c r="N161">
        <f>YEAR(Table1[[#This Row],[Join_Date]])</f>
        <v>2015</v>
      </c>
      <c r="O161" s="1">
        <v>42314</v>
      </c>
      <c r="P161" s="1"/>
    </row>
    <row r="162" spans="1:16" x14ac:dyDescent="0.25">
      <c r="A162" t="s">
        <v>355</v>
      </c>
      <c r="B162" t="s">
        <v>356</v>
      </c>
      <c r="C162" t="s">
        <v>14</v>
      </c>
      <c r="D162" t="s">
        <v>37</v>
      </c>
      <c r="E162">
        <v>22</v>
      </c>
      <c r="F162" t="s">
        <v>24</v>
      </c>
      <c r="G162" t="s">
        <v>17</v>
      </c>
      <c r="H162" t="str" cm="1">
        <f t="array" ref="H162">_xlfn.IFS(I162&lt;30000,"Low",I162&lt;60000,"Medium",I162&lt;100000,"High",TRUE,"Premium")</f>
        <v>High</v>
      </c>
      <c r="I162" s="2">
        <v>93609</v>
      </c>
      <c r="J162" t="s">
        <v>18</v>
      </c>
      <c r="K162" t="str" cm="1">
        <f t="array" ref="K162">_xlfn.IFS(Table1[[#This Row],[tenure]]&lt;=2,"New",Table1[[#This Row],[tenure]]&lt;=5,"Emerging",Table1[[#This Row],[tenure]]&lt;=8,"Loyal",Table1[[#This Row],[tenure]]&lt;=10,"Legacy")</f>
        <v>Emerging</v>
      </c>
      <c r="L162" t="str">
        <f>TEXT(Table1[[#This Row],[Join_Date]],"mmm-yyyy")</f>
        <v>Feb-2021</v>
      </c>
      <c r="M162">
        <v>5</v>
      </c>
      <c r="N162">
        <f>YEAR(Table1[[#This Row],[Join_Date]])</f>
        <v>2021</v>
      </c>
      <c r="O162" s="1">
        <v>44252</v>
      </c>
      <c r="P162" s="1"/>
    </row>
    <row r="163" spans="1:16" x14ac:dyDescent="0.25">
      <c r="A163" t="s">
        <v>357</v>
      </c>
      <c r="B163" t="s">
        <v>358</v>
      </c>
      <c r="C163" t="s">
        <v>14</v>
      </c>
      <c r="D163" t="s">
        <v>23</v>
      </c>
      <c r="E163">
        <v>53</v>
      </c>
      <c r="F163" t="s">
        <v>16</v>
      </c>
      <c r="G163" t="s">
        <v>51</v>
      </c>
      <c r="H163" t="str" cm="1">
        <f t="array" ref="H163">_xlfn.IFS(I163&lt;30000,"Low",I163&lt;60000,"Medium",I163&lt;100000,"High",TRUE,"Premium")</f>
        <v>Low</v>
      </c>
      <c r="I163" s="2">
        <v>29077</v>
      </c>
      <c r="J163" t="s">
        <v>26</v>
      </c>
      <c r="K163" t="str" cm="1">
        <f t="array" ref="K163">_xlfn.IFS(Table1[[#This Row],[tenure]]&lt;=2,"New",Table1[[#This Row],[tenure]]&lt;=5,"Emerging",Table1[[#This Row],[tenure]]&lt;=8,"Loyal",Table1[[#This Row],[tenure]]&lt;=10,"Legacy")</f>
        <v>Legacy</v>
      </c>
      <c r="L163" t="str">
        <f>TEXT(Table1[[#This Row],[Join_Date]],"mmm-yyyy")</f>
        <v>Sep-2015</v>
      </c>
      <c r="M163">
        <v>10</v>
      </c>
      <c r="N163">
        <f>YEAR(Table1[[#This Row],[Join_Date]])</f>
        <v>2015</v>
      </c>
      <c r="O163" s="1">
        <v>42248</v>
      </c>
      <c r="P163" s="1"/>
    </row>
    <row r="164" spans="1:16" x14ac:dyDescent="0.25">
      <c r="A164" t="s">
        <v>359</v>
      </c>
      <c r="B164" t="s">
        <v>360</v>
      </c>
      <c r="C164" t="s">
        <v>22</v>
      </c>
      <c r="D164" t="s">
        <v>23</v>
      </c>
      <c r="E164">
        <v>51</v>
      </c>
      <c r="F164" t="s">
        <v>38</v>
      </c>
      <c r="G164" t="s">
        <v>17</v>
      </c>
      <c r="H164" t="str" cm="1">
        <f t="array" ref="H164">_xlfn.IFS(I164&lt;30000,"Low",I164&lt;60000,"Medium",I164&lt;100000,"High",TRUE,"Premium")</f>
        <v>Medium</v>
      </c>
      <c r="I164" s="2">
        <v>40953</v>
      </c>
      <c r="J164" t="s">
        <v>18</v>
      </c>
      <c r="K164" t="str" cm="1">
        <f t="array" ref="K164">_xlfn.IFS(Table1[[#This Row],[tenure]]&lt;=2,"New",Table1[[#This Row],[tenure]]&lt;=5,"Emerging",Table1[[#This Row],[tenure]]&lt;=8,"Loyal",Table1[[#This Row],[tenure]]&lt;=10,"Legacy")</f>
        <v>Emerging</v>
      </c>
      <c r="L164" t="str">
        <f>TEXT(Table1[[#This Row],[Join_Date]],"mmm-yyyy")</f>
        <v>Aug-2022</v>
      </c>
      <c r="M164">
        <v>3</v>
      </c>
      <c r="N164">
        <f>YEAR(Table1[[#This Row],[Join_Date]])</f>
        <v>2022</v>
      </c>
      <c r="O164" s="1">
        <v>44789</v>
      </c>
      <c r="P164" s="1"/>
    </row>
    <row r="165" spans="1:16" x14ac:dyDescent="0.25">
      <c r="A165" t="s">
        <v>361</v>
      </c>
      <c r="B165" t="s">
        <v>362</v>
      </c>
      <c r="C165" t="s">
        <v>22</v>
      </c>
      <c r="D165" t="s">
        <v>54</v>
      </c>
      <c r="E165">
        <v>69</v>
      </c>
      <c r="F165" t="s">
        <v>24</v>
      </c>
      <c r="G165" t="s">
        <v>51</v>
      </c>
      <c r="H165" t="str" cm="1">
        <f t="array" ref="H165">_xlfn.IFS(I165&lt;30000,"Low",I165&lt;60000,"Medium",I165&lt;100000,"High",TRUE,"Premium")</f>
        <v>Premium</v>
      </c>
      <c r="I165" s="2">
        <v>134682</v>
      </c>
      <c r="J165" t="s">
        <v>18</v>
      </c>
      <c r="K165" t="str" cm="1">
        <f t="array" ref="K165">_xlfn.IFS(Table1[[#This Row],[tenure]]&lt;=2,"New",Table1[[#This Row],[tenure]]&lt;=5,"Emerging",Table1[[#This Row],[tenure]]&lt;=8,"Loyal",Table1[[#This Row],[tenure]]&lt;=10,"Legacy")</f>
        <v>Emerging</v>
      </c>
      <c r="L165" t="str">
        <f>TEXT(Table1[[#This Row],[Join_Date]],"mmm-yyyy")</f>
        <v>Mar-2021</v>
      </c>
      <c r="M165">
        <v>5</v>
      </c>
      <c r="N165">
        <f>YEAR(Table1[[#This Row],[Join_Date]])</f>
        <v>2021</v>
      </c>
      <c r="O165" s="1">
        <v>44257</v>
      </c>
      <c r="P165" s="1"/>
    </row>
    <row r="166" spans="1:16" x14ac:dyDescent="0.25">
      <c r="A166" t="s">
        <v>363</v>
      </c>
      <c r="B166" t="s">
        <v>364</v>
      </c>
      <c r="C166" t="s">
        <v>22</v>
      </c>
      <c r="D166" t="s">
        <v>23</v>
      </c>
      <c r="E166">
        <v>48</v>
      </c>
      <c r="F166" t="s">
        <v>24</v>
      </c>
      <c r="G166" t="s">
        <v>34</v>
      </c>
      <c r="H166" t="str" cm="1">
        <f t="array" ref="H166">_xlfn.IFS(I166&lt;30000,"Low",I166&lt;60000,"Medium",I166&lt;100000,"High",TRUE,"Premium")</f>
        <v>High</v>
      </c>
      <c r="I166" s="2">
        <v>87889</v>
      </c>
      <c r="J166" t="s">
        <v>18</v>
      </c>
      <c r="K166" t="str" cm="1">
        <f t="array" ref="K166">_xlfn.IFS(Table1[[#This Row],[tenure]]&lt;=2,"New",Table1[[#This Row],[tenure]]&lt;=5,"Emerging",Table1[[#This Row],[tenure]]&lt;=8,"Loyal",Table1[[#This Row],[tenure]]&lt;=10,"Legacy")</f>
        <v>New</v>
      </c>
      <c r="L166" t="str">
        <f>TEXT(Table1[[#This Row],[Join_Date]],"mmm-yyyy")</f>
        <v>Sep-2023</v>
      </c>
      <c r="M166">
        <v>2</v>
      </c>
      <c r="N166">
        <f>YEAR(Table1[[#This Row],[Join_Date]])</f>
        <v>2023</v>
      </c>
      <c r="O166" s="1">
        <v>45172</v>
      </c>
      <c r="P166" s="1"/>
    </row>
    <row r="167" spans="1:16" x14ac:dyDescent="0.25">
      <c r="A167" t="s">
        <v>365</v>
      </c>
      <c r="B167" t="s">
        <v>366</v>
      </c>
      <c r="C167" t="s">
        <v>14</v>
      </c>
      <c r="D167" t="s">
        <v>37</v>
      </c>
      <c r="E167">
        <v>27</v>
      </c>
      <c r="F167" t="s">
        <v>24</v>
      </c>
      <c r="G167" t="s">
        <v>39</v>
      </c>
      <c r="H167" t="str" cm="1">
        <f t="array" ref="H167">_xlfn.IFS(I167&lt;30000,"Low",I167&lt;60000,"Medium",I167&lt;100000,"High",TRUE,"Premium")</f>
        <v>Premium</v>
      </c>
      <c r="I167" s="2">
        <v>174893</v>
      </c>
      <c r="J167" t="s">
        <v>18</v>
      </c>
      <c r="K167" t="str" cm="1">
        <f t="array" ref="K167">_xlfn.IFS(Table1[[#This Row],[tenure]]&lt;=2,"New",Table1[[#This Row],[tenure]]&lt;=5,"Emerging",Table1[[#This Row],[tenure]]&lt;=8,"Loyal",Table1[[#This Row],[tenure]]&lt;=10,"Legacy")</f>
        <v>Legacy</v>
      </c>
      <c r="L167" t="str">
        <f>TEXT(Table1[[#This Row],[Join_Date]],"mmm-yyyy")</f>
        <v>Mar-2016</v>
      </c>
      <c r="M167">
        <v>10</v>
      </c>
      <c r="N167">
        <f>YEAR(Table1[[#This Row],[Join_Date]])</f>
        <v>2016</v>
      </c>
      <c r="O167" s="1">
        <v>42431</v>
      </c>
      <c r="P167" s="1"/>
    </row>
    <row r="168" spans="1:16" x14ac:dyDescent="0.25">
      <c r="A168" t="s">
        <v>367</v>
      </c>
      <c r="B168" t="s">
        <v>368</v>
      </c>
      <c r="C168" t="s">
        <v>22</v>
      </c>
      <c r="D168" t="s">
        <v>15</v>
      </c>
      <c r="E168">
        <v>36</v>
      </c>
      <c r="F168" t="s">
        <v>38</v>
      </c>
      <c r="G168" t="s">
        <v>46</v>
      </c>
      <c r="H168" t="str" cm="1">
        <f t="array" ref="H168">_xlfn.IFS(I168&lt;30000,"Low",I168&lt;60000,"Medium",I168&lt;100000,"High",TRUE,"Premium")</f>
        <v>Premium</v>
      </c>
      <c r="I168" s="2">
        <v>188639</v>
      </c>
      <c r="J168" t="s">
        <v>18</v>
      </c>
      <c r="K168" t="str" cm="1">
        <f t="array" ref="K168">_xlfn.IFS(Table1[[#This Row],[tenure]]&lt;=2,"New",Table1[[#This Row],[tenure]]&lt;=5,"Emerging",Table1[[#This Row],[tenure]]&lt;=8,"Loyal",Table1[[#This Row],[tenure]]&lt;=10,"Legacy")</f>
        <v>New</v>
      </c>
      <c r="L168" t="str">
        <f>TEXT(Table1[[#This Row],[Join_Date]],"mmm-yyyy")</f>
        <v>Jul-2024</v>
      </c>
      <c r="M168">
        <v>1</v>
      </c>
      <c r="N168">
        <f>YEAR(Table1[[#This Row],[Join_Date]])</f>
        <v>2024</v>
      </c>
      <c r="O168" s="1">
        <v>45492</v>
      </c>
      <c r="P168" s="1"/>
    </row>
    <row r="169" spans="1:16" x14ac:dyDescent="0.25">
      <c r="A169" t="s">
        <v>369</v>
      </c>
      <c r="B169" t="s">
        <v>370</v>
      </c>
      <c r="C169" t="s">
        <v>14</v>
      </c>
      <c r="D169" t="s">
        <v>23</v>
      </c>
      <c r="E169">
        <v>49</v>
      </c>
      <c r="F169" t="s">
        <v>42</v>
      </c>
      <c r="G169" t="s">
        <v>51</v>
      </c>
      <c r="H169" t="str" cm="1">
        <f t="array" ref="H169">_xlfn.IFS(I169&lt;30000,"Low",I169&lt;60000,"Medium",I169&lt;100000,"High",TRUE,"Premium")</f>
        <v>Premium</v>
      </c>
      <c r="I169" s="2">
        <v>135374</v>
      </c>
      <c r="J169" t="s">
        <v>18</v>
      </c>
      <c r="K169" t="str" cm="1">
        <f t="array" ref="K169">_xlfn.IFS(Table1[[#This Row],[tenure]]&lt;=2,"New",Table1[[#This Row],[tenure]]&lt;=5,"Emerging",Table1[[#This Row],[tenure]]&lt;=8,"Loyal",Table1[[#This Row],[tenure]]&lt;=10,"Legacy")</f>
        <v>Loyal</v>
      </c>
      <c r="L169" t="str">
        <f>TEXT(Table1[[#This Row],[Join_Date]],"mmm-yyyy")</f>
        <v>Nov-2019</v>
      </c>
      <c r="M169">
        <v>6</v>
      </c>
      <c r="N169">
        <f>YEAR(Table1[[#This Row],[Join_Date]])</f>
        <v>2019</v>
      </c>
      <c r="O169" s="1">
        <v>43786</v>
      </c>
      <c r="P169" s="1"/>
    </row>
    <row r="170" spans="1:16" x14ac:dyDescent="0.25">
      <c r="A170" t="s">
        <v>371</v>
      </c>
      <c r="B170" t="s">
        <v>372</v>
      </c>
      <c r="C170" t="s">
        <v>14</v>
      </c>
      <c r="D170" t="s">
        <v>37</v>
      </c>
      <c r="E170">
        <v>18</v>
      </c>
      <c r="F170" t="s">
        <v>42</v>
      </c>
      <c r="G170" t="s">
        <v>34</v>
      </c>
      <c r="H170" t="str" cm="1">
        <f t="array" ref="H170">_xlfn.IFS(I170&lt;30000,"Low",I170&lt;60000,"Medium",I170&lt;100000,"High",TRUE,"Premium")</f>
        <v>Medium</v>
      </c>
      <c r="I170" s="2">
        <v>44860</v>
      </c>
      <c r="J170" t="s">
        <v>18</v>
      </c>
      <c r="K170" t="str" cm="1">
        <f t="array" ref="K170">_xlfn.IFS(Table1[[#This Row],[tenure]]&lt;=2,"New",Table1[[#This Row],[tenure]]&lt;=5,"Emerging",Table1[[#This Row],[tenure]]&lt;=8,"Loyal",Table1[[#This Row],[tenure]]&lt;=10,"Legacy")</f>
        <v>New</v>
      </c>
      <c r="L170" t="str">
        <f>TEXT(Table1[[#This Row],[Join_Date]],"mmm-yyyy")</f>
        <v>Feb-2025</v>
      </c>
      <c r="M170">
        <v>1</v>
      </c>
      <c r="N170">
        <f>YEAR(Table1[[#This Row],[Join_Date]])</f>
        <v>2025</v>
      </c>
      <c r="O170" s="1">
        <v>45714</v>
      </c>
      <c r="P170" s="1"/>
    </row>
    <row r="171" spans="1:16" x14ac:dyDescent="0.25">
      <c r="A171" t="s">
        <v>373</v>
      </c>
      <c r="B171" t="s">
        <v>374</v>
      </c>
      <c r="C171" t="s">
        <v>22</v>
      </c>
      <c r="D171" t="s">
        <v>54</v>
      </c>
      <c r="E171">
        <v>73</v>
      </c>
      <c r="F171" t="s">
        <v>42</v>
      </c>
      <c r="G171" t="s">
        <v>17</v>
      </c>
      <c r="H171" t="str" cm="1">
        <f t="array" ref="H171">_xlfn.IFS(I171&lt;30000,"Low",I171&lt;60000,"Medium",I171&lt;100000,"High",TRUE,"Premium")</f>
        <v>Premium</v>
      </c>
      <c r="I171" s="2">
        <v>172267</v>
      </c>
      <c r="J171" t="s">
        <v>26</v>
      </c>
      <c r="K171" t="str" cm="1">
        <f t="array" ref="K171">_xlfn.IFS(Table1[[#This Row],[tenure]]&lt;=2,"New",Table1[[#This Row],[tenure]]&lt;=5,"Emerging",Table1[[#This Row],[tenure]]&lt;=8,"Loyal",Table1[[#This Row],[tenure]]&lt;=10,"Legacy")</f>
        <v>Emerging</v>
      </c>
      <c r="L171" t="str">
        <f>TEXT(Table1[[#This Row],[Join_Date]],"mmm-yyyy")</f>
        <v>Nov-2022</v>
      </c>
      <c r="M171">
        <v>3</v>
      </c>
      <c r="N171">
        <f>YEAR(Table1[[#This Row],[Join_Date]])</f>
        <v>2022</v>
      </c>
      <c r="O171" s="1">
        <v>44887</v>
      </c>
      <c r="P171" s="1"/>
    </row>
    <row r="172" spans="1:16" x14ac:dyDescent="0.25">
      <c r="A172" t="s">
        <v>375</v>
      </c>
      <c r="B172" t="s">
        <v>376</v>
      </c>
      <c r="C172" t="s">
        <v>22</v>
      </c>
      <c r="D172" t="s">
        <v>37</v>
      </c>
      <c r="E172">
        <v>22</v>
      </c>
      <c r="F172" t="s">
        <v>38</v>
      </c>
      <c r="G172" t="s">
        <v>17</v>
      </c>
      <c r="H172" t="str" cm="1">
        <f t="array" ref="H172">_xlfn.IFS(I172&lt;30000,"Low",I172&lt;60000,"Medium",I172&lt;100000,"High",TRUE,"Premium")</f>
        <v>High</v>
      </c>
      <c r="I172" s="2">
        <v>97475</v>
      </c>
      <c r="J172" t="s">
        <v>18</v>
      </c>
      <c r="K172" t="str" cm="1">
        <f t="array" ref="K172">_xlfn.IFS(Table1[[#This Row],[tenure]]&lt;=2,"New",Table1[[#This Row],[tenure]]&lt;=5,"Emerging",Table1[[#This Row],[tenure]]&lt;=8,"Loyal",Table1[[#This Row],[tenure]]&lt;=10,"Legacy")</f>
        <v>Legacy</v>
      </c>
      <c r="L172" t="str">
        <f>TEXT(Table1[[#This Row],[Join_Date]],"mmm-yyyy")</f>
        <v>Jun-2016</v>
      </c>
      <c r="M172">
        <v>9</v>
      </c>
      <c r="N172">
        <f>YEAR(Table1[[#This Row],[Join_Date]])</f>
        <v>2016</v>
      </c>
      <c r="O172" s="1">
        <v>42532</v>
      </c>
      <c r="P172" s="1"/>
    </row>
    <row r="173" spans="1:16" x14ac:dyDescent="0.25">
      <c r="A173" t="s">
        <v>377</v>
      </c>
      <c r="B173" t="s">
        <v>378</v>
      </c>
      <c r="C173" t="s">
        <v>14</v>
      </c>
      <c r="D173" t="s">
        <v>54</v>
      </c>
      <c r="E173">
        <v>62</v>
      </c>
      <c r="F173" t="s">
        <v>24</v>
      </c>
      <c r="G173" t="s">
        <v>46</v>
      </c>
      <c r="H173" t="str" cm="1">
        <f t="array" ref="H173">_xlfn.IFS(I173&lt;30000,"Low",I173&lt;60000,"Medium",I173&lt;100000,"High",TRUE,"Premium")</f>
        <v>Premium</v>
      </c>
      <c r="I173" s="2">
        <v>107266</v>
      </c>
      <c r="J173" t="s">
        <v>18</v>
      </c>
      <c r="K173" t="str" cm="1">
        <f t="array" ref="K173">_xlfn.IFS(Table1[[#This Row],[tenure]]&lt;=2,"New",Table1[[#This Row],[tenure]]&lt;=5,"Emerging",Table1[[#This Row],[tenure]]&lt;=8,"Loyal",Table1[[#This Row],[tenure]]&lt;=10,"Legacy")</f>
        <v>Emerging</v>
      </c>
      <c r="L173" t="str">
        <f>TEXT(Table1[[#This Row],[Join_Date]],"mmm-yyyy")</f>
        <v>Jun-2020</v>
      </c>
      <c r="M173">
        <v>5</v>
      </c>
      <c r="N173">
        <f>YEAR(Table1[[#This Row],[Join_Date]])</f>
        <v>2020</v>
      </c>
      <c r="O173" s="1">
        <v>43988</v>
      </c>
      <c r="P173" s="1"/>
    </row>
    <row r="174" spans="1:16" x14ac:dyDescent="0.25">
      <c r="A174" t="s">
        <v>379</v>
      </c>
      <c r="B174" t="s">
        <v>380</v>
      </c>
      <c r="C174" t="s">
        <v>14</v>
      </c>
      <c r="D174" t="s">
        <v>37</v>
      </c>
      <c r="E174">
        <v>21</v>
      </c>
      <c r="F174" t="s">
        <v>42</v>
      </c>
      <c r="G174" t="s">
        <v>25</v>
      </c>
      <c r="H174" t="str" cm="1">
        <f t="array" ref="H174">_xlfn.IFS(I174&lt;30000,"Low",I174&lt;60000,"Medium",I174&lt;100000,"High",TRUE,"Premium")</f>
        <v>Premium</v>
      </c>
      <c r="I174" s="2">
        <v>172499</v>
      </c>
      <c r="J174" t="s">
        <v>26</v>
      </c>
      <c r="K174" t="str" cm="1">
        <f t="array" ref="K174">_xlfn.IFS(Table1[[#This Row],[tenure]]&lt;=2,"New",Table1[[#This Row],[tenure]]&lt;=5,"Emerging",Table1[[#This Row],[tenure]]&lt;=8,"Loyal",Table1[[#This Row],[tenure]]&lt;=10,"Legacy")</f>
        <v>Emerging</v>
      </c>
      <c r="L174" t="str">
        <f>TEXT(Table1[[#This Row],[Join_Date]],"mmm-yyyy")</f>
        <v>Nov-2021</v>
      </c>
      <c r="M174">
        <v>4</v>
      </c>
      <c r="N174">
        <f>YEAR(Table1[[#This Row],[Join_Date]])</f>
        <v>2021</v>
      </c>
      <c r="O174" s="1">
        <v>44501</v>
      </c>
      <c r="P174" s="1"/>
    </row>
    <row r="175" spans="1:16" x14ac:dyDescent="0.25">
      <c r="A175" t="s">
        <v>381</v>
      </c>
      <c r="B175" t="s">
        <v>382</v>
      </c>
      <c r="C175" t="s">
        <v>22</v>
      </c>
      <c r="D175" t="s">
        <v>15</v>
      </c>
      <c r="E175">
        <v>33</v>
      </c>
      <c r="F175" t="s">
        <v>38</v>
      </c>
      <c r="G175" t="s">
        <v>51</v>
      </c>
      <c r="H175" t="str" cm="1">
        <f t="array" ref="H175">_xlfn.IFS(I175&lt;30000,"Low",I175&lt;60000,"Medium",I175&lt;100000,"High",TRUE,"Premium")</f>
        <v>Premium</v>
      </c>
      <c r="I175" s="2">
        <v>120732</v>
      </c>
      <c r="J175" t="s">
        <v>26</v>
      </c>
      <c r="K175" t="str" cm="1">
        <f t="array" ref="K175">_xlfn.IFS(Table1[[#This Row],[tenure]]&lt;=2,"New",Table1[[#This Row],[tenure]]&lt;=5,"Emerging",Table1[[#This Row],[tenure]]&lt;=8,"Loyal",Table1[[#This Row],[tenure]]&lt;=10,"Legacy")</f>
        <v>Loyal</v>
      </c>
      <c r="L175" t="str">
        <f>TEXT(Table1[[#This Row],[Join_Date]],"mmm-yyyy")</f>
        <v>Oct-2019</v>
      </c>
      <c r="M175">
        <v>6</v>
      </c>
      <c r="N175">
        <f>YEAR(Table1[[#This Row],[Join_Date]])</f>
        <v>2019</v>
      </c>
      <c r="O175" s="1">
        <v>43767</v>
      </c>
      <c r="P175" s="1"/>
    </row>
    <row r="176" spans="1:16" x14ac:dyDescent="0.25">
      <c r="A176" t="s">
        <v>383</v>
      </c>
      <c r="B176" t="s">
        <v>384</v>
      </c>
      <c r="C176" t="s">
        <v>22</v>
      </c>
      <c r="D176" t="s">
        <v>15</v>
      </c>
      <c r="E176">
        <v>41</v>
      </c>
      <c r="F176" t="s">
        <v>42</v>
      </c>
      <c r="G176" t="s">
        <v>29</v>
      </c>
      <c r="H176" t="str" cm="1">
        <f t="array" ref="H176">_xlfn.IFS(I176&lt;30000,"Low",I176&lt;60000,"Medium",I176&lt;100000,"High",TRUE,"Premium")</f>
        <v>Medium</v>
      </c>
      <c r="I176" s="2">
        <v>47083</v>
      </c>
      <c r="J176" t="s">
        <v>18</v>
      </c>
      <c r="K176" t="str" cm="1">
        <f t="array" ref="K176">_xlfn.IFS(Table1[[#This Row],[tenure]]&lt;=2,"New",Table1[[#This Row],[tenure]]&lt;=5,"Emerging",Table1[[#This Row],[tenure]]&lt;=8,"Loyal",Table1[[#This Row],[tenure]]&lt;=10,"Legacy")</f>
        <v>Loyal</v>
      </c>
      <c r="L176" t="str">
        <f>TEXT(Table1[[#This Row],[Join_Date]],"mmm-yyyy")</f>
        <v>Nov-2017</v>
      </c>
      <c r="M176">
        <v>8</v>
      </c>
      <c r="N176">
        <f>YEAR(Table1[[#This Row],[Join_Date]])</f>
        <v>2017</v>
      </c>
      <c r="O176" s="1">
        <v>43046</v>
      </c>
      <c r="P176" s="1"/>
    </row>
    <row r="177" spans="1:16" x14ac:dyDescent="0.25">
      <c r="A177" t="s">
        <v>385</v>
      </c>
      <c r="B177" t="s">
        <v>386</v>
      </c>
      <c r="C177" t="s">
        <v>22</v>
      </c>
      <c r="D177" t="s">
        <v>15</v>
      </c>
      <c r="E177">
        <v>33</v>
      </c>
      <c r="F177" t="s">
        <v>16</v>
      </c>
      <c r="G177" t="s">
        <v>17</v>
      </c>
      <c r="H177" t="str" cm="1">
        <f t="array" ref="H177">_xlfn.IFS(I177&lt;30000,"Low",I177&lt;60000,"Medium",I177&lt;100000,"High",TRUE,"Premium")</f>
        <v>High</v>
      </c>
      <c r="I177" s="2">
        <v>77372</v>
      </c>
      <c r="J177" t="s">
        <v>18</v>
      </c>
      <c r="K177" t="str" cm="1">
        <f t="array" ref="K177">_xlfn.IFS(Table1[[#This Row],[tenure]]&lt;=2,"New",Table1[[#This Row],[tenure]]&lt;=5,"Emerging",Table1[[#This Row],[tenure]]&lt;=8,"Loyal",Table1[[#This Row],[tenure]]&lt;=10,"Legacy")</f>
        <v>Legacy</v>
      </c>
      <c r="L177" t="str">
        <f>TEXT(Table1[[#This Row],[Join_Date]],"mmm-yyyy")</f>
        <v>Oct-2015</v>
      </c>
      <c r="M177">
        <v>10</v>
      </c>
      <c r="N177">
        <f>YEAR(Table1[[#This Row],[Join_Date]])</f>
        <v>2015</v>
      </c>
      <c r="O177" s="1">
        <v>42292</v>
      </c>
      <c r="P177" s="1"/>
    </row>
    <row r="178" spans="1:16" x14ac:dyDescent="0.25">
      <c r="A178" t="s">
        <v>387</v>
      </c>
      <c r="B178" t="s">
        <v>388</v>
      </c>
      <c r="C178" t="s">
        <v>14</v>
      </c>
      <c r="D178" t="s">
        <v>54</v>
      </c>
      <c r="E178">
        <v>72</v>
      </c>
      <c r="F178" t="s">
        <v>42</v>
      </c>
      <c r="G178" t="s">
        <v>39</v>
      </c>
      <c r="H178" t="str" cm="1">
        <f t="array" ref="H178">_xlfn.IFS(I178&lt;30000,"Low",I178&lt;60000,"Medium",I178&lt;100000,"High",TRUE,"Premium")</f>
        <v>Premium</v>
      </c>
      <c r="I178" s="2">
        <v>143786</v>
      </c>
      <c r="J178" t="s">
        <v>18</v>
      </c>
      <c r="K178" t="str" cm="1">
        <f t="array" ref="K178">_xlfn.IFS(Table1[[#This Row],[tenure]]&lt;=2,"New",Table1[[#This Row],[tenure]]&lt;=5,"Emerging",Table1[[#This Row],[tenure]]&lt;=8,"Loyal",Table1[[#This Row],[tenure]]&lt;=10,"Legacy")</f>
        <v>New</v>
      </c>
      <c r="L178" t="str">
        <f>TEXT(Table1[[#This Row],[Join_Date]],"mmm-yyyy")</f>
        <v>Sep-2024</v>
      </c>
      <c r="M178">
        <v>1</v>
      </c>
      <c r="N178">
        <f>YEAR(Table1[[#This Row],[Join_Date]])</f>
        <v>2024</v>
      </c>
      <c r="O178" s="1">
        <v>45538</v>
      </c>
      <c r="P178" s="1"/>
    </row>
    <row r="179" spans="1:16" x14ac:dyDescent="0.25">
      <c r="A179" t="s">
        <v>389</v>
      </c>
      <c r="B179" t="s">
        <v>390</v>
      </c>
      <c r="C179" t="s">
        <v>14</v>
      </c>
      <c r="D179" t="s">
        <v>37</v>
      </c>
      <c r="E179">
        <v>19</v>
      </c>
      <c r="F179" t="s">
        <v>42</v>
      </c>
      <c r="G179" t="s">
        <v>39</v>
      </c>
      <c r="H179" t="str" cm="1">
        <f t="array" ref="H179">_xlfn.IFS(I179&lt;30000,"Low",I179&lt;60000,"Medium",I179&lt;100000,"High",TRUE,"Premium")</f>
        <v>Premium</v>
      </c>
      <c r="I179" s="2">
        <v>195136</v>
      </c>
      <c r="J179" t="s">
        <v>26</v>
      </c>
      <c r="K179" t="str" cm="1">
        <f t="array" ref="K179">_xlfn.IFS(Table1[[#This Row],[tenure]]&lt;=2,"New",Table1[[#This Row],[tenure]]&lt;=5,"Emerging",Table1[[#This Row],[tenure]]&lt;=8,"Loyal",Table1[[#This Row],[tenure]]&lt;=10,"Legacy")</f>
        <v>New</v>
      </c>
      <c r="L179" t="str">
        <f>TEXT(Table1[[#This Row],[Join_Date]],"mmm-yyyy")</f>
        <v>Dec-2024</v>
      </c>
      <c r="M179">
        <v>1</v>
      </c>
      <c r="N179">
        <f>YEAR(Table1[[#This Row],[Join_Date]])</f>
        <v>2024</v>
      </c>
      <c r="O179" s="1">
        <v>45642</v>
      </c>
      <c r="P179" s="1"/>
    </row>
    <row r="180" spans="1:16" x14ac:dyDescent="0.25">
      <c r="A180" t="s">
        <v>391</v>
      </c>
      <c r="B180" t="s">
        <v>392</v>
      </c>
      <c r="C180" t="s">
        <v>14</v>
      </c>
      <c r="D180" t="s">
        <v>54</v>
      </c>
      <c r="E180">
        <v>66</v>
      </c>
      <c r="F180" t="s">
        <v>24</v>
      </c>
      <c r="G180" t="s">
        <v>17</v>
      </c>
      <c r="H180" t="str" cm="1">
        <f t="array" ref="H180">_xlfn.IFS(I180&lt;30000,"Low",I180&lt;60000,"Medium",I180&lt;100000,"High",TRUE,"Premium")</f>
        <v>Low</v>
      </c>
      <c r="I180" s="2">
        <v>27813</v>
      </c>
      <c r="J180" t="s">
        <v>30</v>
      </c>
      <c r="K180" t="str" cm="1">
        <f t="array" ref="K180">_xlfn.IFS(Table1[[#This Row],[tenure]]&lt;=2,"New",Table1[[#This Row],[tenure]]&lt;=5,"Emerging",Table1[[#This Row],[tenure]]&lt;=8,"Loyal",Table1[[#This Row],[tenure]]&lt;=10,"Legacy")</f>
        <v>Legacy</v>
      </c>
      <c r="L180" t="str">
        <f>TEXT(Table1[[#This Row],[Join_Date]],"mmm-yyyy")</f>
        <v>Mar-2017</v>
      </c>
      <c r="M180">
        <v>9</v>
      </c>
      <c r="N180">
        <f>YEAR(Table1[[#This Row],[Join_Date]])</f>
        <v>2017</v>
      </c>
      <c r="O180" s="1">
        <v>42803</v>
      </c>
      <c r="P180" s="1"/>
    </row>
    <row r="181" spans="1:16" x14ac:dyDescent="0.25">
      <c r="A181" t="s">
        <v>393</v>
      </c>
      <c r="B181" t="s">
        <v>394</v>
      </c>
      <c r="C181" t="s">
        <v>14</v>
      </c>
      <c r="D181" t="s">
        <v>23</v>
      </c>
      <c r="E181">
        <v>45</v>
      </c>
      <c r="F181" t="s">
        <v>38</v>
      </c>
      <c r="G181" t="s">
        <v>25</v>
      </c>
      <c r="H181" t="str" cm="1">
        <f t="array" ref="H181">_xlfn.IFS(I181&lt;30000,"Low",I181&lt;60000,"Medium",I181&lt;100000,"High",TRUE,"Premium")</f>
        <v>Medium</v>
      </c>
      <c r="I181" s="2">
        <v>51598</v>
      </c>
      <c r="J181" t="s">
        <v>26</v>
      </c>
      <c r="K181" t="str" cm="1">
        <f t="array" ref="K181">_xlfn.IFS(Table1[[#This Row],[tenure]]&lt;=2,"New",Table1[[#This Row],[tenure]]&lt;=5,"Emerging",Table1[[#This Row],[tenure]]&lt;=8,"Loyal",Table1[[#This Row],[tenure]]&lt;=10,"Legacy")</f>
        <v>New</v>
      </c>
      <c r="L181" t="str">
        <f>TEXT(Table1[[#This Row],[Join_Date]],"mmm-yyyy")</f>
        <v>Feb-2025</v>
      </c>
      <c r="M181">
        <v>1</v>
      </c>
      <c r="N181">
        <f>YEAR(Table1[[#This Row],[Join_Date]])</f>
        <v>2025</v>
      </c>
      <c r="O181" s="1">
        <v>45704</v>
      </c>
      <c r="P181" s="1"/>
    </row>
    <row r="182" spans="1:16" x14ac:dyDescent="0.25">
      <c r="A182" t="s">
        <v>395</v>
      </c>
      <c r="B182" t="s">
        <v>396</v>
      </c>
      <c r="C182" t="s">
        <v>14</v>
      </c>
      <c r="D182" t="s">
        <v>23</v>
      </c>
      <c r="E182">
        <v>49</v>
      </c>
      <c r="F182" t="s">
        <v>24</v>
      </c>
      <c r="G182" t="s">
        <v>25</v>
      </c>
      <c r="H182" t="str" cm="1">
        <f t="array" ref="H182">_xlfn.IFS(I182&lt;30000,"Low",I182&lt;60000,"Medium",I182&lt;100000,"High",TRUE,"Premium")</f>
        <v>Premium</v>
      </c>
      <c r="I182" s="2">
        <v>113106</v>
      </c>
      <c r="J182" t="s">
        <v>18</v>
      </c>
      <c r="K182" t="str" cm="1">
        <f t="array" ref="K182">_xlfn.IFS(Table1[[#This Row],[tenure]]&lt;=2,"New",Table1[[#This Row],[tenure]]&lt;=5,"Emerging",Table1[[#This Row],[tenure]]&lt;=8,"Loyal",Table1[[#This Row],[tenure]]&lt;=10,"Legacy")</f>
        <v>Legacy</v>
      </c>
      <c r="L182" t="str">
        <f>TEXT(Table1[[#This Row],[Join_Date]],"mmm-yyyy")</f>
        <v>Jan-2016</v>
      </c>
      <c r="M182">
        <v>10</v>
      </c>
      <c r="N182">
        <f>YEAR(Table1[[#This Row],[Join_Date]])</f>
        <v>2016</v>
      </c>
      <c r="O182" s="1">
        <v>42387</v>
      </c>
      <c r="P182" s="1"/>
    </row>
    <row r="183" spans="1:16" x14ac:dyDescent="0.25">
      <c r="A183" t="s">
        <v>397</v>
      </c>
      <c r="B183" t="s">
        <v>398</v>
      </c>
      <c r="C183" t="s">
        <v>14</v>
      </c>
      <c r="D183" t="s">
        <v>15</v>
      </c>
      <c r="E183">
        <v>44</v>
      </c>
      <c r="F183" t="s">
        <v>24</v>
      </c>
      <c r="G183" t="s">
        <v>34</v>
      </c>
      <c r="H183" t="str" cm="1">
        <f t="array" ref="H183">_xlfn.IFS(I183&lt;30000,"Low",I183&lt;60000,"Medium",I183&lt;100000,"High",TRUE,"Premium")</f>
        <v>Medium</v>
      </c>
      <c r="I183" s="2">
        <v>47082</v>
      </c>
      <c r="J183" t="s">
        <v>26</v>
      </c>
      <c r="K183" t="str" cm="1">
        <f t="array" ref="K183">_xlfn.IFS(Table1[[#This Row],[tenure]]&lt;=2,"New",Table1[[#This Row],[tenure]]&lt;=5,"Emerging",Table1[[#This Row],[tenure]]&lt;=8,"Loyal",Table1[[#This Row],[tenure]]&lt;=10,"Legacy")</f>
        <v>New</v>
      </c>
      <c r="L183" t="str">
        <f>TEXT(Table1[[#This Row],[Join_Date]],"mmm-yyyy")</f>
        <v>Jul-2025</v>
      </c>
      <c r="M183">
        <v>0</v>
      </c>
      <c r="N183">
        <f>YEAR(Table1[[#This Row],[Join_Date]])</f>
        <v>2025</v>
      </c>
      <c r="O183" s="1">
        <v>45843</v>
      </c>
      <c r="P183" s="1"/>
    </row>
    <row r="184" spans="1:16" x14ac:dyDescent="0.25">
      <c r="A184" t="s">
        <v>399</v>
      </c>
      <c r="B184" t="s">
        <v>400</v>
      </c>
      <c r="C184" t="s">
        <v>22</v>
      </c>
      <c r="D184" t="s">
        <v>15</v>
      </c>
      <c r="E184">
        <v>37</v>
      </c>
      <c r="F184" t="s">
        <v>24</v>
      </c>
      <c r="G184" t="s">
        <v>39</v>
      </c>
      <c r="H184" t="str" cm="1">
        <f t="array" ref="H184">_xlfn.IFS(I184&lt;30000,"Low",I184&lt;60000,"Medium",I184&lt;100000,"High",TRUE,"Premium")</f>
        <v>Medium</v>
      </c>
      <c r="I184" s="2">
        <v>49241</v>
      </c>
      <c r="J184" t="s">
        <v>18</v>
      </c>
      <c r="K184" t="str" cm="1">
        <f t="array" ref="K184">_xlfn.IFS(Table1[[#This Row],[tenure]]&lt;=2,"New",Table1[[#This Row],[tenure]]&lt;=5,"Emerging",Table1[[#This Row],[tenure]]&lt;=8,"Loyal",Table1[[#This Row],[tenure]]&lt;=10,"Legacy")</f>
        <v>Loyal</v>
      </c>
      <c r="L184" t="str">
        <f>TEXT(Table1[[#This Row],[Join_Date]],"mmm-yyyy")</f>
        <v>Apr-2018</v>
      </c>
      <c r="M184">
        <v>7</v>
      </c>
      <c r="N184">
        <f>YEAR(Table1[[#This Row],[Join_Date]])</f>
        <v>2018</v>
      </c>
      <c r="O184" s="1">
        <v>43202</v>
      </c>
      <c r="P184" s="1"/>
    </row>
    <row r="185" spans="1:16" x14ac:dyDescent="0.25">
      <c r="A185" t="s">
        <v>401</v>
      </c>
      <c r="B185" t="s">
        <v>402</v>
      </c>
      <c r="C185" t="s">
        <v>14</v>
      </c>
      <c r="D185" t="s">
        <v>15</v>
      </c>
      <c r="E185">
        <v>41</v>
      </c>
      <c r="F185" t="s">
        <v>24</v>
      </c>
      <c r="G185" t="s">
        <v>34</v>
      </c>
      <c r="H185" t="str" cm="1">
        <f t="array" ref="H185">_xlfn.IFS(I185&lt;30000,"Low",I185&lt;60000,"Medium",I185&lt;100000,"High",TRUE,"Premium")</f>
        <v>Premium</v>
      </c>
      <c r="I185" s="2">
        <v>195641</v>
      </c>
      <c r="J185" t="s">
        <v>18</v>
      </c>
      <c r="K185" t="str" cm="1">
        <f t="array" ref="K185">_xlfn.IFS(Table1[[#This Row],[tenure]]&lt;=2,"New",Table1[[#This Row],[tenure]]&lt;=5,"Emerging",Table1[[#This Row],[tenure]]&lt;=8,"Loyal",Table1[[#This Row],[tenure]]&lt;=10,"Legacy")</f>
        <v>Emerging</v>
      </c>
      <c r="L185" t="str">
        <f>TEXT(Table1[[#This Row],[Join_Date]],"mmm-yyyy")</f>
        <v>Aug-2022</v>
      </c>
      <c r="M185">
        <v>3</v>
      </c>
      <c r="N185">
        <f>YEAR(Table1[[#This Row],[Join_Date]])</f>
        <v>2022</v>
      </c>
      <c r="O185" s="1">
        <v>44775</v>
      </c>
      <c r="P185" s="1"/>
    </row>
    <row r="186" spans="1:16" x14ac:dyDescent="0.25">
      <c r="A186" t="s">
        <v>403</v>
      </c>
      <c r="B186" t="s">
        <v>404</v>
      </c>
      <c r="C186" t="s">
        <v>14</v>
      </c>
      <c r="D186" t="s">
        <v>15</v>
      </c>
      <c r="E186">
        <v>29</v>
      </c>
      <c r="F186" t="s">
        <v>24</v>
      </c>
      <c r="G186" t="s">
        <v>39</v>
      </c>
      <c r="H186" t="str" cm="1">
        <f t="array" ref="H186">_xlfn.IFS(I186&lt;30000,"Low",I186&lt;60000,"Medium",I186&lt;100000,"High",TRUE,"Premium")</f>
        <v>Medium</v>
      </c>
      <c r="I186" s="2">
        <v>31745</v>
      </c>
      <c r="J186" t="s">
        <v>18</v>
      </c>
      <c r="K186" t="str" cm="1">
        <f t="array" ref="K186">_xlfn.IFS(Table1[[#This Row],[tenure]]&lt;=2,"New",Table1[[#This Row],[tenure]]&lt;=5,"Emerging",Table1[[#This Row],[tenure]]&lt;=8,"Loyal",Table1[[#This Row],[tenure]]&lt;=10,"Legacy")</f>
        <v>New</v>
      </c>
      <c r="L186" t="str">
        <f>TEXT(Table1[[#This Row],[Join_Date]],"mmm-yyyy")</f>
        <v>May-2024</v>
      </c>
      <c r="M186">
        <v>1</v>
      </c>
      <c r="N186">
        <f>YEAR(Table1[[#This Row],[Join_Date]])</f>
        <v>2024</v>
      </c>
      <c r="O186" s="1">
        <v>45422</v>
      </c>
      <c r="P186" s="1"/>
    </row>
    <row r="187" spans="1:16" x14ac:dyDescent="0.25">
      <c r="A187" t="s">
        <v>405</v>
      </c>
      <c r="B187" t="s">
        <v>406</v>
      </c>
      <c r="C187" t="s">
        <v>14</v>
      </c>
      <c r="D187" t="s">
        <v>54</v>
      </c>
      <c r="E187">
        <v>67</v>
      </c>
      <c r="F187" t="s">
        <v>42</v>
      </c>
      <c r="G187" t="s">
        <v>51</v>
      </c>
      <c r="H187" t="str" cm="1">
        <f t="array" ref="H187">_xlfn.IFS(I187&lt;30000,"Low",I187&lt;60000,"Medium",I187&lt;100000,"High",TRUE,"Premium")</f>
        <v>Medium</v>
      </c>
      <c r="I187" s="2">
        <v>46029</v>
      </c>
      <c r="J187" t="s">
        <v>30</v>
      </c>
      <c r="K187" t="str" cm="1">
        <f t="array" ref="K187">_xlfn.IFS(Table1[[#This Row],[tenure]]&lt;=2,"New",Table1[[#This Row],[tenure]]&lt;=5,"Emerging",Table1[[#This Row],[tenure]]&lt;=8,"Loyal",Table1[[#This Row],[tenure]]&lt;=10,"Legacy")</f>
        <v>Loyal</v>
      </c>
      <c r="L187" t="str">
        <f>TEXT(Table1[[#This Row],[Join_Date]],"mmm-yyyy")</f>
        <v>May-2017</v>
      </c>
      <c r="M187">
        <v>8</v>
      </c>
      <c r="N187">
        <f>YEAR(Table1[[#This Row],[Join_Date]])</f>
        <v>2017</v>
      </c>
      <c r="O187" s="1">
        <v>42881</v>
      </c>
      <c r="P187" s="1"/>
    </row>
    <row r="188" spans="1:16" x14ac:dyDescent="0.25">
      <c r="A188" t="s">
        <v>407</v>
      </c>
      <c r="B188" t="s">
        <v>408</v>
      </c>
      <c r="C188" t="s">
        <v>22</v>
      </c>
      <c r="D188" t="s">
        <v>23</v>
      </c>
      <c r="E188">
        <v>52</v>
      </c>
      <c r="F188" t="s">
        <v>24</v>
      </c>
      <c r="G188" t="s">
        <v>51</v>
      </c>
      <c r="H188" t="str" cm="1">
        <f t="array" ref="H188">_xlfn.IFS(I188&lt;30000,"Low",I188&lt;60000,"Medium",I188&lt;100000,"High",TRUE,"Premium")</f>
        <v>Premium</v>
      </c>
      <c r="I188" s="2">
        <v>164097</v>
      </c>
      <c r="J188" t="s">
        <v>18</v>
      </c>
      <c r="K188" t="str" cm="1">
        <f t="array" ref="K188">_xlfn.IFS(Table1[[#This Row],[tenure]]&lt;=2,"New",Table1[[#This Row],[tenure]]&lt;=5,"Emerging",Table1[[#This Row],[tenure]]&lt;=8,"Loyal",Table1[[#This Row],[tenure]]&lt;=10,"Legacy")</f>
        <v>New</v>
      </c>
      <c r="L188" t="str">
        <f>TEXT(Table1[[#This Row],[Join_Date]],"mmm-yyyy")</f>
        <v>Jun-2023</v>
      </c>
      <c r="M188">
        <v>2</v>
      </c>
      <c r="N188">
        <f>YEAR(Table1[[#This Row],[Join_Date]])</f>
        <v>2023</v>
      </c>
      <c r="O188" s="1">
        <v>45101</v>
      </c>
      <c r="P188" s="1"/>
    </row>
    <row r="189" spans="1:16" x14ac:dyDescent="0.25">
      <c r="A189" t="s">
        <v>409</v>
      </c>
      <c r="B189" t="s">
        <v>410</v>
      </c>
      <c r="C189" t="s">
        <v>14</v>
      </c>
      <c r="D189" t="s">
        <v>23</v>
      </c>
      <c r="E189">
        <v>50</v>
      </c>
      <c r="F189" t="s">
        <v>24</v>
      </c>
      <c r="G189" t="s">
        <v>29</v>
      </c>
      <c r="H189" t="str" cm="1">
        <f t="array" ref="H189">_xlfn.IFS(I189&lt;30000,"Low",I189&lt;60000,"Medium",I189&lt;100000,"High",TRUE,"Premium")</f>
        <v>Premium</v>
      </c>
      <c r="I189" s="2">
        <v>143395</v>
      </c>
      <c r="J189" t="s">
        <v>26</v>
      </c>
      <c r="K189" t="str" cm="1">
        <f t="array" ref="K189">_xlfn.IFS(Table1[[#This Row],[tenure]]&lt;=2,"New",Table1[[#This Row],[tenure]]&lt;=5,"Emerging",Table1[[#This Row],[tenure]]&lt;=8,"Loyal",Table1[[#This Row],[tenure]]&lt;=10,"Legacy")</f>
        <v>New</v>
      </c>
      <c r="L189" t="str">
        <f>TEXT(Table1[[#This Row],[Join_Date]],"mmm-yyyy")</f>
        <v>Oct-2023</v>
      </c>
      <c r="M189">
        <v>2</v>
      </c>
      <c r="N189">
        <f>YEAR(Table1[[#This Row],[Join_Date]])</f>
        <v>2023</v>
      </c>
      <c r="O189" s="1">
        <v>45211</v>
      </c>
      <c r="P189" s="1"/>
    </row>
    <row r="190" spans="1:16" x14ac:dyDescent="0.25">
      <c r="A190" t="s">
        <v>411</v>
      </c>
      <c r="B190" t="s">
        <v>412</v>
      </c>
      <c r="C190" t="s">
        <v>14</v>
      </c>
      <c r="D190" t="s">
        <v>23</v>
      </c>
      <c r="E190">
        <v>50</v>
      </c>
      <c r="F190" t="s">
        <v>38</v>
      </c>
      <c r="G190" t="s">
        <v>51</v>
      </c>
      <c r="H190" t="str" cm="1">
        <f t="array" ref="H190">_xlfn.IFS(I190&lt;30000,"Low",I190&lt;60000,"Medium",I190&lt;100000,"High",TRUE,"Premium")</f>
        <v>Premium</v>
      </c>
      <c r="I190" s="2">
        <v>165360</v>
      </c>
      <c r="J190" t="s">
        <v>18</v>
      </c>
      <c r="K190" t="str" cm="1">
        <f t="array" ref="K190">_xlfn.IFS(Table1[[#This Row],[tenure]]&lt;=2,"New",Table1[[#This Row],[tenure]]&lt;=5,"Emerging",Table1[[#This Row],[tenure]]&lt;=8,"Loyal",Table1[[#This Row],[tenure]]&lt;=10,"Legacy")</f>
        <v>New</v>
      </c>
      <c r="L190" t="str">
        <f>TEXT(Table1[[#This Row],[Join_Date]],"mmm-yyyy")</f>
        <v>Aug-2024</v>
      </c>
      <c r="M190">
        <v>1</v>
      </c>
      <c r="N190">
        <f>YEAR(Table1[[#This Row],[Join_Date]])</f>
        <v>2024</v>
      </c>
      <c r="O190" s="1">
        <v>45535</v>
      </c>
      <c r="P190" s="1"/>
    </row>
    <row r="191" spans="1:16" x14ac:dyDescent="0.25">
      <c r="A191" t="s">
        <v>413</v>
      </c>
      <c r="B191" t="s">
        <v>414</v>
      </c>
      <c r="C191" t="s">
        <v>22</v>
      </c>
      <c r="D191" t="s">
        <v>54</v>
      </c>
      <c r="E191">
        <v>68</v>
      </c>
      <c r="F191" t="s">
        <v>16</v>
      </c>
      <c r="G191" t="s">
        <v>29</v>
      </c>
      <c r="H191" t="str" cm="1">
        <f t="array" ref="H191">_xlfn.IFS(I191&lt;30000,"Low",I191&lt;60000,"Medium",I191&lt;100000,"High",TRUE,"Premium")</f>
        <v>Premium</v>
      </c>
      <c r="I191" s="2">
        <v>109186</v>
      </c>
      <c r="J191" t="s">
        <v>18</v>
      </c>
      <c r="K191" t="str" cm="1">
        <f t="array" ref="K191">_xlfn.IFS(Table1[[#This Row],[tenure]]&lt;=2,"New",Table1[[#This Row],[tenure]]&lt;=5,"Emerging",Table1[[#This Row],[tenure]]&lt;=8,"Loyal",Table1[[#This Row],[tenure]]&lt;=10,"Legacy")</f>
        <v>Loyal</v>
      </c>
      <c r="L191" t="str">
        <f>TEXT(Table1[[#This Row],[Join_Date]],"mmm-yyyy")</f>
        <v>Sep-2017</v>
      </c>
      <c r="M191">
        <v>8</v>
      </c>
      <c r="N191">
        <f>YEAR(Table1[[#This Row],[Join_Date]])</f>
        <v>2017</v>
      </c>
      <c r="O191" s="1">
        <v>43008</v>
      </c>
      <c r="P191" s="1"/>
    </row>
    <row r="192" spans="1:16" x14ac:dyDescent="0.25">
      <c r="A192" t="s">
        <v>415</v>
      </c>
      <c r="B192" t="s">
        <v>416</v>
      </c>
      <c r="C192" t="s">
        <v>14</v>
      </c>
      <c r="D192" t="s">
        <v>23</v>
      </c>
      <c r="E192">
        <v>60</v>
      </c>
      <c r="F192" t="s">
        <v>42</v>
      </c>
      <c r="G192" t="s">
        <v>51</v>
      </c>
      <c r="H192" t="str" cm="1">
        <f t="array" ref="H192">_xlfn.IFS(I192&lt;30000,"Low",I192&lt;60000,"Medium",I192&lt;100000,"High",TRUE,"Premium")</f>
        <v>Premium</v>
      </c>
      <c r="I192" s="2">
        <v>157612</v>
      </c>
      <c r="J192" t="s">
        <v>18</v>
      </c>
      <c r="K192" t="str" cm="1">
        <f t="array" ref="K192">_xlfn.IFS(Table1[[#This Row],[tenure]]&lt;=2,"New",Table1[[#This Row],[tenure]]&lt;=5,"Emerging",Table1[[#This Row],[tenure]]&lt;=8,"Loyal",Table1[[#This Row],[tenure]]&lt;=10,"Legacy")</f>
        <v>Loyal</v>
      </c>
      <c r="L192" t="str">
        <f>TEXT(Table1[[#This Row],[Join_Date]],"mmm-yyyy")</f>
        <v>Nov-2019</v>
      </c>
      <c r="M192">
        <v>6</v>
      </c>
      <c r="N192">
        <f>YEAR(Table1[[#This Row],[Join_Date]])</f>
        <v>2019</v>
      </c>
      <c r="O192" s="1">
        <v>43780</v>
      </c>
      <c r="P192" s="1"/>
    </row>
    <row r="193" spans="1:16" x14ac:dyDescent="0.25">
      <c r="A193" t="s">
        <v>417</v>
      </c>
      <c r="B193" t="s">
        <v>418</v>
      </c>
      <c r="C193" t="s">
        <v>14</v>
      </c>
      <c r="D193" t="s">
        <v>23</v>
      </c>
      <c r="E193">
        <v>54</v>
      </c>
      <c r="F193" t="s">
        <v>42</v>
      </c>
      <c r="G193" t="s">
        <v>46</v>
      </c>
      <c r="H193" t="str" cm="1">
        <f t="array" ref="H193">_xlfn.IFS(I193&lt;30000,"Low",I193&lt;60000,"Medium",I193&lt;100000,"High",TRUE,"Premium")</f>
        <v>Premium</v>
      </c>
      <c r="I193" s="2">
        <v>117768</v>
      </c>
      <c r="J193" t="s">
        <v>18</v>
      </c>
      <c r="K193" t="str" cm="1">
        <f t="array" ref="K193">_xlfn.IFS(Table1[[#This Row],[tenure]]&lt;=2,"New",Table1[[#This Row],[tenure]]&lt;=5,"Emerging",Table1[[#This Row],[tenure]]&lt;=8,"Loyal",Table1[[#This Row],[tenure]]&lt;=10,"Legacy")</f>
        <v>New</v>
      </c>
      <c r="L193" t="str">
        <f>TEXT(Table1[[#This Row],[Join_Date]],"mmm-yyyy")</f>
        <v>Aug-2025</v>
      </c>
      <c r="M193">
        <v>0</v>
      </c>
      <c r="N193">
        <f>YEAR(Table1[[#This Row],[Join_Date]])</f>
        <v>2025</v>
      </c>
      <c r="O193" s="1">
        <v>45891</v>
      </c>
      <c r="P193" s="1"/>
    </row>
    <row r="194" spans="1:16" x14ac:dyDescent="0.25">
      <c r="A194" t="s">
        <v>419</v>
      </c>
      <c r="B194" t="s">
        <v>420</v>
      </c>
      <c r="C194" t="s">
        <v>14</v>
      </c>
      <c r="D194" t="s">
        <v>15</v>
      </c>
      <c r="E194">
        <v>29</v>
      </c>
      <c r="F194" t="s">
        <v>42</v>
      </c>
      <c r="G194" t="s">
        <v>51</v>
      </c>
      <c r="H194" t="str" cm="1">
        <f t="array" ref="H194">_xlfn.IFS(I194&lt;30000,"Low",I194&lt;60000,"Medium",I194&lt;100000,"High",TRUE,"Premium")</f>
        <v>High</v>
      </c>
      <c r="I194" s="2">
        <v>61846</v>
      </c>
      <c r="J194" t="s">
        <v>26</v>
      </c>
      <c r="K194" t="str" cm="1">
        <f t="array" ref="K194">_xlfn.IFS(Table1[[#This Row],[tenure]]&lt;=2,"New",Table1[[#This Row],[tenure]]&lt;=5,"Emerging",Table1[[#This Row],[tenure]]&lt;=8,"Loyal",Table1[[#This Row],[tenure]]&lt;=10,"Legacy")</f>
        <v>Emerging</v>
      </c>
      <c r="L194" t="str">
        <f>TEXT(Table1[[#This Row],[Join_Date]],"mmm-yyyy")</f>
        <v>Dec-2020</v>
      </c>
      <c r="M194">
        <v>5</v>
      </c>
      <c r="N194">
        <f>YEAR(Table1[[#This Row],[Join_Date]])</f>
        <v>2020</v>
      </c>
      <c r="O194" s="1">
        <v>44169</v>
      </c>
      <c r="P194" s="1"/>
    </row>
    <row r="195" spans="1:16" x14ac:dyDescent="0.25">
      <c r="A195" t="s">
        <v>421</v>
      </c>
      <c r="B195" t="s">
        <v>422</v>
      </c>
      <c r="C195" t="s">
        <v>14</v>
      </c>
      <c r="D195" t="s">
        <v>37</v>
      </c>
      <c r="E195">
        <v>20</v>
      </c>
      <c r="F195" t="s">
        <v>24</v>
      </c>
      <c r="G195" t="s">
        <v>34</v>
      </c>
      <c r="H195" t="str" cm="1">
        <f t="array" ref="H195">_xlfn.IFS(I195&lt;30000,"Low",I195&lt;60000,"Medium",I195&lt;100000,"High",TRUE,"Premium")</f>
        <v>High</v>
      </c>
      <c r="I195" s="2">
        <v>95932</v>
      </c>
      <c r="J195" t="s">
        <v>18</v>
      </c>
      <c r="K195" t="str" cm="1">
        <f t="array" ref="K195">_xlfn.IFS(Table1[[#This Row],[tenure]]&lt;=2,"New",Table1[[#This Row],[tenure]]&lt;=5,"Emerging",Table1[[#This Row],[tenure]]&lt;=8,"Loyal",Table1[[#This Row],[tenure]]&lt;=10,"Legacy")</f>
        <v>New</v>
      </c>
      <c r="L195" t="str">
        <f>TEXT(Table1[[#This Row],[Join_Date]],"mmm-yyyy")</f>
        <v>Jun-2024</v>
      </c>
      <c r="M195">
        <v>1</v>
      </c>
      <c r="N195">
        <f>YEAR(Table1[[#This Row],[Join_Date]])</f>
        <v>2024</v>
      </c>
      <c r="O195" s="1">
        <v>45446</v>
      </c>
      <c r="P195" s="1"/>
    </row>
    <row r="196" spans="1:16" x14ac:dyDescent="0.25">
      <c r="A196" t="s">
        <v>423</v>
      </c>
      <c r="B196" t="s">
        <v>424</v>
      </c>
      <c r="C196" t="s">
        <v>14</v>
      </c>
      <c r="D196" t="s">
        <v>37</v>
      </c>
      <c r="E196">
        <v>18</v>
      </c>
      <c r="F196" t="s">
        <v>24</v>
      </c>
      <c r="G196" t="s">
        <v>17</v>
      </c>
      <c r="H196" t="str" cm="1">
        <f t="array" ref="H196">_xlfn.IFS(I196&lt;30000,"Low",I196&lt;60000,"Medium",I196&lt;100000,"High",TRUE,"Premium")</f>
        <v>Premium</v>
      </c>
      <c r="I196" s="2">
        <v>168554</v>
      </c>
      <c r="J196" t="s">
        <v>26</v>
      </c>
      <c r="K196" t="str" cm="1">
        <f t="array" ref="K196">_xlfn.IFS(Table1[[#This Row],[tenure]]&lt;=2,"New",Table1[[#This Row],[tenure]]&lt;=5,"Emerging",Table1[[#This Row],[tenure]]&lt;=8,"Loyal",Table1[[#This Row],[tenure]]&lt;=10,"Legacy")</f>
        <v>Legacy</v>
      </c>
      <c r="L196" t="str">
        <f>TEXT(Table1[[#This Row],[Join_Date]],"mmm-yyyy")</f>
        <v>Sep-2015</v>
      </c>
      <c r="M196">
        <v>10</v>
      </c>
      <c r="N196">
        <f>YEAR(Table1[[#This Row],[Join_Date]])</f>
        <v>2015</v>
      </c>
      <c r="O196" s="1">
        <v>42269</v>
      </c>
      <c r="P196" s="1"/>
    </row>
    <row r="197" spans="1:16" x14ac:dyDescent="0.25">
      <c r="A197" t="s">
        <v>425</v>
      </c>
      <c r="B197" t="s">
        <v>426</v>
      </c>
      <c r="C197" t="s">
        <v>22</v>
      </c>
      <c r="D197" t="s">
        <v>23</v>
      </c>
      <c r="E197">
        <v>50</v>
      </c>
      <c r="F197" t="s">
        <v>24</v>
      </c>
      <c r="G197" t="s">
        <v>34</v>
      </c>
      <c r="H197" t="str" cm="1">
        <f t="array" ref="H197">_xlfn.IFS(I197&lt;30000,"Low",I197&lt;60000,"Medium",I197&lt;100000,"High",TRUE,"Premium")</f>
        <v>Medium</v>
      </c>
      <c r="I197" s="2">
        <v>43411</v>
      </c>
      <c r="J197" t="s">
        <v>26</v>
      </c>
      <c r="K197" t="str" cm="1">
        <f t="array" ref="K197">_xlfn.IFS(Table1[[#This Row],[tenure]]&lt;=2,"New",Table1[[#This Row],[tenure]]&lt;=5,"Emerging",Table1[[#This Row],[tenure]]&lt;=8,"Loyal",Table1[[#This Row],[tenure]]&lt;=10,"Legacy")</f>
        <v>Loyal</v>
      </c>
      <c r="L197" t="str">
        <f>TEXT(Table1[[#This Row],[Join_Date]],"mmm-yyyy")</f>
        <v>May-2019</v>
      </c>
      <c r="M197">
        <v>6</v>
      </c>
      <c r="N197">
        <f>YEAR(Table1[[#This Row],[Join_Date]])</f>
        <v>2019</v>
      </c>
      <c r="O197" s="1">
        <v>43612</v>
      </c>
      <c r="P197" s="1"/>
    </row>
    <row r="198" spans="1:16" x14ac:dyDescent="0.25">
      <c r="A198" t="s">
        <v>427</v>
      </c>
      <c r="B198" t="s">
        <v>428</v>
      </c>
      <c r="C198" t="s">
        <v>22</v>
      </c>
      <c r="D198" t="s">
        <v>23</v>
      </c>
      <c r="E198">
        <v>57</v>
      </c>
      <c r="F198" t="s">
        <v>38</v>
      </c>
      <c r="G198" t="s">
        <v>17</v>
      </c>
      <c r="H198" t="str" cm="1">
        <f t="array" ref="H198">_xlfn.IFS(I198&lt;30000,"Low",I198&lt;60000,"Medium",I198&lt;100000,"High",TRUE,"Premium")</f>
        <v>High</v>
      </c>
      <c r="I198" s="2">
        <v>98797</v>
      </c>
      <c r="J198" t="s">
        <v>30</v>
      </c>
      <c r="K198" t="str" cm="1">
        <f t="array" ref="K198">_xlfn.IFS(Table1[[#This Row],[tenure]]&lt;=2,"New",Table1[[#This Row],[tenure]]&lt;=5,"Emerging",Table1[[#This Row],[tenure]]&lt;=8,"Loyal",Table1[[#This Row],[tenure]]&lt;=10,"Legacy")</f>
        <v>Legacy</v>
      </c>
      <c r="L198" t="str">
        <f>TEXT(Table1[[#This Row],[Join_Date]],"mmm-yyyy")</f>
        <v>Feb-2016</v>
      </c>
      <c r="M198">
        <v>10</v>
      </c>
      <c r="N198">
        <f>YEAR(Table1[[#This Row],[Join_Date]])</f>
        <v>2016</v>
      </c>
      <c r="O198" s="1">
        <v>42402</v>
      </c>
      <c r="P198" s="1"/>
    </row>
    <row r="199" spans="1:16" x14ac:dyDescent="0.25">
      <c r="A199" t="s">
        <v>429</v>
      </c>
      <c r="B199" t="s">
        <v>430</v>
      </c>
      <c r="C199" t="s">
        <v>22</v>
      </c>
      <c r="D199" t="s">
        <v>37</v>
      </c>
      <c r="E199">
        <v>27</v>
      </c>
      <c r="F199" t="s">
        <v>16</v>
      </c>
      <c r="G199" t="s">
        <v>25</v>
      </c>
      <c r="H199" t="str" cm="1">
        <f t="array" ref="H199">_xlfn.IFS(I199&lt;30000,"Low",I199&lt;60000,"Medium",I199&lt;100000,"High",TRUE,"Premium")</f>
        <v>High</v>
      </c>
      <c r="I199" s="2">
        <v>72307</v>
      </c>
      <c r="J199" t="s">
        <v>18</v>
      </c>
      <c r="K199" t="str" cm="1">
        <f t="array" ref="K199">_xlfn.IFS(Table1[[#This Row],[tenure]]&lt;=2,"New",Table1[[#This Row],[tenure]]&lt;=5,"Emerging",Table1[[#This Row],[tenure]]&lt;=8,"Loyal",Table1[[#This Row],[tenure]]&lt;=10,"Legacy")</f>
        <v>Emerging</v>
      </c>
      <c r="L199" t="str">
        <f>TEXT(Table1[[#This Row],[Join_Date]],"mmm-yyyy")</f>
        <v>Apr-2020</v>
      </c>
      <c r="M199">
        <v>5</v>
      </c>
      <c r="N199">
        <f>YEAR(Table1[[#This Row],[Join_Date]])</f>
        <v>2020</v>
      </c>
      <c r="O199" s="1">
        <v>43945</v>
      </c>
      <c r="P199" s="1"/>
    </row>
    <row r="200" spans="1:16" x14ac:dyDescent="0.25">
      <c r="A200" t="s">
        <v>431</v>
      </c>
      <c r="B200" t="s">
        <v>432</v>
      </c>
      <c r="C200" t="s">
        <v>14</v>
      </c>
      <c r="D200" t="s">
        <v>23</v>
      </c>
      <c r="E200">
        <v>60</v>
      </c>
      <c r="F200" t="s">
        <v>24</v>
      </c>
      <c r="G200" t="s">
        <v>34</v>
      </c>
      <c r="H200" t="str" cm="1">
        <f t="array" ref="H200">_xlfn.IFS(I200&lt;30000,"Low",I200&lt;60000,"Medium",I200&lt;100000,"High",TRUE,"Premium")</f>
        <v>Premium</v>
      </c>
      <c r="I200" s="2">
        <v>154165</v>
      </c>
      <c r="J200" t="s">
        <v>18</v>
      </c>
      <c r="K200" t="str" cm="1">
        <f t="array" ref="K200">_xlfn.IFS(Table1[[#This Row],[tenure]]&lt;=2,"New",Table1[[#This Row],[tenure]]&lt;=5,"Emerging",Table1[[#This Row],[tenure]]&lt;=8,"Loyal",Table1[[#This Row],[tenure]]&lt;=10,"Legacy")</f>
        <v>Loyal</v>
      </c>
      <c r="L200" t="str">
        <f>TEXT(Table1[[#This Row],[Join_Date]],"mmm-yyyy")</f>
        <v>Jan-2018</v>
      </c>
      <c r="M200">
        <v>8</v>
      </c>
      <c r="N200">
        <f>YEAR(Table1[[#This Row],[Join_Date]])</f>
        <v>2018</v>
      </c>
      <c r="O200" s="1">
        <v>43118</v>
      </c>
      <c r="P200" s="1"/>
    </row>
    <row r="201" spans="1:16" x14ac:dyDescent="0.25">
      <c r="A201" t="s">
        <v>433</v>
      </c>
      <c r="B201" t="s">
        <v>434</v>
      </c>
      <c r="C201" t="s">
        <v>14</v>
      </c>
      <c r="D201" t="s">
        <v>54</v>
      </c>
      <c r="E201">
        <v>61</v>
      </c>
      <c r="F201" t="s">
        <v>16</v>
      </c>
      <c r="G201" t="s">
        <v>25</v>
      </c>
      <c r="H201" t="str" cm="1">
        <f t="array" ref="H201">_xlfn.IFS(I201&lt;30000,"Low",I201&lt;60000,"Medium",I201&lt;100000,"High",TRUE,"Premium")</f>
        <v>Medium</v>
      </c>
      <c r="I201" s="2">
        <v>42042</v>
      </c>
      <c r="J201" t="s">
        <v>18</v>
      </c>
      <c r="K201" t="str" cm="1">
        <f t="array" ref="K201">_xlfn.IFS(Table1[[#This Row],[tenure]]&lt;=2,"New",Table1[[#This Row],[tenure]]&lt;=5,"Emerging",Table1[[#This Row],[tenure]]&lt;=8,"Loyal",Table1[[#This Row],[tenure]]&lt;=10,"Legacy")</f>
        <v>New</v>
      </c>
      <c r="L201" t="str">
        <f>TEXT(Table1[[#This Row],[Join_Date]],"mmm-yyyy")</f>
        <v>Mar-2024</v>
      </c>
      <c r="M201">
        <v>1</v>
      </c>
      <c r="N201">
        <f>YEAR(Table1[[#This Row],[Join_Date]])</f>
        <v>2024</v>
      </c>
      <c r="O201" s="1">
        <v>45365</v>
      </c>
      <c r="P201" s="1"/>
    </row>
    <row r="202" spans="1:16" x14ac:dyDescent="0.25">
      <c r="A202" t="s">
        <v>435</v>
      </c>
      <c r="B202" t="s">
        <v>436</v>
      </c>
      <c r="C202" t="s">
        <v>14</v>
      </c>
      <c r="D202" t="s">
        <v>23</v>
      </c>
      <c r="E202">
        <v>46</v>
      </c>
      <c r="F202" t="s">
        <v>38</v>
      </c>
      <c r="G202" t="s">
        <v>29</v>
      </c>
      <c r="H202" t="str" cm="1">
        <f t="array" ref="H202">_xlfn.IFS(I202&lt;30000,"Low",I202&lt;60000,"Medium",I202&lt;100000,"High",TRUE,"Premium")</f>
        <v>High</v>
      </c>
      <c r="I202" s="2">
        <v>72930</v>
      </c>
      <c r="J202" t="s">
        <v>30</v>
      </c>
      <c r="K202" t="str" cm="1">
        <f t="array" ref="K202">_xlfn.IFS(Table1[[#This Row],[tenure]]&lt;=2,"New",Table1[[#This Row],[tenure]]&lt;=5,"Emerging",Table1[[#This Row],[tenure]]&lt;=8,"Loyal",Table1[[#This Row],[tenure]]&lt;=10,"Legacy")</f>
        <v>Loyal</v>
      </c>
      <c r="L202" t="str">
        <f>TEXT(Table1[[#This Row],[Join_Date]],"mmm-yyyy")</f>
        <v>Aug-2017</v>
      </c>
      <c r="M202">
        <v>8</v>
      </c>
      <c r="N202">
        <f>YEAR(Table1[[#This Row],[Join_Date]])</f>
        <v>2017</v>
      </c>
      <c r="O202" s="1">
        <v>42971</v>
      </c>
      <c r="P202" s="1"/>
    </row>
    <row r="203" spans="1:16" x14ac:dyDescent="0.25">
      <c r="A203" t="s">
        <v>437</v>
      </c>
      <c r="B203" t="s">
        <v>438</v>
      </c>
      <c r="C203" t="s">
        <v>22</v>
      </c>
      <c r="D203" t="s">
        <v>15</v>
      </c>
      <c r="E203">
        <v>30</v>
      </c>
      <c r="F203" t="s">
        <v>42</v>
      </c>
      <c r="G203" t="s">
        <v>29</v>
      </c>
      <c r="H203" t="str" cm="1">
        <f t="array" ref="H203">_xlfn.IFS(I203&lt;30000,"Low",I203&lt;60000,"Medium",I203&lt;100000,"High",TRUE,"Premium")</f>
        <v>Premium</v>
      </c>
      <c r="I203" s="2">
        <v>195485</v>
      </c>
      <c r="J203" t="s">
        <v>30</v>
      </c>
      <c r="K203" t="str" cm="1">
        <f t="array" ref="K203">_xlfn.IFS(Table1[[#This Row],[tenure]]&lt;=2,"New",Table1[[#This Row],[tenure]]&lt;=5,"Emerging",Table1[[#This Row],[tenure]]&lt;=8,"Loyal",Table1[[#This Row],[tenure]]&lt;=10,"Legacy")</f>
        <v>Loyal</v>
      </c>
      <c r="L203" t="str">
        <f>TEXT(Table1[[#This Row],[Join_Date]],"mmm-yyyy")</f>
        <v>Mar-2019</v>
      </c>
      <c r="M203">
        <v>7</v>
      </c>
      <c r="N203">
        <f>YEAR(Table1[[#This Row],[Join_Date]])</f>
        <v>2019</v>
      </c>
      <c r="O203" s="1">
        <v>43537</v>
      </c>
      <c r="P203" s="1"/>
    </row>
    <row r="204" spans="1:16" x14ac:dyDescent="0.25">
      <c r="A204" t="s">
        <v>439</v>
      </c>
      <c r="B204" t="s">
        <v>440</v>
      </c>
      <c r="C204" t="s">
        <v>14</v>
      </c>
      <c r="D204" t="s">
        <v>15</v>
      </c>
      <c r="E204">
        <v>29</v>
      </c>
      <c r="F204" t="s">
        <v>24</v>
      </c>
      <c r="G204" t="s">
        <v>46</v>
      </c>
      <c r="H204" t="str" cm="1">
        <f t="array" ref="H204">_xlfn.IFS(I204&lt;30000,"Low",I204&lt;60000,"Medium",I204&lt;100000,"High",TRUE,"Premium")</f>
        <v>Premium</v>
      </c>
      <c r="I204" s="2">
        <v>117883</v>
      </c>
      <c r="J204" t="s">
        <v>18</v>
      </c>
      <c r="K204" t="str" cm="1">
        <f t="array" ref="K204">_xlfn.IFS(Table1[[#This Row],[tenure]]&lt;=2,"New",Table1[[#This Row],[tenure]]&lt;=5,"Emerging",Table1[[#This Row],[tenure]]&lt;=8,"Loyal",Table1[[#This Row],[tenure]]&lt;=10,"Legacy")</f>
        <v>New</v>
      </c>
      <c r="L204" t="str">
        <f>TEXT(Table1[[#This Row],[Join_Date]],"mmm-yyyy")</f>
        <v>Aug-2024</v>
      </c>
      <c r="M204">
        <v>1</v>
      </c>
      <c r="N204">
        <f>YEAR(Table1[[#This Row],[Join_Date]])</f>
        <v>2024</v>
      </c>
      <c r="O204" s="1">
        <v>45525</v>
      </c>
      <c r="P204" s="1"/>
    </row>
    <row r="205" spans="1:16" x14ac:dyDescent="0.25">
      <c r="A205" t="s">
        <v>441</v>
      </c>
      <c r="B205" t="s">
        <v>442</v>
      </c>
      <c r="C205" t="s">
        <v>14</v>
      </c>
      <c r="D205" t="s">
        <v>23</v>
      </c>
      <c r="E205">
        <v>48</v>
      </c>
      <c r="F205" t="s">
        <v>16</v>
      </c>
      <c r="G205" t="s">
        <v>51</v>
      </c>
      <c r="H205" t="str" cm="1">
        <f t="array" ref="H205">_xlfn.IFS(I205&lt;30000,"Low",I205&lt;60000,"Medium",I205&lt;100000,"High",TRUE,"Premium")</f>
        <v>Medium</v>
      </c>
      <c r="I205" s="2">
        <v>53756</v>
      </c>
      <c r="J205" t="s">
        <v>26</v>
      </c>
      <c r="K205" t="str" cm="1">
        <f t="array" ref="K205">_xlfn.IFS(Table1[[#This Row],[tenure]]&lt;=2,"New",Table1[[#This Row],[tenure]]&lt;=5,"Emerging",Table1[[#This Row],[tenure]]&lt;=8,"Loyal",Table1[[#This Row],[tenure]]&lt;=10,"Legacy")</f>
        <v>Legacy</v>
      </c>
      <c r="L205" t="str">
        <f>TEXT(Table1[[#This Row],[Join_Date]],"mmm-yyyy")</f>
        <v>Jun-2016</v>
      </c>
      <c r="M205">
        <v>9</v>
      </c>
      <c r="N205">
        <f>YEAR(Table1[[#This Row],[Join_Date]])</f>
        <v>2016</v>
      </c>
      <c r="O205" s="1">
        <v>42533</v>
      </c>
      <c r="P205" s="1"/>
    </row>
    <row r="206" spans="1:16" x14ac:dyDescent="0.25">
      <c r="A206" t="s">
        <v>443</v>
      </c>
      <c r="B206" t="s">
        <v>444</v>
      </c>
      <c r="C206" t="s">
        <v>22</v>
      </c>
      <c r="D206" t="s">
        <v>54</v>
      </c>
      <c r="E206">
        <v>63</v>
      </c>
      <c r="F206" t="s">
        <v>16</v>
      </c>
      <c r="G206" t="s">
        <v>34</v>
      </c>
      <c r="H206" t="str" cm="1">
        <f t="array" ref="H206">_xlfn.IFS(I206&lt;30000,"Low",I206&lt;60000,"Medium",I206&lt;100000,"High",TRUE,"Premium")</f>
        <v>High</v>
      </c>
      <c r="I206" s="2">
        <v>73268</v>
      </c>
      <c r="J206" t="s">
        <v>18</v>
      </c>
      <c r="K206" t="str" cm="1">
        <f t="array" ref="K206">_xlfn.IFS(Table1[[#This Row],[tenure]]&lt;=2,"New",Table1[[#This Row],[tenure]]&lt;=5,"Emerging",Table1[[#This Row],[tenure]]&lt;=8,"Loyal",Table1[[#This Row],[tenure]]&lt;=10,"Legacy")</f>
        <v>New</v>
      </c>
      <c r="L206" t="str">
        <f>TEXT(Table1[[#This Row],[Join_Date]],"mmm-yyyy")</f>
        <v>Oct-2024</v>
      </c>
      <c r="M206">
        <v>1</v>
      </c>
      <c r="N206">
        <f>YEAR(Table1[[#This Row],[Join_Date]])</f>
        <v>2024</v>
      </c>
      <c r="O206" s="1">
        <v>45587</v>
      </c>
      <c r="P206" s="1"/>
    </row>
    <row r="207" spans="1:16" x14ac:dyDescent="0.25">
      <c r="A207" t="s">
        <v>445</v>
      </c>
      <c r="B207" t="s">
        <v>446</v>
      </c>
      <c r="C207" t="s">
        <v>14</v>
      </c>
      <c r="D207" t="s">
        <v>37</v>
      </c>
      <c r="E207">
        <v>19</v>
      </c>
      <c r="F207" t="s">
        <v>24</v>
      </c>
      <c r="G207" t="s">
        <v>25</v>
      </c>
      <c r="H207" t="str" cm="1">
        <f t="array" ref="H207">_xlfn.IFS(I207&lt;30000,"Low",I207&lt;60000,"Medium",I207&lt;100000,"High",TRUE,"Premium")</f>
        <v>Premium</v>
      </c>
      <c r="I207" s="2">
        <v>190286</v>
      </c>
      <c r="J207" t="s">
        <v>26</v>
      </c>
      <c r="K207" t="str" cm="1">
        <f t="array" ref="K207">_xlfn.IFS(Table1[[#This Row],[tenure]]&lt;=2,"New",Table1[[#This Row],[tenure]]&lt;=5,"Emerging",Table1[[#This Row],[tenure]]&lt;=8,"Loyal",Table1[[#This Row],[tenure]]&lt;=10,"Legacy")</f>
        <v>Emerging</v>
      </c>
      <c r="L207" t="str">
        <f>TEXT(Table1[[#This Row],[Join_Date]],"mmm-yyyy")</f>
        <v>Mar-2020</v>
      </c>
      <c r="M207">
        <v>5</v>
      </c>
      <c r="N207">
        <f>YEAR(Table1[[#This Row],[Join_Date]])</f>
        <v>2020</v>
      </c>
      <c r="O207" s="1">
        <v>43918</v>
      </c>
      <c r="P207" s="1"/>
    </row>
    <row r="208" spans="1:16" x14ac:dyDescent="0.25">
      <c r="A208" t="s">
        <v>447</v>
      </c>
      <c r="B208" t="s">
        <v>448</v>
      </c>
      <c r="C208" t="s">
        <v>22</v>
      </c>
      <c r="D208" t="s">
        <v>54</v>
      </c>
      <c r="E208">
        <v>68</v>
      </c>
      <c r="F208" t="s">
        <v>42</v>
      </c>
      <c r="G208" t="s">
        <v>17</v>
      </c>
      <c r="H208" t="str" cm="1">
        <f t="array" ref="H208">_xlfn.IFS(I208&lt;30000,"Low",I208&lt;60000,"Medium",I208&lt;100000,"High",TRUE,"Premium")</f>
        <v>Premium</v>
      </c>
      <c r="I208" s="2">
        <v>179674</v>
      </c>
      <c r="J208" t="s">
        <v>18</v>
      </c>
      <c r="K208" t="str" cm="1">
        <f t="array" ref="K208">_xlfn.IFS(Table1[[#This Row],[tenure]]&lt;=2,"New",Table1[[#This Row],[tenure]]&lt;=5,"Emerging",Table1[[#This Row],[tenure]]&lt;=8,"Loyal",Table1[[#This Row],[tenure]]&lt;=10,"Legacy")</f>
        <v>Loyal</v>
      </c>
      <c r="L208" t="str">
        <f>TEXT(Table1[[#This Row],[Join_Date]],"mmm-yyyy")</f>
        <v>Nov-2018</v>
      </c>
      <c r="M208">
        <v>7</v>
      </c>
      <c r="N208">
        <f>YEAR(Table1[[#This Row],[Join_Date]])</f>
        <v>2018</v>
      </c>
      <c r="O208" s="1">
        <v>43431</v>
      </c>
      <c r="P208" s="1"/>
    </row>
    <row r="209" spans="1:16" x14ac:dyDescent="0.25">
      <c r="A209" t="s">
        <v>449</v>
      </c>
      <c r="B209" t="s">
        <v>450</v>
      </c>
      <c r="C209" t="s">
        <v>22</v>
      </c>
      <c r="D209" t="s">
        <v>54</v>
      </c>
      <c r="E209">
        <v>67</v>
      </c>
      <c r="F209" t="s">
        <v>42</v>
      </c>
      <c r="G209" t="s">
        <v>29</v>
      </c>
      <c r="H209" t="str" cm="1">
        <f t="array" ref="H209">_xlfn.IFS(I209&lt;30000,"Low",I209&lt;60000,"Medium",I209&lt;100000,"High",TRUE,"Premium")</f>
        <v>High</v>
      </c>
      <c r="I209" s="2">
        <v>68901</v>
      </c>
      <c r="J209" t="s">
        <v>26</v>
      </c>
      <c r="K209" t="str" cm="1">
        <f t="array" ref="K209">_xlfn.IFS(Table1[[#This Row],[tenure]]&lt;=2,"New",Table1[[#This Row],[tenure]]&lt;=5,"Emerging",Table1[[#This Row],[tenure]]&lt;=8,"Loyal",Table1[[#This Row],[tenure]]&lt;=10,"Legacy")</f>
        <v>Emerging</v>
      </c>
      <c r="L209" t="str">
        <f>TEXT(Table1[[#This Row],[Join_Date]],"mmm-yyyy")</f>
        <v>Mar-2022</v>
      </c>
      <c r="M209">
        <v>3</v>
      </c>
      <c r="N209">
        <f>YEAR(Table1[[#This Row],[Join_Date]])</f>
        <v>2022</v>
      </c>
      <c r="O209" s="1">
        <v>44644</v>
      </c>
      <c r="P209" s="1"/>
    </row>
    <row r="210" spans="1:16" x14ac:dyDescent="0.25">
      <c r="A210" t="s">
        <v>451</v>
      </c>
      <c r="B210" t="s">
        <v>452</v>
      </c>
      <c r="C210" t="s">
        <v>22</v>
      </c>
      <c r="D210" t="s">
        <v>23</v>
      </c>
      <c r="E210">
        <v>52</v>
      </c>
      <c r="F210" t="s">
        <v>42</v>
      </c>
      <c r="G210" t="s">
        <v>51</v>
      </c>
      <c r="H210" t="str" cm="1">
        <f t="array" ref="H210">_xlfn.IFS(I210&lt;30000,"Low",I210&lt;60000,"Medium",I210&lt;100000,"High",TRUE,"Premium")</f>
        <v>Premium</v>
      </c>
      <c r="I210" s="2">
        <v>119986</v>
      </c>
      <c r="J210" t="s">
        <v>18</v>
      </c>
      <c r="K210" t="str" cm="1">
        <f t="array" ref="K210">_xlfn.IFS(Table1[[#This Row],[tenure]]&lt;=2,"New",Table1[[#This Row],[tenure]]&lt;=5,"Emerging",Table1[[#This Row],[tenure]]&lt;=8,"Loyal",Table1[[#This Row],[tenure]]&lt;=10,"Legacy")</f>
        <v>Emerging</v>
      </c>
      <c r="L210" t="str">
        <f>TEXT(Table1[[#This Row],[Join_Date]],"mmm-yyyy")</f>
        <v>Apr-2020</v>
      </c>
      <c r="M210">
        <v>5</v>
      </c>
      <c r="N210">
        <f>YEAR(Table1[[#This Row],[Join_Date]])</f>
        <v>2020</v>
      </c>
      <c r="O210" s="1">
        <v>43935</v>
      </c>
      <c r="P210" s="1"/>
    </row>
    <row r="211" spans="1:16" x14ac:dyDescent="0.25">
      <c r="A211" t="s">
        <v>453</v>
      </c>
      <c r="B211" t="s">
        <v>454</v>
      </c>
      <c r="C211" t="s">
        <v>14</v>
      </c>
      <c r="D211" t="s">
        <v>15</v>
      </c>
      <c r="E211">
        <v>40</v>
      </c>
      <c r="F211" t="s">
        <v>38</v>
      </c>
      <c r="G211" t="s">
        <v>29</v>
      </c>
      <c r="H211" t="str" cm="1">
        <f t="array" ref="H211">_xlfn.IFS(I211&lt;30000,"Low",I211&lt;60000,"Medium",I211&lt;100000,"High",TRUE,"Premium")</f>
        <v>Premium</v>
      </c>
      <c r="I211" s="2">
        <v>183268</v>
      </c>
      <c r="J211" t="s">
        <v>26</v>
      </c>
      <c r="K211" t="str" cm="1">
        <f t="array" ref="K211">_xlfn.IFS(Table1[[#This Row],[tenure]]&lt;=2,"New",Table1[[#This Row],[tenure]]&lt;=5,"Emerging",Table1[[#This Row],[tenure]]&lt;=8,"Loyal",Table1[[#This Row],[tenure]]&lt;=10,"Legacy")</f>
        <v>Loyal</v>
      </c>
      <c r="L211" t="str">
        <f>TEXT(Table1[[#This Row],[Join_Date]],"mmm-yyyy")</f>
        <v>Oct-2019</v>
      </c>
      <c r="M211">
        <v>6</v>
      </c>
      <c r="N211">
        <f>YEAR(Table1[[#This Row],[Join_Date]])</f>
        <v>2019</v>
      </c>
      <c r="O211" s="1">
        <v>43742</v>
      </c>
      <c r="P211" s="1"/>
    </row>
    <row r="212" spans="1:16" x14ac:dyDescent="0.25">
      <c r="A212" t="s">
        <v>455</v>
      </c>
      <c r="B212" t="s">
        <v>456</v>
      </c>
      <c r="C212" t="s">
        <v>14</v>
      </c>
      <c r="D212" t="s">
        <v>15</v>
      </c>
      <c r="E212">
        <v>34</v>
      </c>
      <c r="F212" t="s">
        <v>16</v>
      </c>
      <c r="G212" t="s">
        <v>17</v>
      </c>
      <c r="H212" t="str" cm="1">
        <f t="array" ref="H212">_xlfn.IFS(I212&lt;30000,"Low",I212&lt;60000,"Medium",I212&lt;100000,"High",TRUE,"Premium")</f>
        <v>Premium</v>
      </c>
      <c r="I212" s="2">
        <v>148386</v>
      </c>
      <c r="J212" t="s">
        <v>26</v>
      </c>
      <c r="K212" t="str" cm="1">
        <f t="array" ref="K212">_xlfn.IFS(Table1[[#This Row],[tenure]]&lt;=2,"New",Table1[[#This Row],[tenure]]&lt;=5,"Emerging",Table1[[#This Row],[tenure]]&lt;=8,"Loyal",Table1[[#This Row],[tenure]]&lt;=10,"Legacy")</f>
        <v>Loyal</v>
      </c>
      <c r="L212" t="str">
        <f>TEXT(Table1[[#This Row],[Join_Date]],"mmm-yyyy")</f>
        <v>Feb-2020</v>
      </c>
      <c r="M212">
        <v>6</v>
      </c>
      <c r="N212">
        <f>YEAR(Table1[[#This Row],[Join_Date]])</f>
        <v>2020</v>
      </c>
      <c r="O212" s="1">
        <v>43881</v>
      </c>
      <c r="P212" s="1"/>
    </row>
    <row r="213" spans="1:16" x14ac:dyDescent="0.25">
      <c r="A213" t="s">
        <v>457</v>
      </c>
      <c r="B213" t="s">
        <v>458</v>
      </c>
      <c r="C213" t="s">
        <v>14</v>
      </c>
      <c r="D213" t="s">
        <v>15</v>
      </c>
      <c r="E213">
        <v>43</v>
      </c>
      <c r="F213" t="s">
        <v>16</v>
      </c>
      <c r="G213" t="s">
        <v>51</v>
      </c>
      <c r="H213" t="str" cm="1">
        <f t="array" ref="H213">_xlfn.IFS(I213&lt;30000,"Low",I213&lt;60000,"Medium",I213&lt;100000,"High",TRUE,"Premium")</f>
        <v>Low</v>
      </c>
      <c r="I213" s="2">
        <v>25626</v>
      </c>
      <c r="J213" t="s">
        <v>26</v>
      </c>
      <c r="K213" t="str" cm="1">
        <f t="array" ref="K213">_xlfn.IFS(Table1[[#This Row],[tenure]]&lt;=2,"New",Table1[[#This Row],[tenure]]&lt;=5,"Emerging",Table1[[#This Row],[tenure]]&lt;=8,"Loyal",Table1[[#This Row],[tenure]]&lt;=10,"Legacy")</f>
        <v>Loyal</v>
      </c>
      <c r="L213" t="str">
        <f>TEXT(Table1[[#This Row],[Join_Date]],"mmm-yyyy")</f>
        <v>Jan-2019</v>
      </c>
      <c r="M213">
        <v>7</v>
      </c>
      <c r="N213">
        <f>YEAR(Table1[[#This Row],[Join_Date]])</f>
        <v>2019</v>
      </c>
      <c r="O213" s="1">
        <v>43477</v>
      </c>
      <c r="P213" s="1"/>
    </row>
    <row r="214" spans="1:16" x14ac:dyDescent="0.25">
      <c r="A214" t="s">
        <v>459</v>
      </c>
      <c r="B214" t="s">
        <v>460</v>
      </c>
      <c r="C214" t="s">
        <v>14</v>
      </c>
      <c r="D214" t="s">
        <v>37</v>
      </c>
      <c r="E214">
        <v>25</v>
      </c>
      <c r="F214" t="s">
        <v>16</v>
      </c>
      <c r="G214" t="s">
        <v>51</v>
      </c>
      <c r="H214" t="str" cm="1">
        <f t="array" ref="H214">_xlfn.IFS(I214&lt;30000,"Low",I214&lt;60000,"Medium",I214&lt;100000,"High",TRUE,"Premium")</f>
        <v>Premium</v>
      </c>
      <c r="I214" s="2">
        <v>158496</v>
      </c>
      <c r="J214" t="s">
        <v>18</v>
      </c>
      <c r="K214" t="str" cm="1">
        <f t="array" ref="K214">_xlfn.IFS(Table1[[#This Row],[tenure]]&lt;=2,"New",Table1[[#This Row],[tenure]]&lt;=5,"Emerging",Table1[[#This Row],[tenure]]&lt;=8,"Loyal",Table1[[#This Row],[tenure]]&lt;=10,"Legacy")</f>
        <v>Loyal</v>
      </c>
      <c r="L214" t="str">
        <f>TEXT(Table1[[#This Row],[Join_Date]],"mmm-yyyy")</f>
        <v>Aug-2017</v>
      </c>
      <c r="M214">
        <v>8</v>
      </c>
      <c r="N214">
        <f>YEAR(Table1[[#This Row],[Join_Date]])</f>
        <v>2017</v>
      </c>
      <c r="O214" s="1">
        <v>42973</v>
      </c>
      <c r="P214" s="1"/>
    </row>
    <row r="215" spans="1:16" x14ac:dyDescent="0.25">
      <c r="A215" t="s">
        <v>461</v>
      </c>
      <c r="B215" t="s">
        <v>462</v>
      </c>
      <c r="C215" t="s">
        <v>14</v>
      </c>
      <c r="D215" t="s">
        <v>23</v>
      </c>
      <c r="E215">
        <v>46</v>
      </c>
      <c r="F215" t="s">
        <v>38</v>
      </c>
      <c r="G215" t="s">
        <v>25</v>
      </c>
      <c r="H215" t="str" cm="1">
        <f t="array" ref="H215">_xlfn.IFS(I215&lt;30000,"Low",I215&lt;60000,"Medium",I215&lt;100000,"High",TRUE,"Premium")</f>
        <v>Medium</v>
      </c>
      <c r="I215" s="2">
        <v>32857</v>
      </c>
      <c r="J215" t="s">
        <v>18</v>
      </c>
      <c r="K215" t="str" cm="1">
        <f t="array" ref="K215">_xlfn.IFS(Table1[[#This Row],[tenure]]&lt;=2,"New",Table1[[#This Row],[tenure]]&lt;=5,"Emerging",Table1[[#This Row],[tenure]]&lt;=8,"Loyal",Table1[[#This Row],[tenure]]&lt;=10,"Legacy")</f>
        <v>Emerging</v>
      </c>
      <c r="L215" t="str">
        <f>TEXT(Table1[[#This Row],[Join_Date]],"mmm-yyyy")</f>
        <v>Aug-2022</v>
      </c>
      <c r="M215">
        <v>3</v>
      </c>
      <c r="N215">
        <f>YEAR(Table1[[#This Row],[Join_Date]])</f>
        <v>2022</v>
      </c>
      <c r="O215" s="1">
        <v>44799</v>
      </c>
      <c r="P215" s="1"/>
    </row>
    <row r="216" spans="1:16" x14ac:dyDescent="0.25">
      <c r="A216" t="s">
        <v>463</v>
      </c>
      <c r="B216" t="s">
        <v>464</v>
      </c>
      <c r="C216" t="s">
        <v>14</v>
      </c>
      <c r="D216" t="s">
        <v>15</v>
      </c>
      <c r="E216">
        <v>43</v>
      </c>
      <c r="F216" t="s">
        <v>16</v>
      </c>
      <c r="G216" t="s">
        <v>25</v>
      </c>
      <c r="H216" t="str" cm="1">
        <f t="array" ref="H216">_xlfn.IFS(I216&lt;30000,"Low",I216&lt;60000,"Medium",I216&lt;100000,"High",TRUE,"Premium")</f>
        <v>Premium</v>
      </c>
      <c r="I216" s="2">
        <v>171054</v>
      </c>
      <c r="J216" t="s">
        <v>18</v>
      </c>
      <c r="K216" t="str" cm="1">
        <f t="array" ref="K216">_xlfn.IFS(Table1[[#This Row],[tenure]]&lt;=2,"New",Table1[[#This Row],[tenure]]&lt;=5,"Emerging",Table1[[#This Row],[tenure]]&lt;=8,"Loyal",Table1[[#This Row],[tenure]]&lt;=10,"Legacy")</f>
        <v>Loyal</v>
      </c>
      <c r="L216" t="str">
        <f>TEXT(Table1[[#This Row],[Join_Date]],"mmm-yyyy")</f>
        <v>Feb-2020</v>
      </c>
      <c r="M216">
        <v>6</v>
      </c>
      <c r="N216">
        <f>YEAR(Table1[[#This Row],[Join_Date]])</f>
        <v>2020</v>
      </c>
      <c r="O216" s="1">
        <v>43877</v>
      </c>
      <c r="P216" s="1"/>
    </row>
    <row r="217" spans="1:16" x14ac:dyDescent="0.25">
      <c r="A217" t="s">
        <v>465</v>
      </c>
      <c r="B217" t="s">
        <v>466</v>
      </c>
      <c r="C217" t="s">
        <v>14</v>
      </c>
      <c r="D217" t="s">
        <v>37</v>
      </c>
      <c r="E217">
        <v>27</v>
      </c>
      <c r="F217" t="s">
        <v>38</v>
      </c>
      <c r="G217" t="s">
        <v>34</v>
      </c>
      <c r="H217" t="str" cm="1">
        <f t="array" ref="H217">_xlfn.IFS(I217&lt;30000,"Low",I217&lt;60000,"Medium",I217&lt;100000,"High",TRUE,"Premium")</f>
        <v>Premium</v>
      </c>
      <c r="I217" s="2">
        <v>153052</v>
      </c>
      <c r="J217" t="s">
        <v>18</v>
      </c>
      <c r="K217" t="str" cm="1">
        <f t="array" ref="K217">_xlfn.IFS(Table1[[#This Row],[tenure]]&lt;=2,"New",Table1[[#This Row],[tenure]]&lt;=5,"Emerging",Table1[[#This Row],[tenure]]&lt;=8,"Loyal",Table1[[#This Row],[tenure]]&lt;=10,"Legacy")</f>
        <v>Legacy</v>
      </c>
      <c r="L217" t="str">
        <f>TEXT(Table1[[#This Row],[Join_Date]],"mmm-yyyy")</f>
        <v>Nov-2015</v>
      </c>
      <c r="M217">
        <v>10</v>
      </c>
      <c r="N217">
        <f>YEAR(Table1[[#This Row],[Join_Date]])</f>
        <v>2015</v>
      </c>
      <c r="O217" s="1">
        <v>42311</v>
      </c>
      <c r="P217" s="1"/>
    </row>
    <row r="218" spans="1:16" x14ac:dyDescent="0.25">
      <c r="A218" t="s">
        <v>467</v>
      </c>
      <c r="B218" t="s">
        <v>468</v>
      </c>
      <c r="C218" t="s">
        <v>22</v>
      </c>
      <c r="D218" t="s">
        <v>15</v>
      </c>
      <c r="E218">
        <v>43</v>
      </c>
      <c r="F218" t="s">
        <v>42</v>
      </c>
      <c r="G218" t="s">
        <v>34</v>
      </c>
      <c r="H218" t="str" cm="1">
        <f t="array" ref="H218">_xlfn.IFS(I218&lt;30000,"Low",I218&lt;60000,"Medium",I218&lt;100000,"High",TRUE,"Premium")</f>
        <v>Premium</v>
      </c>
      <c r="I218" s="2">
        <v>199362</v>
      </c>
      <c r="J218" t="s">
        <v>18</v>
      </c>
      <c r="K218" t="str" cm="1">
        <f t="array" ref="K218">_xlfn.IFS(Table1[[#This Row],[tenure]]&lt;=2,"New",Table1[[#This Row],[tenure]]&lt;=5,"Emerging",Table1[[#This Row],[tenure]]&lt;=8,"Loyal",Table1[[#This Row],[tenure]]&lt;=10,"Legacy")</f>
        <v>New</v>
      </c>
      <c r="L218" t="str">
        <f>TEXT(Table1[[#This Row],[Join_Date]],"mmm-yyyy")</f>
        <v>Jun-2023</v>
      </c>
      <c r="M218">
        <v>2</v>
      </c>
      <c r="N218">
        <f>YEAR(Table1[[#This Row],[Join_Date]])</f>
        <v>2023</v>
      </c>
      <c r="O218" s="1">
        <v>45083</v>
      </c>
      <c r="P218" s="1"/>
    </row>
    <row r="219" spans="1:16" x14ac:dyDescent="0.25">
      <c r="A219" t="s">
        <v>469</v>
      </c>
      <c r="B219" t="s">
        <v>470</v>
      </c>
      <c r="C219" t="s">
        <v>14</v>
      </c>
      <c r="D219" t="s">
        <v>23</v>
      </c>
      <c r="E219">
        <v>51</v>
      </c>
      <c r="F219" t="s">
        <v>24</v>
      </c>
      <c r="G219" t="s">
        <v>39</v>
      </c>
      <c r="H219" t="str" cm="1">
        <f t="array" ref="H219">_xlfn.IFS(I219&lt;30000,"Low",I219&lt;60000,"Medium",I219&lt;100000,"High",TRUE,"Premium")</f>
        <v>Medium</v>
      </c>
      <c r="I219" s="2">
        <v>46431</v>
      </c>
      <c r="J219" t="s">
        <v>30</v>
      </c>
      <c r="K219" t="str" cm="1">
        <f t="array" ref="K219">_xlfn.IFS(Table1[[#This Row],[tenure]]&lt;=2,"New",Table1[[#This Row],[tenure]]&lt;=5,"Emerging",Table1[[#This Row],[tenure]]&lt;=8,"Loyal",Table1[[#This Row],[tenure]]&lt;=10,"Legacy")</f>
        <v>Legacy</v>
      </c>
      <c r="L219" t="str">
        <f>TEXT(Table1[[#This Row],[Join_Date]],"mmm-yyyy")</f>
        <v>Aug-2016</v>
      </c>
      <c r="M219">
        <v>9</v>
      </c>
      <c r="N219">
        <f>YEAR(Table1[[#This Row],[Join_Date]])</f>
        <v>2016</v>
      </c>
      <c r="O219" s="1">
        <v>42586</v>
      </c>
      <c r="P219" s="1"/>
    </row>
    <row r="220" spans="1:16" x14ac:dyDescent="0.25">
      <c r="A220" t="s">
        <v>471</v>
      </c>
      <c r="B220" t="s">
        <v>472</v>
      </c>
      <c r="C220" t="s">
        <v>22</v>
      </c>
      <c r="D220" t="s">
        <v>54</v>
      </c>
      <c r="E220">
        <v>68</v>
      </c>
      <c r="F220" t="s">
        <v>16</v>
      </c>
      <c r="G220" t="s">
        <v>39</v>
      </c>
      <c r="H220" t="str" cm="1">
        <f t="array" ref="H220">_xlfn.IFS(I220&lt;30000,"Low",I220&lt;60000,"Medium",I220&lt;100000,"High",TRUE,"Premium")</f>
        <v>Premium</v>
      </c>
      <c r="I220" s="2">
        <v>104976</v>
      </c>
      <c r="J220" t="s">
        <v>18</v>
      </c>
      <c r="K220" t="str" cm="1">
        <f t="array" ref="K220">_xlfn.IFS(Table1[[#This Row],[tenure]]&lt;=2,"New",Table1[[#This Row],[tenure]]&lt;=5,"Emerging",Table1[[#This Row],[tenure]]&lt;=8,"Loyal",Table1[[#This Row],[tenure]]&lt;=10,"Legacy")</f>
        <v>Loyal</v>
      </c>
      <c r="L220" t="str">
        <f>TEXT(Table1[[#This Row],[Join_Date]],"mmm-yyyy")</f>
        <v>Sep-2019</v>
      </c>
      <c r="M220">
        <v>6</v>
      </c>
      <c r="N220">
        <f>YEAR(Table1[[#This Row],[Join_Date]])</f>
        <v>2019</v>
      </c>
      <c r="O220" s="1">
        <v>43719</v>
      </c>
      <c r="P220" s="1"/>
    </row>
    <row r="221" spans="1:16" x14ac:dyDescent="0.25">
      <c r="A221" t="s">
        <v>473</v>
      </c>
      <c r="B221" t="s">
        <v>474</v>
      </c>
      <c r="C221" t="s">
        <v>14</v>
      </c>
      <c r="D221" t="s">
        <v>23</v>
      </c>
      <c r="E221">
        <v>58</v>
      </c>
      <c r="F221" t="s">
        <v>16</v>
      </c>
      <c r="G221" t="s">
        <v>46</v>
      </c>
      <c r="H221" t="str" cm="1">
        <f t="array" ref="H221">_xlfn.IFS(I221&lt;30000,"Low",I221&lt;60000,"Medium",I221&lt;100000,"High",TRUE,"Premium")</f>
        <v>Premium</v>
      </c>
      <c r="I221" s="2">
        <v>102711</v>
      </c>
      <c r="J221" t="s">
        <v>18</v>
      </c>
      <c r="K221" t="str" cm="1">
        <f t="array" ref="K221">_xlfn.IFS(Table1[[#This Row],[tenure]]&lt;=2,"New",Table1[[#This Row],[tenure]]&lt;=5,"Emerging",Table1[[#This Row],[tenure]]&lt;=8,"Loyal",Table1[[#This Row],[tenure]]&lt;=10,"Legacy")</f>
        <v>New</v>
      </c>
      <c r="L221" t="str">
        <f>TEXT(Table1[[#This Row],[Join_Date]],"mmm-yyyy")</f>
        <v>May-2024</v>
      </c>
      <c r="M221">
        <v>1</v>
      </c>
      <c r="N221">
        <f>YEAR(Table1[[#This Row],[Join_Date]])</f>
        <v>2024</v>
      </c>
      <c r="O221" s="1">
        <v>45427</v>
      </c>
      <c r="P221" s="1"/>
    </row>
    <row r="222" spans="1:16" x14ac:dyDescent="0.25">
      <c r="A222" t="s">
        <v>475</v>
      </c>
      <c r="B222" t="s">
        <v>476</v>
      </c>
      <c r="C222" t="s">
        <v>14</v>
      </c>
      <c r="D222" t="s">
        <v>37</v>
      </c>
      <c r="E222">
        <v>24</v>
      </c>
      <c r="F222" t="s">
        <v>42</v>
      </c>
      <c r="G222" t="s">
        <v>29</v>
      </c>
      <c r="H222" t="str" cm="1">
        <f t="array" ref="H222">_xlfn.IFS(I222&lt;30000,"Low",I222&lt;60000,"Medium",I222&lt;100000,"High",TRUE,"Premium")</f>
        <v>Medium</v>
      </c>
      <c r="I222" s="2">
        <v>46385</v>
      </c>
      <c r="J222" t="s">
        <v>18</v>
      </c>
      <c r="K222" t="str" cm="1">
        <f t="array" ref="K222">_xlfn.IFS(Table1[[#This Row],[tenure]]&lt;=2,"New",Table1[[#This Row],[tenure]]&lt;=5,"Emerging",Table1[[#This Row],[tenure]]&lt;=8,"Loyal",Table1[[#This Row],[tenure]]&lt;=10,"Legacy")</f>
        <v>Loyal</v>
      </c>
      <c r="L222" t="str">
        <f>TEXT(Table1[[#This Row],[Join_Date]],"mmm-yyyy")</f>
        <v>Nov-2017</v>
      </c>
      <c r="M222">
        <v>8</v>
      </c>
      <c r="N222">
        <f>YEAR(Table1[[#This Row],[Join_Date]])</f>
        <v>2017</v>
      </c>
      <c r="O222" s="1">
        <v>43046</v>
      </c>
      <c r="P222" s="1"/>
    </row>
    <row r="223" spans="1:16" x14ac:dyDescent="0.25">
      <c r="A223" t="s">
        <v>477</v>
      </c>
      <c r="B223" t="s">
        <v>478</v>
      </c>
      <c r="C223" t="s">
        <v>14</v>
      </c>
      <c r="D223" t="s">
        <v>37</v>
      </c>
      <c r="E223">
        <v>21</v>
      </c>
      <c r="F223" t="s">
        <v>24</v>
      </c>
      <c r="G223" t="s">
        <v>34</v>
      </c>
      <c r="H223" t="str" cm="1">
        <f t="array" ref="H223">_xlfn.IFS(I223&lt;30000,"Low",I223&lt;60000,"Medium",I223&lt;100000,"High",TRUE,"Premium")</f>
        <v>Premium</v>
      </c>
      <c r="I223" s="2">
        <v>189230</v>
      </c>
      <c r="J223" t="s">
        <v>18</v>
      </c>
      <c r="K223" t="str" cm="1">
        <f t="array" ref="K223">_xlfn.IFS(Table1[[#This Row],[tenure]]&lt;=2,"New",Table1[[#This Row],[tenure]]&lt;=5,"Emerging",Table1[[#This Row],[tenure]]&lt;=8,"Loyal",Table1[[#This Row],[tenure]]&lt;=10,"Legacy")</f>
        <v>New</v>
      </c>
      <c r="L223" t="str">
        <f>TEXT(Table1[[#This Row],[Join_Date]],"mmm-yyyy")</f>
        <v>Jul-2024</v>
      </c>
      <c r="M223">
        <v>1</v>
      </c>
      <c r="N223">
        <f>YEAR(Table1[[#This Row],[Join_Date]])</f>
        <v>2024</v>
      </c>
      <c r="O223" s="1">
        <v>45495</v>
      </c>
      <c r="P223" s="1"/>
    </row>
    <row r="224" spans="1:16" x14ac:dyDescent="0.25">
      <c r="A224" t="s">
        <v>479</v>
      </c>
      <c r="B224" t="s">
        <v>480</v>
      </c>
      <c r="C224" t="s">
        <v>22</v>
      </c>
      <c r="D224" t="s">
        <v>54</v>
      </c>
      <c r="E224">
        <v>70</v>
      </c>
      <c r="F224" t="s">
        <v>38</v>
      </c>
      <c r="G224" t="s">
        <v>25</v>
      </c>
      <c r="H224" t="str" cm="1">
        <f t="array" ref="H224">_xlfn.IFS(I224&lt;30000,"Low",I224&lt;60000,"Medium",I224&lt;100000,"High",TRUE,"Premium")</f>
        <v>Premium</v>
      </c>
      <c r="I224" s="2">
        <v>174091</v>
      </c>
      <c r="J224" t="s">
        <v>26</v>
      </c>
      <c r="K224" t="str" cm="1">
        <f t="array" ref="K224">_xlfn.IFS(Table1[[#This Row],[tenure]]&lt;=2,"New",Table1[[#This Row],[tenure]]&lt;=5,"Emerging",Table1[[#This Row],[tenure]]&lt;=8,"Loyal",Table1[[#This Row],[tenure]]&lt;=10,"Legacy")</f>
        <v>Legacy</v>
      </c>
      <c r="L224" t="str">
        <f>TEXT(Table1[[#This Row],[Join_Date]],"mmm-yyyy")</f>
        <v>Jan-2016</v>
      </c>
      <c r="M224">
        <v>10</v>
      </c>
      <c r="N224">
        <f>YEAR(Table1[[#This Row],[Join_Date]])</f>
        <v>2016</v>
      </c>
      <c r="O224" s="1">
        <v>42378</v>
      </c>
      <c r="P224" s="1"/>
    </row>
    <row r="225" spans="1:16" x14ac:dyDescent="0.25">
      <c r="A225" t="s">
        <v>481</v>
      </c>
      <c r="B225" t="s">
        <v>482</v>
      </c>
      <c r="C225" t="s">
        <v>22</v>
      </c>
      <c r="D225" t="s">
        <v>54</v>
      </c>
      <c r="E225">
        <v>67</v>
      </c>
      <c r="F225" t="s">
        <v>24</v>
      </c>
      <c r="G225" t="s">
        <v>17</v>
      </c>
      <c r="H225" t="str" cm="1">
        <f t="array" ref="H225">_xlfn.IFS(I225&lt;30000,"Low",I225&lt;60000,"Medium",I225&lt;100000,"High",TRUE,"Premium")</f>
        <v>Medium</v>
      </c>
      <c r="I225" s="2">
        <v>38639</v>
      </c>
      <c r="J225" t="s">
        <v>18</v>
      </c>
      <c r="K225" t="str" cm="1">
        <f t="array" ref="K225">_xlfn.IFS(Table1[[#This Row],[tenure]]&lt;=2,"New",Table1[[#This Row],[tenure]]&lt;=5,"Emerging",Table1[[#This Row],[tenure]]&lt;=8,"Loyal",Table1[[#This Row],[tenure]]&lt;=10,"Legacy")</f>
        <v>Legacy</v>
      </c>
      <c r="L225" t="str">
        <f>TEXT(Table1[[#This Row],[Join_Date]],"mmm-yyyy")</f>
        <v>Oct-2016</v>
      </c>
      <c r="M225">
        <v>9</v>
      </c>
      <c r="N225">
        <f>YEAR(Table1[[#This Row],[Join_Date]])</f>
        <v>2016</v>
      </c>
      <c r="O225" s="1">
        <v>42653</v>
      </c>
      <c r="P225" s="1"/>
    </row>
    <row r="226" spans="1:16" x14ac:dyDescent="0.25">
      <c r="A226" t="s">
        <v>483</v>
      </c>
      <c r="B226" t="s">
        <v>484</v>
      </c>
      <c r="C226" t="s">
        <v>22</v>
      </c>
      <c r="D226" t="s">
        <v>54</v>
      </c>
      <c r="E226">
        <v>62</v>
      </c>
      <c r="F226" t="s">
        <v>42</v>
      </c>
      <c r="G226" t="s">
        <v>25</v>
      </c>
      <c r="H226" t="str" cm="1">
        <f t="array" ref="H226">_xlfn.IFS(I226&lt;30000,"Low",I226&lt;60000,"Medium",I226&lt;100000,"High",TRUE,"Premium")</f>
        <v>Premium</v>
      </c>
      <c r="I226" s="2">
        <v>105530</v>
      </c>
      <c r="J226" t="s">
        <v>30</v>
      </c>
      <c r="K226" t="str" cm="1">
        <f t="array" ref="K226">_xlfn.IFS(Table1[[#This Row],[tenure]]&lt;=2,"New",Table1[[#This Row],[tenure]]&lt;=5,"Emerging",Table1[[#This Row],[tenure]]&lt;=8,"Loyal",Table1[[#This Row],[tenure]]&lt;=10,"Legacy")</f>
        <v>Loyal</v>
      </c>
      <c r="L226" t="str">
        <f>TEXT(Table1[[#This Row],[Join_Date]],"mmm-yyyy")</f>
        <v>Dec-2017</v>
      </c>
      <c r="M226">
        <v>8</v>
      </c>
      <c r="N226">
        <f>YEAR(Table1[[#This Row],[Join_Date]])</f>
        <v>2017</v>
      </c>
      <c r="O226" s="1">
        <v>43070</v>
      </c>
      <c r="P226" s="1"/>
    </row>
    <row r="227" spans="1:16" x14ac:dyDescent="0.25">
      <c r="A227" t="s">
        <v>485</v>
      </c>
      <c r="B227" t="s">
        <v>486</v>
      </c>
      <c r="C227" t="s">
        <v>22</v>
      </c>
      <c r="D227" t="s">
        <v>37</v>
      </c>
      <c r="E227">
        <v>28</v>
      </c>
      <c r="F227" t="s">
        <v>42</v>
      </c>
      <c r="G227" t="s">
        <v>29</v>
      </c>
      <c r="H227" t="str" cm="1">
        <f t="array" ref="H227">_xlfn.IFS(I227&lt;30000,"Low",I227&lt;60000,"Medium",I227&lt;100000,"High",TRUE,"Premium")</f>
        <v>Medium</v>
      </c>
      <c r="I227" s="2">
        <v>41563</v>
      </c>
      <c r="J227" t="s">
        <v>18</v>
      </c>
      <c r="K227" t="str" cm="1">
        <f t="array" ref="K227">_xlfn.IFS(Table1[[#This Row],[tenure]]&lt;=2,"New",Table1[[#This Row],[tenure]]&lt;=5,"Emerging",Table1[[#This Row],[tenure]]&lt;=8,"Loyal",Table1[[#This Row],[tenure]]&lt;=10,"Legacy")</f>
        <v>New</v>
      </c>
      <c r="L227" t="str">
        <f>TEXT(Table1[[#This Row],[Join_Date]],"mmm-yyyy")</f>
        <v>Apr-2024</v>
      </c>
      <c r="M227">
        <v>1</v>
      </c>
      <c r="N227">
        <f>YEAR(Table1[[#This Row],[Join_Date]])</f>
        <v>2024</v>
      </c>
      <c r="O227" s="1">
        <v>45387</v>
      </c>
      <c r="P227" s="1"/>
    </row>
    <row r="228" spans="1:16" x14ac:dyDescent="0.25">
      <c r="A228" t="s">
        <v>487</v>
      </c>
      <c r="B228" t="s">
        <v>488</v>
      </c>
      <c r="C228" t="s">
        <v>14</v>
      </c>
      <c r="D228" t="s">
        <v>23</v>
      </c>
      <c r="E228">
        <v>46</v>
      </c>
      <c r="F228" t="s">
        <v>24</v>
      </c>
      <c r="G228" t="s">
        <v>39</v>
      </c>
      <c r="H228" t="str" cm="1">
        <f t="array" ref="H228">_xlfn.IFS(I228&lt;30000,"Low",I228&lt;60000,"Medium",I228&lt;100000,"High",TRUE,"Premium")</f>
        <v>Premium</v>
      </c>
      <c r="I228" s="2">
        <v>190413</v>
      </c>
      <c r="J228" t="s">
        <v>30</v>
      </c>
      <c r="K228" t="str" cm="1">
        <f t="array" ref="K228">_xlfn.IFS(Table1[[#This Row],[tenure]]&lt;=2,"New",Table1[[#This Row],[tenure]]&lt;=5,"Emerging",Table1[[#This Row],[tenure]]&lt;=8,"Loyal",Table1[[#This Row],[tenure]]&lt;=10,"Legacy")</f>
        <v>Loyal</v>
      </c>
      <c r="L228" t="str">
        <f>TEXT(Table1[[#This Row],[Join_Date]],"mmm-yyyy")</f>
        <v>May-2017</v>
      </c>
      <c r="M228">
        <v>8</v>
      </c>
      <c r="N228">
        <f>YEAR(Table1[[#This Row],[Join_Date]])</f>
        <v>2017</v>
      </c>
      <c r="O228" s="1">
        <v>42873</v>
      </c>
      <c r="P228" s="1"/>
    </row>
    <row r="229" spans="1:16" x14ac:dyDescent="0.25">
      <c r="A229" t="s">
        <v>489</v>
      </c>
      <c r="B229" t="s">
        <v>490</v>
      </c>
      <c r="C229" t="s">
        <v>22</v>
      </c>
      <c r="D229" t="s">
        <v>54</v>
      </c>
      <c r="E229">
        <v>73</v>
      </c>
      <c r="F229" t="s">
        <v>38</v>
      </c>
      <c r="G229" t="s">
        <v>25</v>
      </c>
      <c r="H229" t="str" cm="1">
        <f t="array" ref="H229">_xlfn.IFS(I229&lt;30000,"Low",I229&lt;60000,"Medium",I229&lt;100000,"High",TRUE,"Premium")</f>
        <v>Premium</v>
      </c>
      <c r="I229" s="2">
        <v>135672</v>
      </c>
      <c r="J229" t="s">
        <v>26</v>
      </c>
      <c r="K229" t="str" cm="1">
        <f t="array" ref="K229">_xlfn.IFS(Table1[[#This Row],[tenure]]&lt;=2,"New",Table1[[#This Row],[tenure]]&lt;=5,"Emerging",Table1[[#This Row],[tenure]]&lt;=8,"Loyal",Table1[[#This Row],[tenure]]&lt;=10,"Legacy")</f>
        <v>Loyal</v>
      </c>
      <c r="L229" t="str">
        <f>TEXT(Table1[[#This Row],[Join_Date]],"mmm-yyyy")</f>
        <v>Jan-2019</v>
      </c>
      <c r="M229">
        <v>7</v>
      </c>
      <c r="N229">
        <f>YEAR(Table1[[#This Row],[Join_Date]])</f>
        <v>2019</v>
      </c>
      <c r="O229" s="1">
        <v>43479</v>
      </c>
      <c r="P229" s="1"/>
    </row>
    <row r="230" spans="1:16" x14ac:dyDescent="0.25">
      <c r="A230" t="s">
        <v>491</v>
      </c>
      <c r="B230" t="s">
        <v>492</v>
      </c>
      <c r="C230" t="s">
        <v>14</v>
      </c>
      <c r="D230" t="s">
        <v>23</v>
      </c>
      <c r="E230">
        <v>53</v>
      </c>
      <c r="F230" t="s">
        <v>38</v>
      </c>
      <c r="G230" t="s">
        <v>46</v>
      </c>
      <c r="H230" t="str" cm="1">
        <f t="array" ref="H230">_xlfn.IFS(I230&lt;30000,"Low",I230&lt;60000,"Medium",I230&lt;100000,"High",TRUE,"Premium")</f>
        <v>Premium</v>
      </c>
      <c r="I230" s="2">
        <v>156848</v>
      </c>
      <c r="J230" t="s">
        <v>18</v>
      </c>
      <c r="K230" t="str" cm="1">
        <f t="array" ref="K230">_xlfn.IFS(Table1[[#This Row],[tenure]]&lt;=2,"New",Table1[[#This Row],[tenure]]&lt;=5,"Emerging",Table1[[#This Row],[tenure]]&lt;=8,"Loyal",Table1[[#This Row],[tenure]]&lt;=10,"Legacy")</f>
        <v>Emerging</v>
      </c>
      <c r="L230" t="str">
        <f>TEXT(Table1[[#This Row],[Join_Date]],"mmm-yyyy")</f>
        <v>Aug-2022</v>
      </c>
      <c r="M230">
        <v>3</v>
      </c>
      <c r="N230">
        <f>YEAR(Table1[[#This Row],[Join_Date]])</f>
        <v>2022</v>
      </c>
      <c r="O230" s="1">
        <v>44786</v>
      </c>
      <c r="P230" s="1"/>
    </row>
    <row r="231" spans="1:16" x14ac:dyDescent="0.25">
      <c r="A231" t="s">
        <v>493</v>
      </c>
      <c r="B231" t="s">
        <v>494</v>
      </c>
      <c r="C231" t="s">
        <v>14</v>
      </c>
      <c r="D231" t="s">
        <v>15</v>
      </c>
      <c r="E231">
        <v>42</v>
      </c>
      <c r="F231" t="s">
        <v>16</v>
      </c>
      <c r="G231" t="s">
        <v>29</v>
      </c>
      <c r="H231" t="str" cm="1">
        <f t="array" ref="H231">_xlfn.IFS(I231&lt;30000,"Low",I231&lt;60000,"Medium",I231&lt;100000,"High",TRUE,"Premium")</f>
        <v>Premium</v>
      </c>
      <c r="I231" s="2">
        <v>187516</v>
      </c>
      <c r="J231" t="s">
        <v>30</v>
      </c>
      <c r="K231" t="str" cm="1">
        <f t="array" ref="K231">_xlfn.IFS(Table1[[#This Row],[tenure]]&lt;=2,"New",Table1[[#This Row],[tenure]]&lt;=5,"Emerging",Table1[[#This Row],[tenure]]&lt;=8,"Loyal",Table1[[#This Row],[tenure]]&lt;=10,"Legacy")</f>
        <v>Loyal</v>
      </c>
      <c r="L231" t="str">
        <f>TEXT(Table1[[#This Row],[Join_Date]],"mmm-yyyy")</f>
        <v>Mar-2018</v>
      </c>
      <c r="M231">
        <v>7</v>
      </c>
      <c r="N231">
        <f>YEAR(Table1[[#This Row],[Join_Date]])</f>
        <v>2018</v>
      </c>
      <c r="O231" s="1">
        <v>43184</v>
      </c>
      <c r="P231" s="1"/>
    </row>
    <row r="232" spans="1:16" x14ac:dyDescent="0.25">
      <c r="A232" t="s">
        <v>495</v>
      </c>
      <c r="B232" t="s">
        <v>496</v>
      </c>
      <c r="C232" t="s">
        <v>22</v>
      </c>
      <c r="D232" t="s">
        <v>15</v>
      </c>
      <c r="E232">
        <v>38</v>
      </c>
      <c r="F232" t="s">
        <v>38</v>
      </c>
      <c r="G232" t="s">
        <v>39</v>
      </c>
      <c r="H232" t="str" cm="1">
        <f t="array" ref="H232">_xlfn.IFS(I232&lt;30000,"Low",I232&lt;60000,"Medium",I232&lt;100000,"High",TRUE,"Premium")</f>
        <v>Premium</v>
      </c>
      <c r="I232" s="2">
        <v>159783</v>
      </c>
      <c r="J232" t="s">
        <v>18</v>
      </c>
      <c r="K232" t="str" cm="1">
        <f t="array" ref="K232">_xlfn.IFS(Table1[[#This Row],[tenure]]&lt;=2,"New",Table1[[#This Row],[tenure]]&lt;=5,"Emerging",Table1[[#This Row],[tenure]]&lt;=8,"Loyal",Table1[[#This Row],[tenure]]&lt;=10,"Legacy")</f>
        <v>Emerging</v>
      </c>
      <c r="L232" t="str">
        <f>TEXT(Table1[[#This Row],[Join_Date]],"mmm-yyyy")</f>
        <v>Jan-2023</v>
      </c>
      <c r="M232">
        <v>3</v>
      </c>
      <c r="N232">
        <f>YEAR(Table1[[#This Row],[Join_Date]])</f>
        <v>2023</v>
      </c>
      <c r="O232" s="1">
        <v>44937</v>
      </c>
      <c r="P232" s="1"/>
    </row>
    <row r="233" spans="1:16" x14ac:dyDescent="0.25">
      <c r="A233" t="s">
        <v>497</v>
      </c>
      <c r="B233" t="s">
        <v>498</v>
      </c>
      <c r="C233" t="s">
        <v>22</v>
      </c>
      <c r="D233" t="s">
        <v>54</v>
      </c>
      <c r="E233">
        <v>74</v>
      </c>
      <c r="F233" t="s">
        <v>24</v>
      </c>
      <c r="G233" t="s">
        <v>17</v>
      </c>
      <c r="H233" t="str" cm="1">
        <f t="array" ref="H233">_xlfn.IFS(I233&lt;30000,"Low",I233&lt;60000,"Medium",I233&lt;100000,"High",TRUE,"Premium")</f>
        <v>Premium</v>
      </c>
      <c r="I233" s="2">
        <v>102970</v>
      </c>
      <c r="J233" t="s">
        <v>26</v>
      </c>
      <c r="K233" t="str" cm="1">
        <f t="array" ref="K233">_xlfn.IFS(Table1[[#This Row],[tenure]]&lt;=2,"New",Table1[[#This Row],[tenure]]&lt;=5,"Emerging",Table1[[#This Row],[tenure]]&lt;=8,"Loyal",Table1[[#This Row],[tenure]]&lt;=10,"Legacy")</f>
        <v>Loyal</v>
      </c>
      <c r="L233" t="str">
        <f>TEXT(Table1[[#This Row],[Join_Date]],"mmm-yyyy")</f>
        <v>Aug-2018</v>
      </c>
      <c r="M233">
        <v>7</v>
      </c>
      <c r="N233">
        <f>YEAR(Table1[[#This Row],[Join_Date]])</f>
        <v>2018</v>
      </c>
      <c r="O233" s="1">
        <v>43335</v>
      </c>
      <c r="P233" s="1"/>
    </row>
    <row r="234" spans="1:16" x14ac:dyDescent="0.25">
      <c r="A234" t="s">
        <v>499</v>
      </c>
      <c r="B234" t="s">
        <v>500</v>
      </c>
      <c r="C234" t="s">
        <v>22</v>
      </c>
      <c r="D234" t="s">
        <v>23</v>
      </c>
      <c r="E234">
        <v>53</v>
      </c>
      <c r="F234" t="s">
        <v>42</v>
      </c>
      <c r="G234" t="s">
        <v>39</v>
      </c>
      <c r="H234" t="str" cm="1">
        <f t="array" ref="H234">_xlfn.IFS(I234&lt;30000,"Low",I234&lt;60000,"Medium",I234&lt;100000,"High",TRUE,"Premium")</f>
        <v>Premium</v>
      </c>
      <c r="I234" s="2">
        <v>105553</v>
      </c>
      <c r="J234" t="s">
        <v>18</v>
      </c>
      <c r="K234" t="str" cm="1">
        <f t="array" ref="K234">_xlfn.IFS(Table1[[#This Row],[tenure]]&lt;=2,"New",Table1[[#This Row],[tenure]]&lt;=5,"Emerging",Table1[[#This Row],[tenure]]&lt;=8,"Loyal",Table1[[#This Row],[tenure]]&lt;=10,"Legacy")</f>
        <v>Loyal</v>
      </c>
      <c r="L234" t="str">
        <f>TEXT(Table1[[#This Row],[Join_Date]],"mmm-yyyy")</f>
        <v>Jul-2017</v>
      </c>
      <c r="M234">
        <v>8</v>
      </c>
      <c r="N234">
        <f>YEAR(Table1[[#This Row],[Join_Date]])</f>
        <v>2017</v>
      </c>
      <c r="O234" s="1">
        <v>42932</v>
      </c>
      <c r="P234" s="1"/>
    </row>
    <row r="235" spans="1:16" x14ac:dyDescent="0.25">
      <c r="A235" t="s">
        <v>501</v>
      </c>
      <c r="B235" t="s">
        <v>502</v>
      </c>
      <c r="C235" t="s">
        <v>22</v>
      </c>
      <c r="D235" t="s">
        <v>37</v>
      </c>
      <c r="E235">
        <v>27</v>
      </c>
      <c r="F235" t="s">
        <v>16</v>
      </c>
      <c r="G235" t="s">
        <v>51</v>
      </c>
      <c r="H235" t="str" cm="1">
        <f t="array" ref="H235">_xlfn.IFS(I235&lt;30000,"Low",I235&lt;60000,"Medium",I235&lt;100000,"High",TRUE,"Premium")</f>
        <v>Premium</v>
      </c>
      <c r="I235" s="2">
        <v>181779</v>
      </c>
      <c r="J235" t="s">
        <v>26</v>
      </c>
      <c r="K235" t="str" cm="1">
        <f t="array" ref="K235">_xlfn.IFS(Table1[[#This Row],[tenure]]&lt;=2,"New",Table1[[#This Row],[tenure]]&lt;=5,"Emerging",Table1[[#This Row],[tenure]]&lt;=8,"Loyal",Table1[[#This Row],[tenure]]&lt;=10,"Legacy")</f>
        <v>Loyal</v>
      </c>
      <c r="L235" t="str">
        <f>TEXT(Table1[[#This Row],[Join_Date]],"mmm-yyyy")</f>
        <v>Aug-2017</v>
      </c>
      <c r="M235">
        <v>8</v>
      </c>
      <c r="N235">
        <f>YEAR(Table1[[#This Row],[Join_Date]])</f>
        <v>2017</v>
      </c>
      <c r="O235" s="1">
        <v>42976</v>
      </c>
      <c r="P235" s="1"/>
    </row>
    <row r="236" spans="1:16" x14ac:dyDescent="0.25">
      <c r="A236" t="s">
        <v>503</v>
      </c>
      <c r="B236" t="s">
        <v>504</v>
      </c>
      <c r="C236" t="s">
        <v>22</v>
      </c>
      <c r="D236" t="s">
        <v>23</v>
      </c>
      <c r="E236">
        <v>54</v>
      </c>
      <c r="F236" t="s">
        <v>16</v>
      </c>
      <c r="G236" t="s">
        <v>46</v>
      </c>
      <c r="H236" t="str" cm="1">
        <f t="array" ref="H236">_xlfn.IFS(I236&lt;30000,"Low",I236&lt;60000,"Medium",I236&lt;100000,"High",TRUE,"Premium")</f>
        <v>Premium</v>
      </c>
      <c r="I236" s="2">
        <v>190182</v>
      </c>
      <c r="J236" t="s">
        <v>26</v>
      </c>
      <c r="K236" t="str" cm="1">
        <f t="array" ref="K236">_xlfn.IFS(Table1[[#This Row],[tenure]]&lt;=2,"New",Table1[[#This Row],[tenure]]&lt;=5,"Emerging",Table1[[#This Row],[tenure]]&lt;=8,"Loyal",Table1[[#This Row],[tenure]]&lt;=10,"Legacy")</f>
        <v>New</v>
      </c>
      <c r="L236" t="str">
        <f>TEXT(Table1[[#This Row],[Join_Date]],"mmm-yyyy")</f>
        <v>Apr-2023</v>
      </c>
      <c r="M236">
        <v>2</v>
      </c>
      <c r="N236">
        <f>YEAR(Table1[[#This Row],[Join_Date]])</f>
        <v>2023</v>
      </c>
      <c r="O236" s="1">
        <v>45033</v>
      </c>
      <c r="P236" s="1"/>
    </row>
    <row r="237" spans="1:16" x14ac:dyDescent="0.25">
      <c r="A237" t="s">
        <v>505</v>
      </c>
      <c r="B237" t="s">
        <v>506</v>
      </c>
      <c r="C237" t="s">
        <v>22</v>
      </c>
      <c r="D237" t="s">
        <v>37</v>
      </c>
      <c r="E237">
        <v>26</v>
      </c>
      <c r="F237" t="s">
        <v>42</v>
      </c>
      <c r="G237" t="s">
        <v>29</v>
      </c>
      <c r="H237" t="str" cm="1">
        <f t="array" ref="H237">_xlfn.IFS(I237&lt;30000,"Low",I237&lt;60000,"Medium",I237&lt;100000,"High",TRUE,"Premium")</f>
        <v>Premium</v>
      </c>
      <c r="I237" s="2">
        <v>102879</v>
      </c>
      <c r="J237" t="s">
        <v>26</v>
      </c>
      <c r="K237" t="str" cm="1">
        <f t="array" ref="K237">_xlfn.IFS(Table1[[#This Row],[tenure]]&lt;=2,"New",Table1[[#This Row],[tenure]]&lt;=5,"Emerging",Table1[[#This Row],[tenure]]&lt;=8,"Loyal",Table1[[#This Row],[tenure]]&lt;=10,"Legacy")</f>
        <v>Loyal</v>
      </c>
      <c r="L237" t="str">
        <f>TEXT(Table1[[#This Row],[Join_Date]],"mmm-yyyy")</f>
        <v>May-2017</v>
      </c>
      <c r="M237">
        <v>8</v>
      </c>
      <c r="N237">
        <f>YEAR(Table1[[#This Row],[Join_Date]])</f>
        <v>2017</v>
      </c>
      <c r="O237" s="1">
        <v>42866</v>
      </c>
      <c r="P237" s="1"/>
    </row>
    <row r="238" spans="1:16" x14ac:dyDescent="0.25">
      <c r="A238" t="s">
        <v>507</v>
      </c>
      <c r="B238" t="s">
        <v>508</v>
      </c>
      <c r="C238" t="s">
        <v>22</v>
      </c>
      <c r="D238" t="s">
        <v>15</v>
      </c>
      <c r="E238">
        <v>41</v>
      </c>
      <c r="F238" t="s">
        <v>38</v>
      </c>
      <c r="G238" t="s">
        <v>17</v>
      </c>
      <c r="H238" t="str" cm="1">
        <f t="array" ref="H238">_xlfn.IFS(I238&lt;30000,"Low",I238&lt;60000,"Medium",I238&lt;100000,"High",TRUE,"Premium")</f>
        <v>Premium</v>
      </c>
      <c r="I238" s="2">
        <v>189899</v>
      </c>
      <c r="J238" t="s">
        <v>26</v>
      </c>
      <c r="K238" t="str" cm="1">
        <f t="array" ref="K238">_xlfn.IFS(Table1[[#This Row],[tenure]]&lt;=2,"New",Table1[[#This Row],[tenure]]&lt;=5,"Emerging",Table1[[#This Row],[tenure]]&lt;=8,"Loyal",Table1[[#This Row],[tenure]]&lt;=10,"Legacy")</f>
        <v>New</v>
      </c>
      <c r="L238" t="str">
        <f>TEXT(Table1[[#This Row],[Join_Date]],"mmm-yyyy")</f>
        <v>Oct-2024</v>
      </c>
      <c r="M238">
        <v>1</v>
      </c>
      <c r="N238">
        <f>YEAR(Table1[[#This Row],[Join_Date]])</f>
        <v>2024</v>
      </c>
      <c r="O238" s="1">
        <v>45579</v>
      </c>
      <c r="P238" s="1"/>
    </row>
    <row r="239" spans="1:16" x14ac:dyDescent="0.25">
      <c r="A239" t="s">
        <v>509</v>
      </c>
      <c r="B239" t="s">
        <v>510</v>
      </c>
      <c r="C239" t="s">
        <v>22</v>
      </c>
      <c r="D239" t="s">
        <v>23</v>
      </c>
      <c r="E239">
        <v>52</v>
      </c>
      <c r="F239" t="s">
        <v>42</v>
      </c>
      <c r="G239" t="s">
        <v>46</v>
      </c>
      <c r="H239" t="str" cm="1">
        <f t="array" ref="H239">_xlfn.IFS(I239&lt;30000,"Low",I239&lt;60000,"Medium",I239&lt;100000,"High",TRUE,"Premium")</f>
        <v>Premium</v>
      </c>
      <c r="I239" s="2">
        <v>156727</v>
      </c>
      <c r="J239" t="s">
        <v>18</v>
      </c>
      <c r="K239" t="str" cm="1">
        <f t="array" ref="K239">_xlfn.IFS(Table1[[#This Row],[tenure]]&lt;=2,"New",Table1[[#This Row],[tenure]]&lt;=5,"Emerging",Table1[[#This Row],[tenure]]&lt;=8,"Loyal",Table1[[#This Row],[tenure]]&lt;=10,"Legacy")</f>
        <v>Emerging</v>
      </c>
      <c r="L239" t="str">
        <f>TEXT(Table1[[#This Row],[Join_Date]],"mmm-yyyy")</f>
        <v>Oct-2020</v>
      </c>
      <c r="M239">
        <v>5</v>
      </c>
      <c r="N239">
        <f>YEAR(Table1[[#This Row],[Join_Date]])</f>
        <v>2020</v>
      </c>
      <c r="O239" s="1">
        <v>44108</v>
      </c>
      <c r="P239" s="1"/>
    </row>
    <row r="240" spans="1:16" x14ac:dyDescent="0.25">
      <c r="A240" t="s">
        <v>511</v>
      </c>
      <c r="B240" t="s">
        <v>512</v>
      </c>
      <c r="C240" t="s">
        <v>14</v>
      </c>
      <c r="D240" t="s">
        <v>54</v>
      </c>
      <c r="E240">
        <v>66</v>
      </c>
      <c r="F240" t="s">
        <v>38</v>
      </c>
      <c r="G240" t="s">
        <v>39</v>
      </c>
      <c r="H240" t="str" cm="1">
        <f t="array" ref="H240">_xlfn.IFS(I240&lt;30000,"Low",I240&lt;60000,"Medium",I240&lt;100000,"High",TRUE,"Premium")</f>
        <v>High</v>
      </c>
      <c r="I240" s="2">
        <v>64859</v>
      </c>
      <c r="J240" t="s">
        <v>18</v>
      </c>
      <c r="K240" t="str" cm="1">
        <f t="array" ref="K240">_xlfn.IFS(Table1[[#This Row],[tenure]]&lt;=2,"New",Table1[[#This Row],[tenure]]&lt;=5,"Emerging",Table1[[#This Row],[tenure]]&lt;=8,"Loyal",Table1[[#This Row],[tenure]]&lt;=10,"Legacy")</f>
        <v>New</v>
      </c>
      <c r="L240" t="str">
        <f>TEXT(Table1[[#This Row],[Join_Date]],"mmm-yyyy")</f>
        <v>Nov-2024</v>
      </c>
      <c r="M240">
        <v>1</v>
      </c>
      <c r="N240">
        <f>YEAR(Table1[[#This Row],[Join_Date]])</f>
        <v>2024</v>
      </c>
      <c r="O240" s="1">
        <v>45601</v>
      </c>
      <c r="P240" s="1"/>
    </row>
    <row r="241" spans="1:16" x14ac:dyDescent="0.25">
      <c r="A241" t="s">
        <v>513</v>
      </c>
      <c r="B241" t="s">
        <v>514</v>
      </c>
      <c r="C241" t="s">
        <v>22</v>
      </c>
      <c r="D241" t="s">
        <v>23</v>
      </c>
      <c r="E241">
        <v>52</v>
      </c>
      <c r="F241" t="s">
        <v>42</v>
      </c>
      <c r="G241" t="s">
        <v>46</v>
      </c>
      <c r="H241" t="str" cm="1">
        <f t="array" ref="H241">_xlfn.IFS(I241&lt;30000,"Low",I241&lt;60000,"Medium",I241&lt;100000,"High",TRUE,"Premium")</f>
        <v>High</v>
      </c>
      <c r="I241" s="2">
        <v>72098</v>
      </c>
      <c r="J241" t="s">
        <v>18</v>
      </c>
      <c r="K241" t="str" cm="1">
        <f t="array" ref="K241">_xlfn.IFS(Table1[[#This Row],[tenure]]&lt;=2,"New",Table1[[#This Row],[tenure]]&lt;=5,"Emerging",Table1[[#This Row],[tenure]]&lt;=8,"Loyal",Table1[[#This Row],[tenure]]&lt;=10,"Legacy")</f>
        <v>Emerging</v>
      </c>
      <c r="L241" t="str">
        <f>TEXT(Table1[[#This Row],[Join_Date]],"mmm-yyyy")</f>
        <v>Dec-2021</v>
      </c>
      <c r="M241">
        <v>4</v>
      </c>
      <c r="N241">
        <f>YEAR(Table1[[#This Row],[Join_Date]])</f>
        <v>2021</v>
      </c>
      <c r="O241" s="1">
        <v>44544</v>
      </c>
      <c r="P241" s="1"/>
    </row>
    <row r="242" spans="1:16" x14ac:dyDescent="0.25">
      <c r="A242" t="s">
        <v>515</v>
      </c>
      <c r="B242" t="s">
        <v>516</v>
      </c>
      <c r="C242" t="s">
        <v>22</v>
      </c>
      <c r="D242" t="s">
        <v>54</v>
      </c>
      <c r="E242">
        <v>65</v>
      </c>
      <c r="F242" t="s">
        <v>24</v>
      </c>
      <c r="G242" t="s">
        <v>29</v>
      </c>
      <c r="H242" t="str" cm="1">
        <f t="array" ref="H242">_xlfn.IFS(I242&lt;30000,"Low",I242&lt;60000,"Medium",I242&lt;100000,"High",TRUE,"Premium")</f>
        <v>Premium</v>
      </c>
      <c r="I242" s="2">
        <v>166323</v>
      </c>
      <c r="J242" t="s">
        <v>18</v>
      </c>
      <c r="K242" t="str" cm="1">
        <f t="array" ref="K242">_xlfn.IFS(Table1[[#This Row],[tenure]]&lt;=2,"New",Table1[[#This Row],[tenure]]&lt;=5,"Emerging",Table1[[#This Row],[tenure]]&lt;=8,"Loyal",Table1[[#This Row],[tenure]]&lt;=10,"Legacy")</f>
        <v>New</v>
      </c>
      <c r="L242" t="str">
        <f>TEXT(Table1[[#This Row],[Join_Date]],"mmm-yyyy")</f>
        <v>May-2024</v>
      </c>
      <c r="M242">
        <v>1</v>
      </c>
      <c r="N242">
        <f>YEAR(Table1[[#This Row],[Join_Date]])</f>
        <v>2024</v>
      </c>
      <c r="O242" s="1">
        <v>45420</v>
      </c>
      <c r="P242" s="1"/>
    </row>
    <row r="243" spans="1:16" x14ac:dyDescent="0.25">
      <c r="A243" t="s">
        <v>517</v>
      </c>
      <c r="B243" t="s">
        <v>518</v>
      </c>
      <c r="C243" t="s">
        <v>14</v>
      </c>
      <c r="D243" t="s">
        <v>23</v>
      </c>
      <c r="E243">
        <v>53</v>
      </c>
      <c r="F243" t="s">
        <v>38</v>
      </c>
      <c r="G243" t="s">
        <v>34</v>
      </c>
      <c r="H243" t="str" cm="1">
        <f t="array" ref="H243">_xlfn.IFS(I243&lt;30000,"Low",I243&lt;60000,"Medium",I243&lt;100000,"High",TRUE,"Premium")</f>
        <v>Premium</v>
      </c>
      <c r="I243" s="2">
        <v>142413</v>
      </c>
      <c r="J243" t="s">
        <v>26</v>
      </c>
      <c r="K243" t="str" cm="1">
        <f t="array" ref="K243">_xlfn.IFS(Table1[[#This Row],[tenure]]&lt;=2,"New",Table1[[#This Row],[tenure]]&lt;=5,"Emerging",Table1[[#This Row],[tenure]]&lt;=8,"Loyal",Table1[[#This Row],[tenure]]&lt;=10,"Legacy")</f>
        <v>Emerging</v>
      </c>
      <c r="L243" t="str">
        <f>TEXT(Table1[[#This Row],[Join_Date]],"mmm-yyyy")</f>
        <v>Mar-2022</v>
      </c>
      <c r="M243">
        <v>4</v>
      </c>
      <c r="N243">
        <f>YEAR(Table1[[#This Row],[Join_Date]])</f>
        <v>2022</v>
      </c>
      <c r="O243" s="1">
        <v>44622</v>
      </c>
      <c r="P243" s="1"/>
    </row>
    <row r="244" spans="1:16" x14ac:dyDescent="0.25">
      <c r="A244" t="s">
        <v>519</v>
      </c>
      <c r="B244" t="s">
        <v>520</v>
      </c>
      <c r="C244" t="s">
        <v>22</v>
      </c>
      <c r="D244" t="s">
        <v>15</v>
      </c>
      <c r="E244">
        <v>35</v>
      </c>
      <c r="F244" t="s">
        <v>24</v>
      </c>
      <c r="G244" t="s">
        <v>46</v>
      </c>
      <c r="H244" t="str" cm="1">
        <f t="array" ref="H244">_xlfn.IFS(I244&lt;30000,"Low",I244&lt;60000,"Medium",I244&lt;100000,"High",TRUE,"Premium")</f>
        <v>Low</v>
      </c>
      <c r="I244" s="2">
        <v>20526</v>
      </c>
      <c r="J244" t="s">
        <v>18</v>
      </c>
      <c r="K244" t="str" cm="1">
        <f t="array" ref="K244">_xlfn.IFS(Table1[[#This Row],[tenure]]&lt;=2,"New",Table1[[#This Row],[tenure]]&lt;=5,"Emerging",Table1[[#This Row],[tenure]]&lt;=8,"Loyal",Table1[[#This Row],[tenure]]&lt;=10,"Legacy")</f>
        <v>Loyal</v>
      </c>
      <c r="L244" t="str">
        <f>TEXT(Table1[[#This Row],[Join_Date]],"mmm-yyyy")</f>
        <v>Aug-2019</v>
      </c>
      <c r="M244">
        <v>6</v>
      </c>
      <c r="N244">
        <f>YEAR(Table1[[#This Row],[Join_Date]])</f>
        <v>2019</v>
      </c>
      <c r="O244" s="1">
        <v>43688</v>
      </c>
      <c r="P244" s="1"/>
    </row>
    <row r="245" spans="1:16" x14ac:dyDescent="0.25">
      <c r="A245" t="s">
        <v>521</v>
      </c>
      <c r="B245" t="s">
        <v>522</v>
      </c>
      <c r="C245" t="s">
        <v>14</v>
      </c>
      <c r="D245" t="s">
        <v>54</v>
      </c>
      <c r="E245">
        <v>66</v>
      </c>
      <c r="F245" t="s">
        <v>16</v>
      </c>
      <c r="G245" t="s">
        <v>51</v>
      </c>
      <c r="H245" t="str" cm="1">
        <f t="array" ref="H245">_xlfn.IFS(I245&lt;30000,"Low",I245&lt;60000,"Medium",I245&lt;100000,"High",TRUE,"Premium")</f>
        <v>High</v>
      </c>
      <c r="I245" s="2">
        <v>88760</v>
      </c>
      <c r="J245" t="s">
        <v>30</v>
      </c>
      <c r="K245" t="str" cm="1">
        <f t="array" ref="K245">_xlfn.IFS(Table1[[#This Row],[tenure]]&lt;=2,"New",Table1[[#This Row],[tenure]]&lt;=5,"Emerging",Table1[[#This Row],[tenure]]&lt;=8,"Loyal",Table1[[#This Row],[tenure]]&lt;=10,"Legacy")</f>
        <v>Emerging</v>
      </c>
      <c r="L245" t="str">
        <f>TEXT(Table1[[#This Row],[Join_Date]],"mmm-yyyy")</f>
        <v>Dec-2022</v>
      </c>
      <c r="M245">
        <v>3</v>
      </c>
      <c r="N245">
        <f>YEAR(Table1[[#This Row],[Join_Date]])</f>
        <v>2022</v>
      </c>
      <c r="O245" s="1">
        <v>44922</v>
      </c>
      <c r="P245" s="1"/>
    </row>
    <row r="246" spans="1:16" x14ac:dyDescent="0.25">
      <c r="A246" t="s">
        <v>523</v>
      </c>
      <c r="B246" t="s">
        <v>524</v>
      </c>
      <c r="C246" t="s">
        <v>14</v>
      </c>
      <c r="D246" t="s">
        <v>23</v>
      </c>
      <c r="E246">
        <v>56</v>
      </c>
      <c r="F246" t="s">
        <v>42</v>
      </c>
      <c r="G246" t="s">
        <v>46</v>
      </c>
      <c r="H246" t="str" cm="1">
        <f t="array" ref="H246">_xlfn.IFS(I246&lt;30000,"Low",I246&lt;60000,"Medium",I246&lt;100000,"High",TRUE,"Premium")</f>
        <v>High</v>
      </c>
      <c r="I246" s="2">
        <v>67837</v>
      </c>
      <c r="J246" t="s">
        <v>26</v>
      </c>
      <c r="K246" t="str" cm="1">
        <f t="array" ref="K246">_xlfn.IFS(Table1[[#This Row],[tenure]]&lt;=2,"New",Table1[[#This Row],[tenure]]&lt;=5,"Emerging",Table1[[#This Row],[tenure]]&lt;=8,"Loyal",Table1[[#This Row],[tenure]]&lt;=10,"Legacy")</f>
        <v>Loyal</v>
      </c>
      <c r="L246" t="str">
        <f>TEXT(Table1[[#This Row],[Join_Date]],"mmm-yyyy")</f>
        <v>Oct-2018</v>
      </c>
      <c r="M246">
        <v>7</v>
      </c>
      <c r="N246">
        <f>YEAR(Table1[[#This Row],[Join_Date]])</f>
        <v>2018</v>
      </c>
      <c r="O246" s="1">
        <v>43395</v>
      </c>
      <c r="P246" s="1"/>
    </row>
    <row r="247" spans="1:16" x14ac:dyDescent="0.25">
      <c r="A247" t="s">
        <v>525</v>
      </c>
      <c r="B247" t="s">
        <v>526</v>
      </c>
      <c r="C247" t="s">
        <v>22</v>
      </c>
      <c r="D247" t="s">
        <v>23</v>
      </c>
      <c r="E247">
        <v>49</v>
      </c>
      <c r="F247" t="s">
        <v>16</v>
      </c>
      <c r="G247" t="s">
        <v>39</v>
      </c>
      <c r="H247" t="str" cm="1">
        <f t="array" ref="H247">_xlfn.IFS(I247&lt;30000,"Low",I247&lt;60000,"Medium",I247&lt;100000,"High",TRUE,"Premium")</f>
        <v>Medium</v>
      </c>
      <c r="I247" s="2">
        <v>31536</v>
      </c>
      <c r="J247" t="s">
        <v>26</v>
      </c>
      <c r="K247" t="str" cm="1">
        <f t="array" ref="K247">_xlfn.IFS(Table1[[#This Row],[tenure]]&lt;=2,"New",Table1[[#This Row],[tenure]]&lt;=5,"Emerging",Table1[[#This Row],[tenure]]&lt;=8,"Loyal",Table1[[#This Row],[tenure]]&lt;=10,"Legacy")</f>
        <v>Loyal</v>
      </c>
      <c r="L247" t="str">
        <f>TEXT(Table1[[#This Row],[Join_Date]],"mmm-yyyy")</f>
        <v>Jan-2018</v>
      </c>
      <c r="M247">
        <v>8</v>
      </c>
      <c r="N247">
        <f>YEAR(Table1[[#This Row],[Join_Date]])</f>
        <v>2018</v>
      </c>
      <c r="O247" s="1">
        <v>43113</v>
      </c>
      <c r="P247" s="1"/>
    </row>
    <row r="248" spans="1:16" x14ac:dyDescent="0.25">
      <c r="A248" t="s">
        <v>527</v>
      </c>
      <c r="B248" t="s">
        <v>528</v>
      </c>
      <c r="C248" t="s">
        <v>14</v>
      </c>
      <c r="D248" t="s">
        <v>15</v>
      </c>
      <c r="E248">
        <v>41</v>
      </c>
      <c r="F248" t="s">
        <v>16</v>
      </c>
      <c r="G248" t="s">
        <v>39</v>
      </c>
      <c r="H248" t="str" cm="1">
        <f t="array" ref="H248">_xlfn.IFS(I248&lt;30000,"Low",I248&lt;60000,"Medium",I248&lt;100000,"High",TRUE,"Premium")</f>
        <v>Medium</v>
      </c>
      <c r="I248" s="2">
        <v>48541</v>
      </c>
      <c r="J248" t="s">
        <v>18</v>
      </c>
      <c r="K248" t="str" cm="1">
        <f t="array" ref="K248">_xlfn.IFS(Table1[[#This Row],[tenure]]&lt;=2,"New",Table1[[#This Row],[tenure]]&lt;=5,"Emerging",Table1[[#This Row],[tenure]]&lt;=8,"Loyal",Table1[[#This Row],[tenure]]&lt;=10,"Legacy")</f>
        <v>Emerging</v>
      </c>
      <c r="L248" t="str">
        <f>TEXT(Table1[[#This Row],[Join_Date]],"mmm-yyyy")</f>
        <v>Mar-2021</v>
      </c>
      <c r="M248">
        <v>5</v>
      </c>
      <c r="N248">
        <f>YEAR(Table1[[#This Row],[Join_Date]])</f>
        <v>2021</v>
      </c>
      <c r="O248" s="1">
        <v>44257</v>
      </c>
      <c r="P248" s="1"/>
    </row>
    <row r="249" spans="1:16" x14ac:dyDescent="0.25">
      <c r="A249" t="s">
        <v>529</v>
      </c>
      <c r="B249" t="s">
        <v>530</v>
      </c>
      <c r="C249" t="s">
        <v>14</v>
      </c>
      <c r="D249" t="s">
        <v>15</v>
      </c>
      <c r="E249">
        <v>40</v>
      </c>
      <c r="F249" t="s">
        <v>16</v>
      </c>
      <c r="G249" t="s">
        <v>17</v>
      </c>
      <c r="H249" t="str" cm="1">
        <f t="array" ref="H249">_xlfn.IFS(I249&lt;30000,"Low",I249&lt;60000,"Medium",I249&lt;100000,"High",TRUE,"Premium")</f>
        <v>High</v>
      </c>
      <c r="I249" s="2">
        <v>99083</v>
      </c>
      <c r="J249" t="s">
        <v>26</v>
      </c>
      <c r="K249" t="str" cm="1">
        <f t="array" ref="K249">_xlfn.IFS(Table1[[#This Row],[tenure]]&lt;=2,"New",Table1[[#This Row],[tenure]]&lt;=5,"Emerging",Table1[[#This Row],[tenure]]&lt;=8,"Loyal",Table1[[#This Row],[tenure]]&lt;=10,"Legacy")</f>
        <v>New</v>
      </c>
      <c r="L249" t="str">
        <f>TEXT(Table1[[#This Row],[Join_Date]],"mmm-yyyy")</f>
        <v>Sep-2023</v>
      </c>
      <c r="M249">
        <v>2</v>
      </c>
      <c r="N249">
        <f>YEAR(Table1[[#This Row],[Join_Date]])</f>
        <v>2023</v>
      </c>
      <c r="O249" s="1">
        <v>45179</v>
      </c>
      <c r="P249" s="1"/>
    </row>
    <row r="250" spans="1:16" x14ac:dyDescent="0.25">
      <c r="A250" t="s">
        <v>531</v>
      </c>
      <c r="B250" t="s">
        <v>532</v>
      </c>
      <c r="C250" t="s">
        <v>14</v>
      </c>
      <c r="D250" t="s">
        <v>23</v>
      </c>
      <c r="E250">
        <v>49</v>
      </c>
      <c r="F250" t="s">
        <v>16</v>
      </c>
      <c r="G250" t="s">
        <v>39</v>
      </c>
      <c r="H250" t="str" cm="1">
        <f t="array" ref="H250">_xlfn.IFS(I250&lt;30000,"Low",I250&lt;60000,"Medium",I250&lt;100000,"High",TRUE,"Premium")</f>
        <v>Medium</v>
      </c>
      <c r="I250" s="2">
        <v>54531</v>
      </c>
      <c r="J250" t="s">
        <v>30</v>
      </c>
      <c r="K250" t="str" cm="1">
        <f t="array" ref="K250">_xlfn.IFS(Table1[[#This Row],[tenure]]&lt;=2,"New",Table1[[#This Row],[tenure]]&lt;=5,"Emerging",Table1[[#This Row],[tenure]]&lt;=8,"Loyal",Table1[[#This Row],[tenure]]&lt;=10,"Legacy")</f>
        <v>Emerging</v>
      </c>
      <c r="L250" t="str">
        <f>TEXT(Table1[[#This Row],[Join_Date]],"mmm-yyyy")</f>
        <v>Jan-2021</v>
      </c>
      <c r="M250">
        <v>5</v>
      </c>
      <c r="N250">
        <f>YEAR(Table1[[#This Row],[Join_Date]])</f>
        <v>2021</v>
      </c>
      <c r="O250" s="1">
        <v>44203</v>
      </c>
      <c r="P250" s="1"/>
    </row>
    <row r="251" spans="1:16" x14ac:dyDescent="0.25">
      <c r="A251" t="s">
        <v>533</v>
      </c>
      <c r="B251" t="s">
        <v>534</v>
      </c>
      <c r="C251" t="s">
        <v>14</v>
      </c>
      <c r="D251" t="s">
        <v>23</v>
      </c>
      <c r="E251">
        <v>54</v>
      </c>
      <c r="F251" t="s">
        <v>42</v>
      </c>
      <c r="G251" t="s">
        <v>25</v>
      </c>
      <c r="H251" t="str" cm="1">
        <f t="array" ref="H251">_xlfn.IFS(I251&lt;30000,"Low",I251&lt;60000,"Medium",I251&lt;100000,"High",TRUE,"Premium")</f>
        <v>Low</v>
      </c>
      <c r="I251" s="2">
        <v>28712</v>
      </c>
      <c r="J251" t="s">
        <v>18</v>
      </c>
      <c r="K251" t="str" cm="1">
        <f t="array" ref="K251">_xlfn.IFS(Table1[[#This Row],[tenure]]&lt;=2,"New",Table1[[#This Row],[tenure]]&lt;=5,"Emerging",Table1[[#This Row],[tenure]]&lt;=8,"Loyal",Table1[[#This Row],[tenure]]&lt;=10,"Legacy")</f>
        <v>Loyal</v>
      </c>
      <c r="L251" t="str">
        <f>TEXT(Table1[[#This Row],[Join_Date]],"mmm-yyyy")</f>
        <v>Jul-2018</v>
      </c>
      <c r="M251">
        <v>7</v>
      </c>
      <c r="N251">
        <f>YEAR(Table1[[#This Row],[Join_Date]])</f>
        <v>2018</v>
      </c>
      <c r="O251" s="1">
        <v>43294</v>
      </c>
      <c r="P251" s="1"/>
    </row>
    <row r="252" spans="1:16" x14ac:dyDescent="0.25">
      <c r="A252" t="s">
        <v>535</v>
      </c>
      <c r="B252" t="s">
        <v>536</v>
      </c>
      <c r="C252" t="s">
        <v>22</v>
      </c>
      <c r="D252" t="s">
        <v>15</v>
      </c>
      <c r="E252">
        <v>29</v>
      </c>
      <c r="F252" t="s">
        <v>16</v>
      </c>
      <c r="G252" t="s">
        <v>29</v>
      </c>
      <c r="H252" t="str" cm="1">
        <f t="array" ref="H252">_xlfn.IFS(I252&lt;30000,"Low",I252&lt;60000,"Medium",I252&lt;100000,"High",TRUE,"Premium")</f>
        <v>Premium</v>
      </c>
      <c r="I252" s="2">
        <v>124101</v>
      </c>
      <c r="J252" t="s">
        <v>26</v>
      </c>
      <c r="K252" t="str" cm="1">
        <f t="array" ref="K252">_xlfn.IFS(Table1[[#This Row],[tenure]]&lt;=2,"New",Table1[[#This Row],[tenure]]&lt;=5,"Emerging",Table1[[#This Row],[tenure]]&lt;=8,"Loyal",Table1[[#This Row],[tenure]]&lt;=10,"Legacy")</f>
        <v>New</v>
      </c>
      <c r="L252" t="str">
        <f>TEXT(Table1[[#This Row],[Join_Date]],"mmm-yyyy")</f>
        <v>May-2024</v>
      </c>
      <c r="M252">
        <v>1</v>
      </c>
      <c r="N252">
        <f>YEAR(Table1[[#This Row],[Join_Date]])</f>
        <v>2024</v>
      </c>
      <c r="O252" s="1">
        <v>45422</v>
      </c>
      <c r="P252" s="1"/>
    </row>
    <row r="253" spans="1:16" x14ac:dyDescent="0.25">
      <c r="A253" t="s">
        <v>537</v>
      </c>
      <c r="B253" t="s">
        <v>538</v>
      </c>
      <c r="C253" t="s">
        <v>14</v>
      </c>
      <c r="D253" t="s">
        <v>54</v>
      </c>
      <c r="E253">
        <v>66</v>
      </c>
      <c r="F253" t="s">
        <v>42</v>
      </c>
      <c r="G253" t="s">
        <v>29</v>
      </c>
      <c r="H253" t="str" cm="1">
        <f t="array" ref="H253">_xlfn.IFS(I253&lt;30000,"Low",I253&lt;60000,"Medium",I253&lt;100000,"High",TRUE,"Premium")</f>
        <v>High</v>
      </c>
      <c r="I253" s="2">
        <v>85455</v>
      </c>
      <c r="J253" t="s">
        <v>26</v>
      </c>
      <c r="K253" t="str" cm="1">
        <f t="array" ref="K253">_xlfn.IFS(Table1[[#This Row],[tenure]]&lt;=2,"New",Table1[[#This Row],[tenure]]&lt;=5,"Emerging",Table1[[#This Row],[tenure]]&lt;=8,"Loyal",Table1[[#This Row],[tenure]]&lt;=10,"Legacy")</f>
        <v>New</v>
      </c>
      <c r="L253" t="str">
        <f>TEXT(Table1[[#This Row],[Join_Date]],"mmm-yyyy")</f>
        <v>Jun-2023</v>
      </c>
      <c r="M253">
        <v>2</v>
      </c>
      <c r="N253">
        <f>YEAR(Table1[[#This Row],[Join_Date]])</f>
        <v>2023</v>
      </c>
      <c r="O253" s="1">
        <v>45078</v>
      </c>
      <c r="P253" s="1"/>
    </row>
    <row r="254" spans="1:16" x14ac:dyDescent="0.25">
      <c r="A254" t="s">
        <v>539</v>
      </c>
      <c r="B254" t="s">
        <v>540</v>
      </c>
      <c r="C254" t="s">
        <v>22</v>
      </c>
      <c r="D254" t="s">
        <v>54</v>
      </c>
      <c r="E254">
        <v>72</v>
      </c>
      <c r="F254" t="s">
        <v>42</v>
      </c>
      <c r="G254" t="s">
        <v>34</v>
      </c>
      <c r="H254" t="str" cm="1">
        <f t="array" ref="H254">_xlfn.IFS(I254&lt;30000,"Low",I254&lt;60000,"Medium",I254&lt;100000,"High",TRUE,"Premium")</f>
        <v>High</v>
      </c>
      <c r="I254" s="2">
        <v>94744</v>
      </c>
      <c r="J254" t="s">
        <v>18</v>
      </c>
      <c r="K254" t="str" cm="1">
        <f t="array" ref="K254">_xlfn.IFS(Table1[[#This Row],[tenure]]&lt;=2,"New",Table1[[#This Row],[tenure]]&lt;=5,"Emerging",Table1[[#This Row],[tenure]]&lt;=8,"Loyal",Table1[[#This Row],[tenure]]&lt;=10,"Legacy")</f>
        <v>Loyal</v>
      </c>
      <c r="L254" t="str">
        <f>TEXT(Table1[[#This Row],[Join_Date]],"mmm-yyyy")</f>
        <v>Aug-2018</v>
      </c>
      <c r="M254">
        <v>7</v>
      </c>
      <c r="N254">
        <f>YEAR(Table1[[#This Row],[Join_Date]])</f>
        <v>2018</v>
      </c>
      <c r="O254" s="1">
        <v>43323</v>
      </c>
      <c r="P254" s="1"/>
    </row>
    <row r="255" spans="1:16" x14ac:dyDescent="0.25">
      <c r="A255" t="s">
        <v>541</v>
      </c>
      <c r="B255" t="s">
        <v>542</v>
      </c>
      <c r="C255" t="s">
        <v>14</v>
      </c>
      <c r="D255" t="s">
        <v>15</v>
      </c>
      <c r="E255">
        <v>30</v>
      </c>
      <c r="F255" t="s">
        <v>24</v>
      </c>
      <c r="G255" t="s">
        <v>34</v>
      </c>
      <c r="H255" t="str" cm="1">
        <f t="array" ref="H255">_xlfn.IFS(I255&lt;30000,"Low",I255&lt;60000,"Medium",I255&lt;100000,"High",TRUE,"Premium")</f>
        <v>Premium</v>
      </c>
      <c r="I255" s="2">
        <v>149749</v>
      </c>
      <c r="J255" t="s">
        <v>18</v>
      </c>
      <c r="K255" t="str" cm="1">
        <f t="array" ref="K255">_xlfn.IFS(Table1[[#This Row],[tenure]]&lt;=2,"New",Table1[[#This Row],[tenure]]&lt;=5,"Emerging",Table1[[#This Row],[tenure]]&lt;=8,"Loyal",Table1[[#This Row],[tenure]]&lt;=10,"Legacy")</f>
        <v>Loyal</v>
      </c>
      <c r="L255" t="str">
        <f>TEXT(Table1[[#This Row],[Join_Date]],"mmm-yyyy")</f>
        <v>Jul-2017</v>
      </c>
      <c r="M255">
        <v>8</v>
      </c>
      <c r="N255">
        <f>YEAR(Table1[[#This Row],[Join_Date]])</f>
        <v>2017</v>
      </c>
      <c r="O255" s="1">
        <v>42930</v>
      </c>
      <c r="P255" s="1"/>
    </row>
    <row r="256" spans="1:16" x14ac:dyDescent="0.25">
      <c r="A256" t="s">
        <v>543</v>
      </c>
      <c r="B256" t="s">
        <v>544</v>
      </c>
      <c r="C256" t="s">
        <v>14</v>
      </c>
      <c r="D256" t="s">
        <v>15</v>
      </c>
      <c r="E256">
        <v>40</v>
      </c>
      <c r="F256" t="s">
        <v>38</v>
      </c>
      <c r="G256" t="s">
        <v>29</v>
      </c>
      <c r="H256" t="str" cm="1">
        <f t="array" ref="H256">_xlfn.IFS(I256&lt;30000,"Low",I256&lt;60000,"Medium",I256&lt;100000,"High",TRUE,"Premium")</f>
        <v>Low</v>
      </c>
      <c r="I256" s="2">
        <v>25109</v>
      </c>
      <c r="J256" t="s">
        <v>18</v>
      </c>
      <c r="K256" t="str" cm="1">
        <f t="array" ref="K256">_xlfn.IFS(Table1[[#This Row],[tenure]]&lt;=2,"New",Table1[[#This Row],[tenure]]&lt;=5,"Emerging",Table1[[#This Row],[tenure]]&lt;=8,"Loyal",Table1[[#This Row],[tenure]]&lt;=10,"Legacy")</f>
        <v>Legacy</v>
      </c>
      <c r="L256" t="str">
        <f>TEXT(Table1[[#This Row],[Join_Date]],"mmm-yyyy")</f>
        <v>Oct-2016</v>
      </c>
      <c r="M256">
        <v>9</v>
      </c>
      <c r="N256">
        <f>YEAR(Table1[[#This Row],[Join_Date]])</f>
        <v>2016</v>
      </c>
      <c r="O256" s="1">
        <v>42673</v>
      </c>
      <c r="P256" s="1"/>
    </row>
    <row r="257" spans="1:16" x14ac:dyDescent="0.25">
      <c r="A257" t="s">
        <v>545</v>
      </c>
      <c r="B257" t="s">
        <v>546</v>
      </c>
      <c r="C257" t="s">
        <v>14</v>
      </c>
      <c r="D257" t="s">
        <v>15</v>
      </c>
      <c r="E257">
        <v>42</v>
      </c>
      <c r="F257" t="s">
        <v>38</v>
      </c>
      <c r="G257" t="s">
        <v>51</v>
      </c>
      <c r="H257" t="str" cm="1">
        <f t="array" ref="H257">_xlfn.IFS(I257&lt;30000,"Low",I257&lt;60000,"Medium",I257&lt;100000,"High",TRUE,"Premium")</f>
        <v>High</v>
      </c>
      <c r="I257" s="2">
        <v>69268</v>
      </c>
      <c r="J257" t="s">
        <v>18</v>
      </c>
      <c r="K257" t="str" cm="1">
        <f t="array" ref="K257">_xlfn.IFS(Table1[[#This Row],[tenure]]&lt;=2,"New",Table1[[#This Row],[tenure]]&lt;=5,"Emerging",Table1[[#This Row],[tenure]]&lt;=8,"Loyal",Table1[[#This Row],[tenure]]&lt;=10,"Legacy")</f>
        <v>Emerging</v>
      </c>
      <c r="L257" t="str">
        <f>TEXT(Table1[[#This Row],[Join_Date]],"mmm-yyyy")</f>
        <v>Sep-2020</v>
      </c>
      <c r="M257">
        <v>5</v>
      </c>
      <c r="N257">
        <f>YEAR(Table1[[#This Row],[Join_Date]])</f>
        <v>2020</v>
      </c>
      <c r="O257" s="1">
        <v>44081</v>
      </c>
      <c r="P257" s="1"/>
    </row>
    <row r="258" spans="1:16" x14ac:dyDescent="0.25">
      <c r="A258" t="s">
        <v>547</v>
      </c>
      <c r="B258" t="s">
        <v>548</v>
      </c>
      <c r="C258" t="s">
        <v>14</v>
      </c>
      <c r="D258" t="s">
        <v>23</v>
      </c>
      <c r="E258">
        <v>52</v>
      </c>
      <c r="F258" t="s">
        <v>42</v>
      </c>
      <c r="G258" t="s">
        <v>34</v>
      </c>
      <c r="H258" t="str" cm="1">
        <f t="array" ref="H258">_xlfn.IFS(I258&lt;30000,"Low",I258&lt;60000,"Medium",I258&lt;100000,"High",TRUE,"Premium")</f>
        <v>High</v>
      </c>
      <c r="I258" s="2">
        <v>74615</v>
      </c>
      <c r="J258" t="s">
        <v>18</v>
      </c>
      <c r="K258" t="str" cm="1">
        <f t="array" ref="K258">_xlfn.IFS(Table1[[#This Row],[tenure]]&lt;=2,"New",Table1[[#This Row],[tenure]]&lt;=5,"Emerging",Table1[[#This Row],[tenure]]&lt;=8,"Loyal",Table1[[#This Row],[tenure]]&lt;=10,"Legacy")</f>
        <v>Loyal</v>
      </c>
      <c r="L258" t="str">
        <f>TEXT(Table1[[#This Row],[Join_Date]],"mmm-yyyy")</f>
        <v>Aug-2017</v>
      </c>
      <c r="M258">
        <v>8</v>
      </c>
      <c r="N258">
        <f>YEAR(Table1[[#This Row],[Join_Date]])</f>
        <v>2017</v>
      </c>
      <c r="O258" s="1">
        <v>42953</v>
      </c>
      <c r="P258" s="1"/>
    </row>
    <row r="259" spans="1:16" x14ac:dyDescent="0.25">
      <c r="A259" t="s">
        <v>549</v>
      </c>
      <c r="B259" t="s">
        <v>550</v>
      </c>
      <c r="C259" t="s">
        <v>22</v>
      </c>
      <c r="D259" t="s">
        <v>23</v>
      </c>
      <c r="E259">
        <v>58</v>
      </c>
      <c r="F259" t="s">
        <v>24</v>
      </c>
      <c r="G259" t="s">
        <v>17</v>
      </c>
      <c r="H259" t="str" cm="1">
        <f t="array" ref="H259">_xlfn.IFS(I259&lt;30000,"Low",I259&lt;60000,"Medium",I259&lt;100000,"High",TRUE,"Premium")</f>
        <v>Premium</v>
      </c>
      <c r="I259" s="2">
        <v>102503</v>
      </c>
      <c r="J259" t="s">
        <v>18</v>
      </c>
      <c r="K259" t="str" cm="1">
        <f t="array" ref="K259">_xlfn.IFS(Table1[[#This Row],[tenure]]&lt;=2,"New",Table1[[#This Row],[tenure]]&lt;=5,"Emerging",Table1[[#This Row],[tenure]]&lt;=8,"Loyal",Table1[[#This Row],[tenure]]&lt;=10,"Legacy")</f>
        <v>New</v>
      </c>
      <c r="L259" t="str">
        <f>TEXT(Table1[[#This Row],[Join_Date]],"mmm-yyyy")</f>
        <v>Jun-2025</v>
      </c>
      <c r="M259">
        <v>0</v>
      </c>
      <c r="N259">
        <f>YEAR(Table1[[#This Row],[Join_Date]])</f>
        <v>2025</v>
      </c>
      <c r="O259" s="1">
        <v>45819</v>
      </c>
      <c r="P259" s="1"/>
    </row>
    <row r="260" spans="1:16" x14ac:dyDescent="0.25">
      <c r="A260" t="s">
        <v>551</v>
      </c>
      <c r="B260" t="s">
        <v>552</v>
      </c>
      <c r="C260" t="s">
        <v>22</v>
      </c>
      <c r="D260" t="s">
        <v>23</v>
      </c>
      <c r="E260">
        <v>47</v>
      </c>
      <c r="F260" t="s">
        <v>42</v>
      </c>
      <c r="G260" t="s">
        <v>39</v>
      </c>
      <c r="H260" t="str" cm="1">
        <f t="array" ref="H260">_xlfn.IFS(I260&lt;30000,"Low",I260&lt;60000,"Medium",I260&lt;100000,"High",TRUE,"Premium")</f>
        <v>Premium</v>
      </c>
      <c r="I260" s="2">
        <v>180831</v>
      </c>
      <c r="J260" t="s">
        <v>18</v>
      </c>
      <c r="K260" t="str" cm="1">
        <f t="array" ref="K260">_xlfn.IFS(Table1[[#This Row],[tenure]]&lt;=2,"New",Table1[[#This Row],[tenure]]&lt;=5,"Emerging",Table1[[#This Row],[tenure]]&lt;=8,"Loyal",Table1[[#This Row],[tenure]]&lt;=10,"Legacy")</f>
        <v>Emerging</v>
      </c>
      <c r="L260" t="str">
        <f>TEXT(Table1[[#This Row],[Join_Date]],"mmm-yyyy")</f>
        <v>Oct-2020</v>
      </c>
      <c r="M260">
        <v>5</v>
      </c>
      <c r="N260">
        <f>YEAR(Table1[[#This Row],[Join_Date]])</f>
        <v>2020</v>
      </c>
      <c r="O260" s="1">
        <v>44115</v>
      </c>
      <c r="P260" s="1"/>
    </row>
    <row r="261" spans="1:16" x14ac:dyDescent="0.25">
      <c r="A261" t="s">
        <v>553</v>
      </c>
      <c r="B261" t="s">
        <v>554</v>
      </c>
      <c r="C261" t="s">
        <v>14</v>
      </c>
      <c r="D261" t="s">
        <v>15</v>
      </c>
      <c r="E261">
        <v>34</v>
      </c>
      <c r="F261" t="s">
        <v>42</v>
      </c>
      <c r="G261" t="s">
        <v>29</v>
      </c>
      <c r="H261" t="str" cm="1">
        <f t="array" ref="H261">_xlfn.IFS(I261&lt;30000,"Low",I261&lt;60000,"Medium",I261&lt;100000,"High",TRUE,"Premium")</f>
        <v>Premium</v>
      </c>
      <c r="I261" s="2">
        <v>105708</v>
      </c>
      <c r="J261" t="s">
        <v>18</v>
      </c>
      <c r="K261" t="str" cm="1">
        <f t="array" ref="K261">_xlfn.IFS(Table1[[#This Row],[tenure]]&lt;=2,"New",Table1[[#This Row],[tenure]]&lt;=5,"Emerging",Table1[[#This Row],[tenure]]&lt;=8,"Loyal",Table1[[#This Row],[tenure]]&lt;=10,"Legacy")</f>
        <v>Emerging</v>
      </c>
      <c r="L261" t="str">
        <f>TEXT(Table1[[#This Row],[Join_Date]],"mmm-yyyy")</f>
        <v>Jan-2022</v>
      </c>
      <c r="M261">
        <v>4</v>
      </c>
      <c r="N261">
        <f>YEAR(Table1[[#This Row],[Join_Date]])</f>
        <v>2022</v>
      </c>
      <c r="O261" s="1">
        <v>44588</v>
      </c>
      <c r="P261" s="1"/>
    </row>
    <row r="262" spans="1:16" x14ac:dyDescent="0.25">
      <c r="A262" t="s">
        <v>555</v>
      </c>
      <c r="B262" t="s">
        <v>556</v>
      </c>
      <c r="C262" t="s">
        <v>14</v>
      </c>
      <c r="D262" t="s">
        <v>54</v>
      </c>
      <c r="E262">
        <v>66</v>
      </c>
      <c r="F262" t="s">
        <v>42</v>
      </c>
      <c r="G262" t="s">
        <v>34</v>
      </c>
      <c r="H262" t="str" cm="1">
        <f t="array" ref="H262">_xlfn.IFS(I262&lt;30000,"Low",I262&lt;60000,"Medium",I262&lt;100000,"High",TRUE,"Premium")</f>
        <v>Premium</v>
      </c>
      <c r="I262" s="2">
        <v>122471</v>
      </c>
      <c r="J262" t="s">
        <v>30</v>
      </c>
      <c r="K262" t="str" cm="1">
        <f t="array" ref="K262">_xlfn.IFS(Table1[[#This Row],[tenure]]&lt;=2,"New",Table1[[#This Row],[tenure]]&lt;=5,"Emerging",Table1[[#This Row],[tenure]]&lt;=8,"Loyal",Table1[[#This Row],[tenure]]&lt;=10,"Legacy")</f>
        <v>Loyal</v>
      </c>
      <c r="L262" t="str">
        <f>TEXT(Table1[[#This Row],[Join_Date]],"mmm-yyyy")</f>
        <v>Oct-2019</v>
      </c>
      <c r="M262">
        <v>6</v>
      </c>
      <c r="N262">
        <f>YEAR(Table1[[#This Row],[Join_Date]])</f>
        <v>2019</v>
      </c>
      <c r="O262" s="1">
        <v>43744</v>
      </c>
      <c r="P262" s="1"/>
    </row>
    <row r="263" spans="1:16" x14ac:dyDescent="0.25">
      <c r="A263" t="s">
        <v>557</v>
      </c>
      <c r="B263" t="s">
        <v>558</v>
      </c>
      <c r="C263" t="s">
        <v>22</v>
      </c>
      <c r="D263" t="s">
        <v>15</v>
      </c>
      <c r="E263">
        <v>37</v>
      </c>
      <c r="F263" t="s">
        <v>24</v>
      </c>
      <c r="G263" t="s">
        <v>29</v>
      </c>
      <c r="H263" t="str" cm="1">
        <f t="array" ref="H263">_xlfn.IFS(I263&lt;30000,"Low",I263&lt;60000,"Medium",I263&lt;100000,"High",TRUE,"Premium")</f>
        <v>Premium</v>
      </c>
      <c r="I263" s="2">
        <v>177661</v>
      </c>
      <c r="J263" t="s">
        <v>18</v>
      </c>
      <c r="K263" t="str" cm="1">
        <f t="array" ref="K263">_xlfn.IFS(Table1[[#This Row],[tenure]]&lt;=2,"New",Table1[[#This Row],[tenure]]&lt;=5,"Emerging",Table1[[#This Row],[tenure]]&lt;=8,"Loyal",Table1[[#This Row],[tenure]]&lt;=10,"Legacy")</f>
        <v>New</v>
      </c>
      <c r="L263" t="str">
        <f>TEXT(Table1[[#This Row],[Join_Date]],"mmm-yyyy")</f>
        <v>Aug-2024</v>
      </c>
      <c r="M263">
        <v>1</v>
      </c>
      <c r="N263">
        <f>YEAR(Table1[[#This Row],[Join_Date]])</f>
        <v>2024</v>
      </c>
      <c r="O263" s="1">
        <v>45516</v>
      </c>
      <c r="P263" s="1"/>
    </row>
    <row r="264" spans="1:16" x14ac:dyDescent="0.25">
      <c r="A264" t="s">
        <v>559</v>
      </c>
      <c r="B264" t="s">
        <v>560</v>
      </c>
      <c r="C264" t="s">
        <v>14</v>
      </c>
      <c r="D264" t="s">
        <v>54</v>
      </c>
      <c r="E264">
        <v>65</v>
      </c>
      <c r="F264" t="s">
        <v>38</v>
      </c>
      <c r="G264" t="s">
        <v>25</v>
      </c>
      <c r="H264" t="str" cm="1">
        <f t="array" ref="H264">_xlfn.IFS(I264&lt;30000,"Low",I264&lt;60000,"Medium",I264&lt;100000,"High",TRUE,"Premium")</f>
        <v>Premium</v>
      </c>
      <c r="I264" s="2">
        <v>181087</v>
      </c>
      <c r="J264" t="s">
        <v>30</v>
      </c>
      <c r="K264" t="str" cm="1">
        <f t="array" ref="K264">_xlfn.IFS(Table1[[#This Row],[tenure]]&lt;=2,"New",Table1[[#This Row],[tenure]]&lt;=5,"Emerging",Table1[[#This Row],[tenure]]&lt;=8,"Loyal",Table1[[#This Row],[tenure]]&lt;=10,"Legacy")</f>
        <v>Loyal</v>
      </c>
      <c r="L264" t="str">
        <f>TEXT(Table1[[#This Row],[Join_Date]],"mmm-yyyy")</f>
        <v>Dec-2019</v>
      </c>
      <c r="M264">
        <v>6</v>
      </c>
      <c r="N264">
        <f>YEAR(Table1[[#This Row],[Join_Date]])</f>
        <v>2019</v>
      </c>
      <c r="O264" s="1">
        <v>43829</v>
      </c>
      <c r="P264" s="1"/>
    </row>
    <row r="265" spans="1:16" x14ac:dyDescent="0.25">
      <c r="A265" t="s">
        <v>561</v>
      </c>
      <c r="B265" t="s">
        <v>562</v>
      </c>
      <c r="C265" t="s">
        <v>14</v>
      </c>
      <c r="D265" t="s">
        <v>15</v>
      </c>
      <c r="E265">
        <v>42</v>
      </c>
      <c r="F265" t="s">
        <v>24</v>
      </c>
      <c r="G265" t="s">
        <v>46</v>
      </c>
      <c r="H265" t="str" cm="1">
        <f t="array" ref="H265">_xlfn.IFS(I265&lt;30000,"Low",I265&lt;60000,"Medium",I265&lt;100000,"High",TRUE,"Premium")</f>
        <v>Premium</v>
      </c>
      <c r="I265" s="2">
        <v>180081</v>
      </c>
      <c r="J265" t="s">
        <v>18</v>
      </c>
      <c r="K265" t="str" cm="1">
        <f t="array" ref="K265">_xlfn.IFS(Table1[[#This Row],[tenure]]&lt;=2,"New",Table1[[#This Row],[tenure]]&lt;=5,"Emerging",Table1[[#This Row],[tenure]]&lt;=8,"Loyal",Table1[[#This Row],[tenure]]&lt;=10,"Legacy")</f>
        <v>Legacy</v>
      </c>
      <c r="L265" t="str">
        <f>TEXT(Table1[[#This Row],[Join_Date]],"mmm-yyyy")</f>
        <v>Oct-2015</v>
      </c>
      <c r="M265">
        <v>10</v>
      </c>
      <c r="N265">
        <f>YEAR(Table1[[#This Row],[Join_Date]])</f>
        <v>2015</v>
      </c>
      <c r="O265" s="1">
        <v>42297</v>
      </c>
      <c r="P265" s="1"/>
    </row>
    <row r="266" spans="1:16" x14ac:dyDescent="0.25">
      <c r="A266" t="s">
        <v>563</v>
      </c>
      <c r="B266" t="s">
        <v>564</v>
      </c>
      <c r="C266" t="s">
        <v>14</v>
      </c>
      <c r="D266" t="s">
        <v>15</v>
      </c>
      <c r="E266">
        <v>39</v>
      </c>
      <c r="F266" t="s">
        <v>16</v>
      </c>
      <c r="G266" t="s">
        <v>39</v>
      </c>
      <c r="H266" t="str" cm="1">
        <f t="array" ref="H266">_xlfn.IFS(I266&lt;30000,"Low",I266&lt;60000,"Medium",I266&lt;100000,"High",TRUE,"Premium")</f>
        <v>Premium</v>
      </c>
      <c r="I266" s="2">
        <v>103309</v>
      </c>
      <c r="J266" t="s">
        <v>18</v>
      </c>
      <c r="K266" t="str" cm="1">
        <f t="array" ref="K266">_xlfn.IFS(Table1[[#This Row],[tenure]]&lt;=2,"New",Table1[[#This Row],[tenure]]&lt;=5,"Emerging",Table1[[#This Row],[tenure]]&lt;=8,"Loyal",Table1[[#This Row],[tenure]]&lt;=10,"Legacy")</f>
        <v>Emerging</v>
      </c>
      <c r="L266" t="str">
        <f>TEXT(Table1[[#This Row],[Join_Date]],"mmm-yyyy")</f>
        <v>Sep-2020</v>
      </c>
      <c r="M266">
        <v>5</v>
      </c>
      <c r="N266">
        <f>YEAR(Table1[[#This Row],[Join_Date]])</f>
        <v>2020</v>
      </c>
      <c r="O266" s="1">
        <v>44102</v>
      </c>
      <c r="P266" s="1"/>
    </row>
    <row r="267" spans="1:16" x14ac:dyDescent="0.25">
      <c r="A267" t="s">
        <v>565</v>
      </c>
      <c r="B267" t="s">
        <v>566</v>
      </c>
      <c r="C267" t="s">
        <v>22</v>
      </c>
      <c r="D267" t="s">
        <v>15</v>
      </c>
      <c r="E267">
        <v>30</v>
      </c>
      <c r="F267" t="s">
        <v>24</v>
      </c>
      <c r="G267" t="s">
        <v>29</v>
      </c>
      <c r="H267" t="str" cm="1">
        <f t="array" ref="H267">_xlfn.IFS(I267&lt;30000,"Low",I267&lt;60000,"Medium",I267&lt;100000,"High",TRUE,"Premium")</f>
        <v>Premium</v>
      </c>
      <c r="I267" s="2">
        <v>146446</v>
      </c>
      <c r="J267" t="s">
        <v>18</v>
      </c>
      <c r="K267" t="str" cm="1">
        <f t="array" ref="K267">_xlfn.IFS(Table1[[#This Row],[tenure]]&lt;=2,"New",Table1[[#This Row],[tenure]]&lt;=5,"Emerging",Table1[[#This Row],[tenure]]&lt;=8,"Loyal",Table1[[#This Row],[tenure]]&lt;=10,"Legacy")</f>
        <v>Legacy</v>
      </c>
      <c r="L267" t="str">
        <f>TEXT(Table1[[#This Row],[Join_Date]],"mmm-yyyy")</f>
        <v>Feb-2017</v>
      </c>
      <c r="M267">
        <v>9</v>
      </c>
      <c r="N267">
        <f>YEAR(Table1[[#This Row],[Join_Date]])</f>
        <v>2017</v>
      </c>
      <c r="O267" s="1">
        <v>42770</v>
      </c>
      <c r="P267" s="1"/>
    </row>
    <row r="268" spans="1:16" x14ac:dyDescent="0.25">
      <c r="A268" t="s">
        <v>567</v>
      </c>
      <c r="B268" t="s">
        <v>568</v>
      </c>
      <c r="C268" t="s">
        <v>22</v>
      </c>
      <c r="D268" t="s">
        <v>15</v>
      </c>
      <c r="E268">
        <v>36</v>
      </c>
      <c r="F268" t="s">
        <v>24</v>
      </c>
      <c r="G268" t="s">
        <v>46</v>
      </c>
      <c r="H268" t="str" cm="1">
        <f t="array" ref="H268">_xlfn.IFS(I268&lt;30000,"Low",I268&lt;60000,"Medium",I268&lt;100000,"High",TRUE,"Premium")</f>
        <v>Premium</v>
      </c>
      <c r="I268" s="2">
        <v>126661</v>
      </c>
      <c r="J268" t="s">
        <v>18</v>
      </c>
      <c r="K268" t="str" cm="1">
        <f t="array" ref="K268">_xlfn.IFS(Table1[[#This Row],[tenure]]&lt;=2,"New",Table1[[#This Row],[tenure]]&lt;=5,"Emerging",Table1[[#This Row],[tenure]]&lt;=8,"Loyal",Table1[[#This Row],[tenure]]&lt;=10,"Legacy")</f>
        <v>Emerging</v>
      </c>
      <c r="L268" t="str">
        <f>TEXT(Table1[[#This Row],[Join_Date]],"mmm-yyyy")</f>
        <v>Aug-2021</v>
      </c>
      <c r="M268">
        <v>4</v>
      </c>
      <c r="N268">
        <f>YEAR(Table1[[#This Row],[Join_Date]])</f>
        <v>2021</v>
      </c>
      <c r="O268" s="1">
        <v>44437</v>
      </c>
      <c r="P268" s="1"/>
    </row>
    <row r="269" spans="1:16" x14ac:dyDescent="0.25">
      <c r="A269" t="s">
        <v>569</v>
      </c>
      <c r="B269" t="s">
        <v>570</v>
      </c>
      <c r="C269" t="s">
        <v>22</v>
      </c>
      <c r="D269" t="s">
        <v>54</v>
      </c>
      <c r="E269">
        <v>66</v>
      </c>
      <c r="F269" t="s">
        <v>24</v>
      </c>
      <c r="G269" t="s">
        <v>34</v>
      </c>
      <c r="H269" t="str" cm="1">
        <f t="array" ref="H269">_xlfn.IFS(I269&lt;30000,"Low",I269&lt;60000,"Medium",I269&lt;100000,"High",TRUE,"Premium")</f>
        <v>Premium</v>
      </c>
      <c r="I269" s="2">
        <v>177215</v>
      </c>
      <c r="J269" t="s">
        <v>18</v>
      </c>
      <c r="K269" t="str" cm="1">
        <f t="array" ref="K269">_xlfn.IFS(Table1[[#This Row],[tenure]]&lt;=2,"New",Table1[[#This Row],[tenure]]&lt;=5,"Emerging",Table1[[#This Row],[tenure]]&lt;=8,"Loyal",Table1[[#This Row],[tenure]]&lt;=10,"Legacy")</f>
        <v>Loyal</v>
      </c>
      <c r="L269" t="str">
        <f>TEXT(Table1[[#This Row],[Join_Date]],"mmm-yyyy")</f>
        <v>Dec-2019</v>
      </c>
      <c r="M269">
        <v>6</v>
      </c>
      <c r="N269">
        <f>YEAR(Table1[[#This Row],[Join_Date]])</f>
        <v>2019</v>
      </c>
      <c r="O269" s="1">
        <v>43819</v>
      </c>
      <c r="P269" s="1"/>
    </row>
    <row r="270" spans="1:16" x14ac:dyDescent="0.25">
      <c r="A270" t="s">
        <v>571</v>
      </c>
      <c r="B270" t="s">
        <v>572</v>
      </c>
      <c r="C270" t="s">
        <v>14</v>
      </c>
      <c r="D270" t="s">
        <v>23</v>
      </c>
      <c r="E270">
        <v>53</v>
      </c>
      <c r="F270" t="s">
        <v>24</v>
      </c>
      <c r="G270" t="s">
        <v>46</v>
      </c>
      <c r="H270" t="str" cm="1">
        <f t="array" ref="H270">_xlfn.IFS(I270&lt;30000,"Low",I270&lt;60000,"Medium",I270&lt;100000,"High",TRUE,"Premium")</f>
        <v>Low</v>
      </c>
      <c r="I270" s="2">
        <v>26154</v>
      </c>
      <c r="J270" t="s">
        <v>26</v>
      </c>
      <c r="K270" t="str" cm="1">
        <f t="array" ref="K270">_xlfn.IFS(Table1[[#This Row],[tenure]]&lt;=2,"New",Table1[[#This Row],[tenure]]&lt;=5,"Emerging",Table1[[#This Row],[tenure]]&lt;=8,"Loyal",Table1[[#This Row],[tenure]]&lt;=10,"Legacy")</f>
        <v>Loyal</v>
      </c>
      <c r="L270" t="str">
        <f>TEXT(Table1[[#This Row],[Join_Date]],"mmm-yyyy")</f>
        <v>Feb-2018</v>
      </c>
      <c r="M270">
        <v>8</v>
      </c>
      <c r="N270">
        <f>YEAR(Table1[[#This Row],[Join_Date]])</f>
        <v>2018</v>
      </c>
      <c r="O270" s="1">
        <v>43150</v>
      </c>
      <c r="P270" s="1"/>
    </row>
    <row r="271" spans="1:16" x14ac:dyDescent="0.25">
      <c r="A271" t="s">
        <v>573</v>
      </c>
      <c r="B271" t="s">
        <v>574</v>
      </c>
      <c r="C271" t="s">
        <v>14</v>
      </c>
      <c r="D271" t="s">
        <v>15</v>
      </c>
      <c r="E271">
        <v>29</v>
      </c>
      <c r="F271" t="s">
        <v>38</v>
      </c>
      <c r="G271" t="s">
        <v>39</v>
      </c>
      <c r="H271" t="str" cm="1">
        <f t="array" ref="H271">_xlfn.IFS(I271&lt;30000,"Low",I271&lt;60000,"Medium",I271&lt;100000,"High",TRUE,"Premium")</f>
        <v>Premium</v>
      </c>
      <c r="I271" s="2">
        <v>172876</v>
      </c>
      <c r="J271" t="s">
        <v>18</v>
      </c>
      <c r="K271" t="str" cm="1">
        <f t="array" ref="K271">_xlfn.IFS(Table1[[#This Row],[tenure]]&lt;=2,"New",Table1[[#This Row],[tenure]]&lt;=5,"Emerging",Table1[[#This Row],[tenure]]&lt;=8,"Loyal",Table1[[#This Row],[tenure]]&lt;=10,"Legacy")</f>
        <v>Legacy</v>
      </c>
      <c r="L271" t="str">
        <f>TEXT(Table1[[#This Row],[Join_Date]],"mmm-yyyy")</f>
        <v>Jan-2017</v>
      </c>
      <c r="M271">
        <v>9</v>
      </c>
      <c r="N271">
        <f>YEAR(Table1[[#This Row],[Join_Date]])</f>
        <v>2017</v>
      </c>
      <c r="O271" s="1">
        <v>42737</v>
      </c>
      <c r="P271" s="1"/>
    </row>
    <row r="272" spans="1:16" x14ac:dyDescent="0.25">
      <c r="A272" t="s">
        <v>575</v>
      </c>
      <c r="B272" t="s">
        <v>576</v>
      </c>
      <c r="C272" t="s">
        <v>22</v>
      </c>
      <c r="D272" t="s">
        <v>23</v>
      </c>
      <c r="E272">
        <v>58</v>
      </c>
      <c r="F272" t="s">
        <v>16</v>
      </c>
      <c r="G272" t="s">
        <v>29</v>
      </c>
      <c r="H272" t="str" cm="1">
        <f t="array" ref="H272">_xlfn.IFS(I272&lt;30000,"Low",I272&lt;60000,"Medium",I272&lt;100000,"High",TRUE,"Premium")</f>
        <v>Premium</v>
      </c>
      <c r="I272" s="2">
        <v>192760</v>
      </c>
      <c r="J272" t="s">
        <v>26</v>
      </c>
      <c r="K272" t="str" cm="1">
        <f t="array" ref="K272">_xlfn.IFS(Table1[[#This Row],[tenure]]&lt;=2,"New",Table1[[#This Row],[tenure]]&lt;=5,"Emerging",Table1[[#This Row],[tenure]]&lt;=8,"Loyal",Table1[[#This Row],[tenure]]&lt;=10,"Legacy")</f>
        <v>New</v>
      </c>
      <c r="L272" t="str">
        <f>TEXT(Table1[[#This Row],[Join_Date]],"mmm-yyyy")</f>
        <v>May-2023</v>
      </c>
      <c r="M272">
        <v>2</v>
      </c>
      <c r="N272">
        <f>YEAR(Table1[[#This Row],[Join_Date]])</f>
        <v>2023</v>
      </c>
      <c r="O272" s="1">
        <v>45051</v>
      </c>
      <c r="P272" s="1"/>
    </row>
    <row r="273" spans="1:16" x14ac:dyDescent="0.25">
      <c r="A273" t="s">
        <v>577</v>
      </c>
      <c r="B273" t="s">
        <v>578</v>
      </c>
      <c r="C273" t="s">
        <v>22</v>
      </c>
      <c r="D273" t="s">
        <v>15</v>
      </c>
      <c r="E273">
        <v>36</v>
      </c>
      <c r="F273" t="s">
        <v>38</v>
      </c>
      <c r="G273" t="s">
        <v>25</v>
      </c>
      <c r="H273" t="str" cm="1">
        <f t="array" ref="H273">_xlfn.IFS(I273&lt;30000,"Low",I273&lt;60000,"Medium",I273&lt;100000,"High",TRUE,"Premium")</f>
        <v>High</v>
      </c>
      <c r="I273" s="2">
        <v>84288</v>
      </c>
      <c r="J273" t="s">
        <v>26</v>
      </c>
      <c r="K273" t="str" cm="1">
        <f t="array" ref="K273">_xlfn.IFS(Table1[[#This Row],[tenure]]&lt;=2,"New",Table1[[#This Row],[tenure]]&lt;=5,"Emerging",Table1[[#This Row],[tenure]]&lt;=8,"Loyal",Table1[[#This Row],[tenure]]&lt;=10,"Legacy")</f>
        <v>Loyal</v>
      </c>
      <c r="L273" t="str">
        <f>TEXT(Table1[[#This Row],[Join_Date]],"mmm-yyyy")</f>
        <v>Feb-2020</v>
      </c>
      <c r="M273">
        <v>6</v>
      </c>
      <c r="N273">
        <f>YEAR(Table1[[#This Row],[Join_Date]])</f>
        <v>2020</v>
      </c>
      <c r="O273" s="1">
        <v>43890</v>
      </c>
      <c r="P273" s="1"/>
    </row>
    <row r="274" spans="1:16" x14ac:dyDescent="0.25">
      <c r="A274" t="s">
        <v>579</v>
      </c>
      <c r="B274" t="s">
        <v>580</v>
      </c>
      <c r="C274" t="s">
        <v>22</v>
      </c>
      <c r="D274" t="s">
        <v>15</v>
      </c>
      <c r="E274">
        <v>29</v>
      </c>
      <c r="F274" t="s">
        <v>38</v>
      </c>
      <c r="G274" t="s">
        <v>51</v>
      </c>
      <c r="H274" t="str" cm="1">
        <f t="array" ref="H274">_xlfn.IFS(I274&lt;30000,"Low",I274&lt;60000,"Medium",I274&lt;100000,"High",TRUE,"Premium")</f>
        <v>High</v>
      </c>
      <c r="I274" s="2">
        <v>71195</v>
      </c>
      <c r="J274" t="s">
        <v>18</v>
      </c>
      <c r="K274" t="str" cm="1">
        <f t="array" ref="K274">_xlfn.IFS(Table1[[#This Row],[tenure]]&lt;=2,"New",Table1[[#This Row],[tenure]]&lt;=5,"Emerging",Table1[[#This Row],[tenure]]&lt;=8,"Loyal",Table1[[#This Row],[tenure]]&lt;=10,"Legacy")</f>
        <v>Emerging</v>
      </c>
      <c r="L274" t="str">
        <f>TEXT(Table1[[#This Row],[Join_Date]],"mmm-yyyy")</f>
        <v>Jun-2020</v>
      </c>
      <c r="M274">
        <v>5</v>
      </c>
      <c r="N274">
        <f>YEAR(Table1[[#This Row],[Join_Date]])</f>
        <v>2020</v>
      </c>
      <c r="O274" s="1">
        <v>44008</v>
      </c>
      <c r="P274" s="1"/>
    </row>
    <row r="275" spans="1:16" x14ac:dyDescent="0.25">
      <c r="A275" t="s">
        <v>581</v>
      </c>
      <c r="B275" t="s">
        <v>582</v>
      </c>
      <c r="C275" t="s">
        <v>22</v>
      </c>
      <c r="D275" t="s">
        <v>37</v>
      </c>
      <c r="E275">
        <v>26</v>
      </c>
      <c r="F275" t="s">
        <v>24</v>
      </c>
      <c r="G275" t="s">
        <v>34</v>
      </c>
      <c r="H275" t="str" cm="1">
        <f t="array" ref="H275">_xlfn.IFS(I275&lt;30000,"Low",I275&lt;60000,"Medium",I275&lt;100000,"High",TRUE,"Premium")</f>
        <v>Medium</v>
      </c>
      <c r="I275" s="2">
        <v>40581</v>
      </c>
      <c r="J275" t="s">
        <v>18</v>
      </c>
      <c r="K275" t="str" cm="1">
        <f t="array" ref="K275">_xlfn.IFS(Table1[[#This Row],[tenure]]&lt;=2,"New",Table1[[#This Row],[tenure]]&lt;=5,"Emerging",Table1[[#This Row],[tenure]]&lt;=8,"Loyal",Table1[[#This Row],[tenure]]&lt;=10,"Legacy")</f>
        <v>New</v>
      </c>
      <c r="L275" t="str">
        <f>TEXT(Table1[[#This Row],[Join_Date]],"mmm-yyyy")</f>
        <v>Sep-2024</v>
      </c>
      <c r="M275">
        <v>1</v>
      </c>
      <c r="N275">
        <f>YEAR(Table1[[#This Row],[Join_Date]])</f>
        <v>2024</v>
      </c>
      <c r="O275" s="1">
        <v>45559</v>
      </c>
      <c r="P275" s="1"/>
    </row>
    <row r="276" spans="1:16" x14ac:dyDescent="0.25">
      <c r="A276" t="s">
        <v>583</v>
      </c>
      <c r="B276" t="s">
        <v>584</v>
      </c>
      <c r="C276" t="s">
        <v>14</v>
      </c>
      <c r="D276" t="s">
        <v>37</v>
      </c>
      <c r="E276">
        <v>24</v>
      </c>
      <c r="F276" t="s">
        <v>42</v>
      </c>
      <c r="G276" t="s">
        <v>29</v>
      </c>
      <c r="H276" t="str" cm="1">
        <f t="array" ref="H276">_xlfn.IFS(I276&lt;30000,"Low",I276&lt;60000,"Medium",I276&lt;100000,"High",TRUE,"Premium")</f>
        <v>Medium</v>
      </c>
      <c r="I276" s="2">
        <v>50087</v>
      </c>
      <c r="J276" t="s">
        <v>26</v>
      </c>
      <c r="K276" t="str" cm="1">
        <f t="array" ref="K276">_xlfn.IFS(Table1[[#This Row],[tenure]]&lt;=2,"New",Table1[[#This Row],[tenure]]&lt;=5,"Emerging",Table1[[#This Row],[tenure]]&lt;=8,"Loyal",Table1[[#This Row],[tenure]]&lt;=10,"Legacy")</f>
        <v>Loyal</v>
      </c>
      <c r="L276" t="str">
        <f>TEXT(Table1[[#This Row],[Join_Date]],"mmm-yyyy")</f>
        <v>Nov-2019</v>
      </c>
      <c r="M276">
        <v>6</v>
      </c>
      <c r="N276">
        <f>YEAR(Table1[[#This Row],[Join_Date]])</f>
        <v>2019</v>
      </c>
      <c r="O276" s="1">
        <v>43775</v>
      </c>
      <c r="P276" s="1"/>
    </row>
    <row r="277" spans="1:16" x14ac:dyDescent="0.25">
      <c r="A277" t="s">
        <v>585</v>
      </c>
      <c r="B277" t="s">
        <v>586</v>
      </c>
      <c r="C277" t="s">
        <v>22</v>
      </c>
      <c r="D277" t="s">
        <v>23</v>
      </c>
      <c r="E277">
        <v>45</v>
      </c>
      <c r="F277" t="s">
        <v>42</v>
      </c>
      <c r="G277" t="s">
        <v>39</v>
      </c>
      <c r="H277" t="str" cm="1">
        <f t="array" ref="H277">_xlfn.IFS(I277&lt;30000,"Low",I277&lt;60000,"Medium",I277&lt;100000,"High",TRUE,"Premium")</f>
        <v>Premium</v>
      </c>
      <c r="I277" s="2">
        <v>184053</v>
      </c>
      <c r="J277" t="s">
        <v>18</v>
      </c>
      <c r="K277" t="str" cm="1">
        <f t="array" ref="K277">_xlfn.IFS(Table1[[#This Row],[tenure]]&lt;=2,"New",Table1[[#This Row],[tenure]]&lt;=5,"Emerging",Table1[[#This Row],[tenure]]&lt;=8,"Loyal",Table1[[#This Row],[tenure]]&lt;=10,"Legacy")</f>
        <v>Emerging</v>
      </c>
      <c r="L277" t="str">
        <f>TEXT(Table1[[#This Row],[Join_Date]],"mmm-yyyy")</f>
        <v>Oct-2020</v>
      </c>
      <c r="M277">
        <v>5</v>
      </c>
      <c r="N277">
        <f>YEAR(Table1[[#This Row],[Join_Date]])</f>
        <v>2020</v>
      </c>
      <c r="O277" s="1">
        <v>44122</v>
      </c>
      <c r="P277" s="1"/>
    </row>
    <row r="278" spans="1:16" x14ac:dyDescent="0.25">
      <c r="A278" t="s">
        <v>587</v>
      </c>
      <c r="B278" t="s">
        <v>588</v>
      </c>
      <c r="C278" t="s">
        <v>14</v>
      </c>
      <c r="D278" t="s">
        <v>15</v>
      </c>
      <c r="E278">
        <v>31</v>
      </c>
      <c r="F278" t="s">
        <v>38</v>
      </c>
      <c r="G278" t="s">
        <v>34</v>
      </c>
      <c r="H278" t="str" cm="1">
        <f t="array" ref="H278">_xlfn.IFS(I278&lt;30000,"Low",I278&lt;60000,"Medium",I278&lt;100000,"High",TRUE,"Premium")</f>
        <v>High</v>
      </c>
      <c r="I278" s="2">
        <v>89298</v>
      </c>
      <c r="J278" t="s">
        <v>18</v>
      </c>
      <c r="K278" t="str" cm="1">
        <f t="array" ref="K278">_xlfn.IFS(Table1[[#This Row],[tenure]]&lt;=2,"New",Table1[[#This Row],[tenure]]&lt;=5,"Emerging",Table1[[#This Row],[tenure]]&lt;=8,"Loyal",Table1[[#This Row],[tenure]]&lt;=10,"Legacy")</f>
        <v>Loyal</v>
      </c>
      <c r="L278" t="str">
        <f>TEXT(Table1[[#This Row],[Join_Date]],"mmm-yyyy")</f>
        <v>Dec-2017</v>
      </c>
      <c r="M278">
        <v>8</v>
      </c>
      <c r="N278">
        <f>YEAR(Table1[[#This Row],[Join_Date]])</f>
        <v>2017</v>
      </c>
      <c r="O278" s="1">
        <v>43083</v>
      </c>
      <c r="P278" s="1"/>
    </row>
    <row r="279" spans="1:16" x14ac:dyDescent="0.25">
      <c r="A279" t="s">
        <v>589</v>
      </c>
      <c r="B279" t="s">
        <v>590</v>
      </c>
      <c r="C279" t="s">
        <v>22</v>
      </c>
      <c r="D279" t="s">
        <v>23</v>
      </c>
      <c r="E279">
        <v>48</v>
      </c>
      <c r="F279" t="s">
        <v>38</v>
      </c>
      <c r="G279" t="s">
        <v>17</v>
      </c>
      <c r="H279" t="str" cm="1">
        <f t="array" ref="H279">_xlfn.IFS(I279&lt;30000,"Low",I279&lt;60000,"Medium",I279&lt;100000,"High",TRUE,"Premium")</f>
        <v>High</v>
      </c>
      <c r="I279" s="2">
        <v>66167</v>
      </c>
      <c r="J279" t="s">
        <v>30</v>
      </c>
      <c r="K279" t="str" cm="1">
        <f t="array" ref="K279">_xlfn.IFS(Table1[[#This Row],[tenure]]&lt;=2,"New",Table1[[#This Row],[tenure]]&lt;=5,"Emerging",Table1[[#This Row],[tenure]]&lt;=8,"Loyal",Table1[[#This Row],[tenure]]&lt;=10,"Legacy")</f>
        <v>Loyal</v>
      </c>
      <c r="L279" t="str">
        <f>TEXT(Table1[[#This Row],[Join_Date]],"mmm-yyyy")</f>
        <v>Feb-2019</v>
      </c>
      <c r="M279">
        <v>7</v>
      </c>
      <c r="N279">
        <f>YEAR(Table1[[#This Row],[Join_Date]])</f>
        <v>2019</v>
      </c>
      <c r="O279" s="1">
        <v>43497</v>
      </c>
      <c r="P279" s="1"/>
    </row>
    <row r="280" spans="1:16" x14ac:dyDescent="0.25">
      <c r="A280" t="s">
        <v>591</v>
      </c>
      <c r="B280" t="s">
        <v>592</v>
      </c>
      <c r="C280" t="s">
        <v>14</v>
      </c>
      <c r="D280" t="s">
        <v>54</v>
      </c>
      <c r="E280">
        <v>69</v>
      </c>
      <c r="F280" t="s">
        <v>24</v>
      </c>
      <c r="G280" t="s">
        <v>46</v>
      </c>
      <c r="H280" t="str" cm="1">
        <f t="array" ref="H280">_xlfn.IFS(I280&lt;30000,"Low",I280&lt;60000,"Medium",I280&lt;100000,"High",TRUE,"Premium")</f>
        <v>Premium</v>
      </c>
      <c r="I280" s="2">
        <v>194480</v>
      </c>
      <c r="J280" t="s">
        <v>18</v>
      </c>
      <c r="K280" t="str" cm="1">
        <f t="array" ref="K280">_xlfn.IFS(Table1[[#This Row],[tenure]]&lt;=2,"New",Table1[[#This Row],[tenure]]&lt;=5,"Emerging",Table1[[#This Row],[tenure]]&lt;=8,"Loyal",Table1[[#This Row],[tenure]]&lt;=10,"Legacy")</f>
        <v>Loyal</v>
      </c>
      <c r="L280" t="str">
        <f>TEXT(Table1[[#This Row],[Join_Date]],"mmm-yyyy")</f>
        <v>Aug-2018</v>
      </c>
      <c r="M280">
        <v>7</v>
      </c>
      <c r="N280">
        <f>YEAR(Table1[[#This Row],[Join_Date]])</f>
        <v>2018</v>
      </c>
      <c r="O280" s="1">
        <v>43316</v>
      </c>
      <c r="P280" s="1"/>
    </row>
    <row r="281" spans="1:16" x14ac:dyDescent="0.25">
      <c r="A281" t="s">
        <v>593</v>
      </c>
      <c r="B281" t="s">
        <v>594</v>
      </c>
      <c r="C281" t="s">
        <v>22</v>
      </c>
      <c r="D281" t="s">
        <v>15</v>
      </c>
      <c r="E281">
        <v>36</v>
      </c>
      <c r="F281" t="s">
        <v>38</v>
      </c>
      <c r="G281" t="s">
        <v>51</v>
      </c>
      <c r="H281" t="str" cm="1">
        <f t="array" ref="H281">_xlfn.IFS(I281&lt;30000,"Low",I281&lt;60000,"Medium",I281&lt;100000,"High",TRUE,"Premium")</f>
        <v>Medium</v>
      </c>
      <c r="I281" s="2">
        <v>59499</v>
      </c>
      <c r="J281" t="s">
        <v>26</v>
      </c>
      <c r="K281" t="str" cm="1">
        <f t="array" ref="K281">_xlfn.IFS(Table1[[#This Row],[tenure]]&lt;=2,"New",Table1[[#This Row],[tenure]]&lt;=5,"Emerging",Table1[[#This Row],[tenure]]&lt;=8,"Loyal",Table1[[#This Row],[tenure]]&lt;=10,"Legacy")</f>
        <v>Loyal</v>
      </c>
      <c r="L281" t="str">
        <f>TEXT(Table1[[#This Row],[Join_Date]],"mmm-yyyy")</f>
        <v>May-2017</v>
      </c>
      <c r="M281">
        <v>8</v>
      </c>
      <c r="N281">
        <f>YEAR(Table1[[#This Row],[Join_Date]])</f>
        <v>2017</v>
      </c>
      <c r="O281" s="1">
        <v>42882</v>
      </c>
      <c r="P281" s="1"/>
    </row>
    <row r="282" spans="1:16" x14ac:dyDescent="0.25">
      <c r="A282" t="s">
        <v>595</v>
      </c>
      <c r="B282" t="s">
        <v>596</v>
      </c>
      <c r="C282" t="s">
        <v>22</v>
      </c>
      <c r="D282" t="s">
        <v>54</v>
      </c>
      <c r="E282">
        <v>64</v>
      </c>
      <c r="F282" t="s">
        <v>24</v>
      </c>
      <c r="G282" t="s">
        <v>39</v>
      </c>
      <c r="H282" t="str" cm="1">
        <f t="array" ref="H282">_xlfn.IFS(I282&lt;30000,"Low",I282&lt;60000,"Medium",I282&lt;100000,"High",TRUE,"Premium")</f>
        <v>Premium</v>
      </c>
      <c r="I282" s="2">
        <v>145816</v>
      </c>
      <c r="J282" t="s">
        <v>30</v>
      </c>
      <c r="K282" t="str" cm="1">
        <f t="array" ref="K282">_xlfn.IFS(Table1[[#This Row],[tenure]]&lt;=2,"New",Table1[[#This Row],[tenure]]&lt;=5,"Emerging",Table1[[#This Row],[tenure]]&lt;=8,"Loyal",Table1[[#This Row],[tenure]]&lt;=10,"Legacy")</f>
        <v>Emerging</v>
      </c>
      <c r="L282" t="str">
        <f>TEXT(Table1[[#This Row],[Join_Date]],"mmm-yyyy")</f>
        <v>Oct-2021</v>
      </c>
      <c r="M282">
        <v>4</v>
      </c>
      <c r="N282">
        <f>YEAR(Table1[[#This Row],[Join_Date]])</f>
        <v>2021</v>
      </c>
      <c r="O282" s="1">
        <v>44500</v>
      </c>
      <c r="P282" s="1"/>
    </row>
    <row r="283" spans="1:16" x14ac:dyDescent="0.25">
      <c r="A283" t="s">
        <v>597</v>
      </c>
      <c r="B283" t="s">
        <v>598</v>
      </c>
      <c r="C283" t="s">
        <v>22</v>
      </c>
      <c r="D283" t="s">
        <v>15</v>
      </c>
      <c r="E283">
        <v>33</v>
      </c>
      <c r="F283" t="s">
        <v>42</v>
      </c>
      <c r="G283" t="s">
        <v>17</v>
      </c>
      <c r="H283" t="str" cm="1">
        <f t="array" ref="H283">_xlfn.IFS(I283&lt;30000,"Low",I283&lt;60000,"Medium",I283&lt;100000,"High",TRUE,"Premium")</f>
        <v>Premium</v>
      </c>
      <c r="I283" s="2">
        <v>189631</v>
      </c>
      <c r="J283" t="s">
        <v>18</v>
      </c>
      <c r="K283" t="str" cm="1">
        <f t="array" ref="K283">_xlfn.IFS(Table1[[#This Row],[tenure]]&lt;=2,"New",Table1[[#This Row],[tenure]]&lt;=5,"Emerging",Table1[[#This Row],[tenure]]&lt;=8,"Loyal",Table1[[#This Row],[tenure]]&lt;=10,"Legacy")</f>
        <v>Loyal</v>
      </c>
      <c r="L283" t="str">
        <f>TEXT(Table1[[#This Row],[Join_Date]],"mmm-yyyy")</f>
        <v>May-2017</v>
      </c>
      <c r="M283">
        <v>8</v>
      </c>
      <c r="N283">
        <f>YEAR(Table1[[#This Row],[Join_Date]])</f>
        <v>2017</v>
      </c>
      <c r="O283" s="1">
        <v>42880</v>
      </c>
      <c r="P283" s="1"/>
    </row>
    <row r="284" spans="1:16" x14ac:dyDescent="0.25">
      <c r="A284" t="s">
        <v>599</v>
      </c>
      <c r="B284" t="s">
        <v>600</v>
      </c>
      <c r="C284" t="s">
        <v>22</v>
      </c>
      <c r="D284" t="s">
        <v>54</v>
      </c>
      <c r="E284">
        <v>70</v>
      </c>
      <c r="F284" t="s">
        <v>42</v>
      </c>
      <c r="G284" t="s">
        <v>29</v>
      </c>
      <c r="H284" t="str" cm="1">
        <f t="array" ref="H284">_xlfn.IFS(I284&lt;30000,"Low",I284&lt;60000,"Medium",I284&lt;100000,"High",TRUE,"Premium")</f>
        <v>Premium</v>
      </c>
      <c r="I284" s="2">
        <v>116347</v>
      </c>
      <c r="J284" t="s">
        <v>18</v>
      </c>
      <c r="K284" t="str" cm="1">
        <f t="array" ref="K284">_xlfn.IFS(Table1[[#This Row],[tenure]]&lt;=2,"New",Table1[[#This Row],[tenure]]&lt;=5,"Emerging",Table1[[#This Row],[tenure]]&lt;=8,"Loyal",Table1[[#This Row],[tenure]]&lt;=10,"Legacy")</f>
        <v>Legacy</v>
      </c>
      <c r="L284" t="str">
        <f>TEXT(Table1[[#This Row],[Join_Date]],"mmm-yyyy")</f>
        <v>Jan-2017</v>
      </c>
      <c r="M284">
        <v>9</v>
      </c>
      <c r="N284">
        <f>YEAR(Table1[[#This Row],[Join_Date]])</f>
        <v>2017</v>
      </c>
      <c r="O284" s="1">
        <v>42754</v>
      </c>
      <c r="P284" s="1"/>
    </row>
    <row r="285" spans="1:16" x14ac:dyDescent="0.25">
      <c r="A285" t="s">
        <v>601</v>
      </c>
      <c r="B285" t="s">
        <v>602</v>
      </c>
      <c r="C285" t="s">
        <v>14</v>
      </c>
      <c r="D285" t="s">
        <v>37</v>
      </c>
      <c r="E285">
        <v>22</v>
      </c>
      <c r="F285" t="s">
        <v>16</v>
      </c>
      <c r="G285" t="s">
        <v>25</v>
      </c>
      <c r="H285" t="str" cm="1">
        <f t="array" ref="H285">_xlfn.IFS(I285&lt;30000,"Low",I285&lt;60000,"Medium",I285&lt;100000,"High",TRUE,"Premium")</f>
        <v>High</v>
      </c>
      <c r="I285" s="2">
        <v>68787</v>
      </c>
      <c r="J285" t="s">
        <v>18</v>
      </c>
      <c r="K285" t="str" cm="1">
        <f t="array" ref="K285">_xlfn.IFS(Table1[[#This Row],[tenure]]&lt;=2,"New",Table1[[#This Row],[tenure]]&lt;=5,"Emerging",Table1[[#This Row],[tenure]]&lt;=8,"Loyal",Table1[[#This Row],[tenure]]&lt;=10,"Legacy")</f>
        <v>Legacy</v>
      </c>
      <c r="L285" t="str">
        <f>TEXT(Table1[[#This Row],[Join_Date]],"mmm-yyyy")</f>
        <v>Oct-2015</v>
      </c>
      <c r="M285">
        <v>10</v>
      </c>
      <c r="N285">
        <f>YEAR(Table1[[#This Row],[Join_Date]])</f>
        <v>2015</v>
      </c>
      <c r="O285" s="1">
        <v>42305</v>
      </c>
      <c r="P285" s="1"/>
    </row>
    <row r="286" spans="1:16" x14ac:dyDescent="0.25">
      <c r="A286" t="s">
        <v>603</v>
      </c>
      <c r="B286" t="s">
        <v>604</v>
      </c>
      <c r="C286" t="s">
        <v>22</v>
      </c>
      <c r="D286" t="s">
        <v>23</v>
      </c>
      <c r="E286">
        <v>52</v>
      </c>
      <c r="F286" t="s">
        <v>42</v>
      </c>
      <c r="G286" t="s">
        <v>34</v>
      </c>
      <c r="H286" t="str" cm="1">
        <f t="array" ref="H286">_xlfn.IFS(I286&lt;30000,"Low",I286&lt;60000,"Medium",I286&lt;100000,"High",TRUE,"Premium")</f>
        <v>Medium</v>
      </c>
      <c r="I286" s="2">
        <v>55488</v>
      </c>
      <c r="J286" t="s">
        <v>18</v>
      </c>
      <c r="K286" t="str" cm="1">
        <f t="array" ref="K286">_xlfn.IFS(Table1[[#This Row],[tenure]]&lt;=2,"New",Table1[[#This Row],[tenure]]&lt;=5,"Emerging",Table1[[#This Row],[tenure]]&lt;=8,"Loyal",Table1[[#This Row],[tenure]]&lt;=10,"Legacy")</f>
        <v>Emerging</v>
      </c>
      <c r="L286" t="str">
        <f>TEXT(Table1[[#This Row],[Join_Date]],"mmm-yyyy")</f>
        <v>Feb-2021</v>
      </c>
      <c r="M286">
        <v>5</v>
      </c>
      <c r="N286">
        <f>YEAR(Table1[[#This Row],[Join_Date]])</f>
        <v>2021</v>
      </c>
      <c r="O286" s="1">
        <v>44249</v>
      </c>
      <c r="P286" s="1"/>
    </row>
    <row r="287" spans="1:16" x14ac:dyDescent="0.25">
      <c r="A287" t="s">
        <v>605</v>
      </c>
      <c r="B287" t="s">
        <v>606</v>
      </c>
      <c r="C287" t="s">
        <v>14</v>
      </c>
      <c r="D287" t="s">
        <v>15</v>
      </c>
      <c r="E287">
        <v>29</v>
      </c>
      <c r="F287" t="s">
        <v>38</v>
      </c>
      <c r="G287" t="s">
        <v>46</v>
      </c>
      <c r="H287" t="str" cm="1">
        <f t="array" ref="H287">_xlfn.IFS(I287&lt;30000,"Low",I287&lt;60000,"Medium",I287&lt;100000,"High",TRUE,"Premium")</f>
        <v>High</v>
      </c>
      <c r="I287" s="2">
        <v>94441</v>
      </c>
      <c r="J287" t="s">
        <v>18</v>
      </c>
      <c r="K287" t="str" cm="1">
        <f t="array" ref="K287">_xlfn.IFS(Table1[[#This Row],[tenure]]&lt;=2,"New",Table1[[#This Row],[tenure]]&lt;=5,"Emerging",Table1[[#This Row],[tenure]]&lt;=8,"Loyal",Table1[[#This Row],[tenure]]&lt;=10,"Legacy")</f>
        <v>Loyal</v>
      </c>
      <c r="L287" t="str">
        <f>TEXT(Table1[[#This Row],[Join_Date]],"mmm-yyyy")</f>
        <v>Jan-2020</v>
      </c>
      <c r="M287">
        <v>6</v>
      </c>
      <c r="N287">
        <f>YEAR(Table1[[#This Row],[Join_Date]])</f>
        <v>2020</v>
      </c>
      <c r="O287" s="1">
        <v>43856</v>
      </c>
      <c r="P287" s="1"/>
    </row>
    <row r="288" spans="1:16" x14ac:dyDescent="0.25">
      <c r="A288" t="s">
        <v>607</v>
      </c>
      <c r="B288" t="s">
        <v>608</v>
      </c>
      <c r="C288" t="s">
        <v>14</v>
      </c>
      <c r="D288" t="s">
        <v>15</v>
      </c>
      <c r="E288">
        <v>42</v>
      </c>
      <c r="F288" t="s">
        <v>42</v>
      </c>
      <c r="G288" t="s">
        <v>34</v>
      </c>
      <c r="H288" t="str" cm="1">
        <f t="array" ref="H288">_xlfn.IFS(I288&lt;30000,"Low",I288&lt;60000,"Medium",I288&lt;100000,"High",TRUE,"Premium")</f>
        <v>Medium</v>
      </c>
      <c r="I288" s="2">
        <v>42431</v>
      </c>
      <c r="J288" t="s">
        <v>26</v>
      </c>
      <c r="K288" t="str" cm="1">
        <f t="array" ref="K288">_xlfn.IFS(Table1[[#This Row],[tenure]]&lt;=2,"New",Table1[[#This Row],[tenure]]&lt;=5,"Emerging",Table1[[#This Row],[tenure]]&lt;=8,"Loyal",Table1[[#This Row],[tenure]]&lt;=10,"Legacy")</f>
        <v>New</v>
      </c>
      <c r="L288" t="str">
        <f>TEXT(Table1[[#This Row],[Join_Date]],"mmm-yyyy")</f>
        <v>Apr-2025</v>
      </c>
      <c r="M288">
        <v>0</v>
      </c>
      <c r="N288">
        <f>YEAR(Table1[[#This Row],[Join_Date]])</f>
        <v>2025</v>
      </c>
      <c r="O288" s="1">
        <v>45769</v>
      </c>
      <c r="P288" s="1"/>
    </row>
    <row r="289" spans="1:16" x14ac:dyDescent="0.25">
      <c r="A289" t="s">
        <v>609</v>
      </c>
      <c r="B289" t="s">
        <v>610</v>
      </c>
      <c r="C289" t="s">
        <v>14</v>
      </c>
      <c r="D289" t="s">
        <v>54</v>
      </c>
      <c r="E289">
        <v>69</v>
      </c>
      <c r="F289" t="s">
        <v>24</v>
      </c>
      <c r="G289" t="s">
        <v>51</v>
      </c>
      <c r="H289" t="str" cm="1">
        <f t="array" ref="H289">_xlfn.IFS(I289&lt;30000,"Low",I289&lt;60000,"Medium",I289&lt;100000,"High",TRUE,"Premium")</f>
        <v>High</v>
      </c>
      <c r="I289" s="2">
        <v>81681</v>
      </c>
      <c r="J289" t="s">
        <v>18</v>
      </c>
      <c r="K289" t="str" cm="1">
        <f t="array" ref="K289">_xlfn.IFS(Table1[[#This Row],[tenure]]&lt;=2,"New",Table1[[#This Row],[tenure]]&lt;=5,"Emerging",Table1[[#This Row],[tenure]]&lt;=8,"Loyal",Table1[[#This Row],[tenure]]&lt;=10,"Legacy")</f>
        <v>Emerging</v>
      </c>
      <c r="L289" t="str">
        <f>TEXT(Table1[[#This Row],[Join_Date]],"mmm-yyyy")</f>
        <v>Oct-2022</v>
      </c>
      <c r="M289">
        <v>3</v>
      </c>
      <c r="N289">
        <f>YEAR(Table1[[#This Row],[Join_Date]])</f>
        <v>2022</v>
      </c>
      <c r="O289" s="1">
        <v>44856</v>
      </c>
      <c r="P289" s="1"/>
    </row>
    <row r="290" spans="1:16" x14ac:dyDescent="0.25">
      <c r="A290" t="s">
        <v>611</v>
      </c>
      <c r="B290" t="s">
        <v>612</v>
      </c>
      <c r="C290" t="s">
        <v>14</v>
      </c>
      <c r="D290" t="s">
        <v>15</v>
      </c>
      <c r="E290">
        <v>38</v>
      </c>
      <c r="F290" t="s">
        <v>42</v>
      </c>
      <c r="G290" t="s">
        <v>29</v>
      </c>
      <c r="H290" t="str" cm="1">
        <f t="array" ref="H290">_xlfn.IFS(I290&lt;30000,"Low",I290&lt;60000,"Medium",I290&lt;100000,"High",TRUE,"Premium")</f>
        <v>Premium</v>
      </c>
      <c r="I290" s="2">
        <v>142720</v>
      </c>
      <c r="J290" t="s">
        <v>18</v>
      </c>
      <c r="K290" t="str" cm="1">
        <f t="array" ref="K290">_xlfn.IFS(Table1[[#This Row],[tenure]]&lt;=2,"New",Table1[[#This Row],[tenure]]&lt;=5,"Emerging",Table1[[#This Row],[tenure]]&lt;=8,"Loyal",Table1[[#This Row],[tenure]]&lt;=10,"Legacy")</f>
        <v>Emerging</v>
      </c>
      <c r="L290" t="str">
        <f>TEXT(Table1[[#This Row],[Join_Date]],"mmm-yyyy")</f>
        <v>Mar-2021</v>
      </c>
      <c r="M290">
        <v>5</v>
      </c>
      <c r="N290">
        <f>YEAR(Table1[[#This Row],[Join_Date]])</f>
        <v>2021</v>
      </c>
      <c r="O290" s="1">
        <v>44265</v>
      </c>
      <c r="P290" s="1"/>
    </row>
    <row r="291" spans="1:16" x14ac:dyDescent="0.25">
      <c r="A291" t="s">
        <v>613</v>
      </c>
      <c r="B291" t="s">
        <v>614</v>
      </c>
      <c r="C291" t="s">
        <v>22</v>
      </c>
      <c r="D291" t="s">
        <v>23</v>
      </c>
      <c r="E291">
        <v>53</v>
      </c>
      <c r="F291" t="s">
        <v>16</v>
      </c>
      <c r="G291" t="s">
        <v>34</v>
      </c>
      <c r="H291" t="str" cm="1">
        <f t="array" ref="H291">_xlfn.IFS(I291&lt;30000,"Low",I291&lt;60000,"Medium",I291&lt;100000,"High",TRUE,"Premium")</f>
        <v>High</v>
      </c>
      <c r="I291" s="2">
        <v>69153</v>
      </c>
      <c r="J291" t="s">
        <v>30</v>
      </c>
      <c r="K291" t="str" cm="1">
        <f t="array" ref="K291">_xlfn.IFS(Table1[[#This Row],[tenure]]&lt;=2,"New",Table1[[#This Row],[tenure]]&lt;=5,"Emerging",Table1[[#This Row],[tenure]]&lt;=8,"Loyal",Table1[[#This Row],[tenure]]&lt;=10,"Legacy")</f>
        <v>Legacy</v>
      </c>
      <c r="L291" t="str">
        <f>TEXT(Table1[[#This Row],[Join_Date]],"mmm-yyyy")</f>
        <v>Sep-2016</v>
      </c>
      <c r="M291">
        <v>9</v>
      </c>
      <c r="N291">
        <f>YEAR(Table1[[#This Row],[Join_Date]])</f>
        <v>2016</v>
      </c>
      <c r="O291" s="1">
        <v>42617</v>
      </c>
      <c r="P291" s="1"/>
    </row>
    <row r="292" spans="1:16" x14ac:dyDescent="0.25">
      <c r="A292" t="s">
        <v>615</v>
      </c>
      <c r="B292" t="s">
        <v>616</v>
      </c>
      <c r="C292" t="s">
        <v>14</v>
      </c>
      <c r="D292" t="s">
        <v>54</v>
      </c>
      <c r="E292">
        <v>70</v>
      </c>
      <c r="F292" t="s">
        <v>42</v>
      </c>
      <c r="G292" t="s">
        <v>46</v>
      </c>
      <c r="H292" t="str" cm="1">
        <f t="array" ref="H292">_xlfn.IFS(I292&lt;30000,"Low",I292&lt;60000,"Medium",I292&lt;100000,"High",TRUE,"Premium")</f>
        <v>Low</v>
      </c>
      <c r="I292" s="2">
        <v>26368</v>
      </c>
      <c r="J292" t="s">
        <v>26</v>
      </c>
      <c r="K292" t="str" cm="1">
        <f t="array" ref="K292">_xlfn.IFS(Table1[[#This Row],[tenure]]&lt;=2,"New",Table1[[#This Row],[tenure]]&lt;=5,"Emerging",Table1[[#This Row],[tenure]]&lt;=8,"Loyal",Table1[[#This Row],[tenure]]&lt;=10,"Legacy")</f>
        <v>Loyal</v>
      </c>
      <c r="L292" t="str">
        <f>TEXT(Table1[[#This Row],[Join_Date]],"mmm-yyyy")</f>
        <v>Feb-2019</v>
      </c>
      <c r="M292">
        <v>7</v>
      </c>
      <c r="N292">
        <f>YEAR(Table1[[#This Row],[Join_Date]])</f>
        <v>2019</v>
      </c>
      <c r="O292" s="1">
        <v>43499</v>
      </c>
      <c r="P292" s="1"/>
    </row>
    <row r="293" spans="1:16" x14ac:dyDescent="0.25">
      <c r="A293" t="s">
        <v>617</v>
      </c>
      <c r="B293" t="s">
        <v>618</v>
      </c>
      <c r="C293" t="s">
        <v>14</v>
      </c>
      <c r="D293" t="s">
        <v>15</v>
      </c>
      <c r="E293">
        <v>40</v>
      </c>
      <c r="F293" t="s">
        <v>24</v>
      </c>
      <c r="G293" t="s">
        <v>29</v>
      </c>
      <c r="H293" t="str" cm="1">
        <f t="array" ref="H293">_xlfn.IFS(I293&lt;30000,"Low",I293&lt;60000,"Medium",I293&lt;100000,"High",TRUE,"Premium")</f>
        <v>Premium</v>
      </c>
      <c r="I293" s="2">
        <v>178496</v>
      </c>
      <c r="J293" t="s">
        <v>26</v>
      </c>
      <c r="K293" t="str" cm="1">
        <f t="array" ref="K293">_xlfn.IFS(Table1[[#This Row],[tenure]]&lt;=2,"New",Table1[[#This Row],[tenure]]&lt;=5,"Emerging",Table1[[#This Row],[tenure]]&lt;=8,"Loyal",Table1[[#This Row],[tenure]]&lt;=10,"Legacy")</f>
        <v>Emerging</v>
      </c>
      <c r="L293" t="str">
        <f>TEXT(Table1[[#This Row],[Join_Date]],"mmm-yyyy")</f>
        <v>Nov-2022</v>
      </c>
      <c r="M293">
        <v>3</v>
      </c>
      <c r="N293">
        <f>YEAR(Table1[[#This Row],[Join_Date]])</f>
        <v>2022</v>
      </c>
      <c r="O293" s="1">
        <v>44893</v>
      </c>
      <c r="P293" s="1"/>
    </row>
    <row r="294" spans="1:16" x14ac:dyDescent="0.25">
      <c r="A294" t="s">
        <v>619</v>
      </c>
      <c r="B294" t="s">
        <v>620</v>
      </c>
      <c r="C294" t="s">
        <v>14</v>
      </c>
      <c r="D294" t="s">
        <v>15</v>
      </c>
      <c r="E294">
        <v>33</v>
      </c>
      <c r="F294" t="s">
        <v>24</v>
      </c>
      <c r="G294" t="s">
        <v>34</v>
      </c>
      <c r="H294" t="str" cm="1">
        <f t="array" ref="H294">_xlfn.IFS(I294&lt;30000,"Low",I294&lt;60000,"Medium",I294&lt;100000,"High",TRUE,"Premium")</f>
        <v>Premium</v>
      </c>
      <c r="I294" s="2">
        <v>132360</v>
      </c>
      <c r="J294" t="s">
        <v>18</v>
      </c>
      <c r="K294" t="str" cm="1">
        <f t="array" ref="K294">_xlfn.IFS(Table1[[#This Row],[tenure]]&lt;=2,"New",Table1[[#This Row],[tenure]]&lt;=5,"Emerging",Table1[[#This Row],[tenure]]&lt;=8,"Loyal",Table1[[#This Row],[tenure]]&lt;=10,"Legacy")</f>
        <v>Legacy</v>
      </c>
      <c r="L294" t="str">
        <f>TEXT(Table1[[#This Row],[Join_Date]],"mmm-yyyy")</f>
        <v>Oct-2016</v>
      </c>
      <c r="M294">
        <v>9</v>
      </c>
      <c r="N294">
        <f>YEAR(Table1[[#This Row],[Join_Date]])</f>
        <v>2016</v>
      </c>
      <c r="O294" s="1">
        <v>42674</v>
      </c>
      <c r="P294" s="1"/>
    </row>
    <row r="295" spans="1:16" x14ac:dyDescent="0.25">
      <c r="A295" t="s">
        <v>621</v>
      </c>
      <c r="B295" t="s">
        <v>622</v>
      </c>
      <c r="C295" t="s">
        <v>22</v>
      </c>
      <c r="D295" t="s">
        <v>54</v>
      </c>
      <c r="E295">
        <v>74</v>
      </c>
      <c r="F295" t="s">
        <v>38</v>
      </c>
      <c r="G295" t="s">
        <v>25</v>
      </c>
      <c r="H295" t="str" cm="1">
        <f t="array" ref="H295">_xlfn.IFS(I295&lt;30000,"Low",I295&lt;60000,"Medium",I295&lt;100000,"High",TRUE,"Premium")</f>
        <v>Premium</v>
      </c>
      <c r="I295" s="2">
        <v>196076</v>
      </c>
      <c r="J295" t="s">
        <v>26</v>
      </c>
      <c r="K295" t="str" cm="1">
        <f t="array" ref="K295">_xlfn.IFS(Table1[[#This Row],[tenure]]&lt;=2,"New",Table1[[#This Row],[tenure]]&lt;=5,"Emerging",Table1[[#This Row],[tenure]]&lt;=8,"Loyal",Table1[[#This Row],[tenure]]&lt;=10,"Legacy")</f>
        <v>Loyal</v>
      </c>
      <c r="L295" t="str">
        <f>TEXT(Table1[[#This Row],[Join_Date]],"mmm-yyyy")</f>
        <v>Aug-2018</v>
      </c>
      <c r="M295">
        <v>7</v>
      </c>
      <c r="N295">
        <f>YEAR(Table1[[#This Row],[Join_Date]])</f>
        <v>2018</v>
      </c>
      <c r="O295" s="1">
        <v>43335</v>
      </c>
      <c r="P295" s="1"/>
    </row>
    <row r="296" spans="1:16" x14ac:dyDescent="0.25">
      <c r="A296" t="s">
        <v>623</v>
      </c>
      <c r="B296" t="s">
        <v>624</v>
      </c>
      <c r="C296" t="s">
        <v>22</v>
      </c>
      <c r="D296" t="s">
        <v>23</v>
      </c>
      <c r="E296">
        <v>56</v>
      </c>
      <c r="F296" t="s">
        <v>42</v>
      </c>
      <c r="G296" t="s">
        <v>39</v>
      </c>
      <c r="H296" t="str" cm="1">
        <f t="array" ref="H296">_xlfn.IFS(I296&lt;30000,"Low",I296&lt;60000,"Medium",I296&lt;100000,"High",TRUE,"Premium")</f>
        <v>Premium</v>
      </c>
      <c r="I296" s="2">
        <v>132755</v>
      </c>
      <c r="J296" t="s">
        <v>18</v>
      </c>
      <c r="K296" t="str" cm="1">
        <f t="array" ref="K296">_xlfn.IFS(Table1[[#This Row],[tenure]]&lt;=2,"New",Table1[[#This Row],[tenure]]&lt;=5,"Emerging",Table1[[#This Row],[tenure]]&lt;=8,"Loyal",Table1[[#This Row],[tenure]]&lt;=10,"Legacy")</f>
        <v>Legacy</v>
      </c>
      <c r="L296" t="str">
        <f>TEXT(Table1[[#This Row],[Join_Date]],"mmm-yyyy")</f>
        <v>May-2016</v>
      </c>
      <c r="M296">
        <v>9</v>
      </c>
      <c r="N296">
        <f>YEAR(Table1[[#This Row],[Join_Date]])</f>
        <v>2016</v>
      </c>
      <c r="O296" s="1">
        <v>42510</v>
      </c>
      <c r="P296" s="1"/>
    </row>
    <row r="297" spans="1:16" x14ac:dyDescent="0.25">
      <c r="A297" t="s">
        <v>625</v>
      </c>
      <c r="B297" t="s">
        <v>626</v>
      </c>
      <c r="C297" t="s">
        <v>22</v>
      </c>
      <c r="D297" t="s">
        <v>54</v>
      </c>
      <c r="E297">
        <v>62</v>
      </c>
      <c r="F297" t="s">
        <v>24</v>
      </c>
      <c r="G297" t="s">
        <v>29</v>
      </c>
      <c r="H297" t="str" cm="1">
        <f t="array" ref="H297">_xlfn.IFS(I297&lt;30000,"Low",I297&lt;60000,"Medium",I297&lt;100000,"High",TRUE,"Premium")</f>
        <v>High</v>
      </c>
      <c r="I297" s="2">
        <v>76985</v>
      </c>
      <c r="J297" t="s">
        <v>18</v>
      </c>
      <c r="K297" t="str" cm="1">
        <f t="array" ref="K297">_xlfn.IFS(Table1[[#This Row],[tenure]]&lt;=2,"New",Table1[[#This Row],[tenure]]&lt;=5,"Emerging",Table1[[#This Row],[tenure]]&lt;=8,"Loyal",Table1[[#This Row],[tenure]]&lt;=10,"Legacy")</f>
        <v>Emerging</v>
      </c>
      <c r="L297" t="str">
        <f>TEXT(Table1[[#This Row],[Join_Date]],"mmm-yyyy")</f>
        <v>Mar-2022</v>
      </c>
      <c r="M297">
        <v>3</v>
      </c>
      <c r="N297">
        <f>YEAR(Table1[[#This Row],[Join_Date]])</f>
        <v>2022</v>
      </c>
      <c r="O297" s="1">
        <v>44646</v>
      </c>
      <c r="P297" s="1"/>
    </row>
    <row r="298" spans="1:16" x14ac:dyDescent="0.25">
      <c r="A298" t="s">
        <v>627</v>
      </c>
      <c r="B298" t="s">
        <v>628</v>
      </c>
      <c r="C298" t="s">
        <v>22</v>
      </c>
      <c r="D298" t="s">
        <v>54</v>
      </c>
      <c r="E298">
        <v>70</v>
      </c>
      <c r="F298" t="s">
        <v>16</v>
      </c>
      <c r="G298" t="s">
        <v>39</v>
      </c>
      <c r="H298" t="str" cm="1">
        <f t="array" ref="H298">_xlfn.IFS(I298&lt;30000,"Low",I298&lt;60000,"Medium",I298&lt;100000,"High",TRUE,"Premium")</f>
        <v>High</v>
      </c>
      <c r="I298" s="2">
        <v>70069</v>
      </c>
      <c r="J298" t="s">
        <v>18</v>
      </c>
      <c r="K298" t="str" cm="1">
        <f t="array" ref="K298">_xlfn.IFS(Table1[[#This Row],[tenure]]&lt;=2,"New",Table1[[#This Row],[tenure]]&lt;=5,"Emerging",Table1[[#This Row],[tenure]]&lt;=8,"Loyal",Table1[[#This Row],[tenure]]&lt;=10,"Legacy")</f>
        <v>Emerging</v>
      </c>
      <c r="L298" t="str">
        <f>TEXT(Table1[[#This Row],[Join_Date]],"mmm-yyyy")</f>
        <v>Oct-2022</v>
      </c>
      <c r="M298">
        <v>3</v>
      </c>
      <c r="N298">
        <f>YEAR(Table1[[#This Row],[Join_Date]])</f>
        <v>2022</v>
      </c>
      <c r="O298" s="1">
        <v>44862</v>
      </c>
      <c r="P298" s="1"/>
    </row>
    <row r="299" spans="1:16" x14ac:dyDescent="0.25">
      <c r="A299" t="s">
        <v>629</v>
      </c>
      <c r="B299" t="s">
        <v>630</v>
      </c>
      <c r="C299" t="s">
        <v>14</v>
      </c>
      <c r="D299" t="s">
        <v>23</v>
      </c>
      <c r="E299">
        <v>59</v>
      </c>
      <c r="F299" t="s">
        <v>38</v>
      </c>
      <c r="G299" t="s">
        <v>29</v>
      </c>
      <c r="H299" t="str" cm="1">
        <f t="array" ref="H299">_xlfn.IFS(I299&lt;30000,"Low",I299&lt;60000,"Medium",I299&lt;100000,"High",TRUE,"Premium")</f>
        <v>High</v>
      </c>
      <c r="I299" s="2">
        <v>72326</v>
      </c>
      <c r="J299" t="s">
        <v>26</v>
      </c>
      <c r="K299" t="str" cm="1">
        <f t="array" ref="K299">_xlfn.IFS(Table1[[#This Row],[tenure]]&lt;=2,"New",Table1[[#This Row],[tenure]]&lt;=5,"Emerging",Table1[[#This Row],[tenure]]&lt;=8,"Loyal",Table1[[#This Row],[tenure]]&lt;=10,"Legacy")</f>
        <v>Loyal</v>
      </c>
      <c r="L299" t="str">
        <f>TEXT(Table1[[#This Row],[Join_Date]],"mmm-yyyy")</f>
        <v>Jul-2017</v>
      </c>
      <c r="M299">
        <v>8</v>
      </c>
      <c r="N299">
        <f>YEAR(Table1[[#This Row],[Join_Date]])</f>
        <v>2017</v>
      </c>
      <c r="O299" s="1">
        <v>42922</v>
      </c>
      <c r="P299" s="1"/>
    </row>
    <row r="300" spans="1:16" x14ac:dyDescent="0.25">
      <c r="A300" t="s">
        <v>631</v>
      </c>
      <c r="B300" t="s">
        <v>632</v>
      </c>
      <c r="C300" t="s">
        <v>14</v>
      </c>
      <c r="D300" t="s">
        <v>23</v>
      </c>
      <c r="E300">
        <v>56</v>
      </c>
      <c r="F300" t="s">
        <v>16</v>
      </c>
      <c r="G300" t="s">
        <v>25</v>
      </c>
      <c r="H300" t="str" cm="1">
        <f t="array" ref="H300">_xlfn.IFS(I300&lt;30000,"Low",I300&lt;60000,"Medium",I300&lt;100000,"High",TRUE,"Premium")</f>
        <v>Premium</v>
      </c>
      <c r="I300" s="2">
        <v>128737</v>
      </c>
      <c r="J300" t="s">
        <v>18</v>
      </c>
      <c r="K300" t="str" cm="1">
        <f t="array" ref="K300">_xlfn.IFS(Table1[[#This Row],[tenure]]&lt;=2,"New",Table1[[#This Row],[tenure]]&lt;=5,"Emerging",Table1[[#This Row],[tenure]]&lt;=8,"Loyal",Table1[[#This Row],[tenure]]&lt;=10,"Legacy")</f>
        <v>New</v>
      </c>
      <c r="L300" t="str">
        <f>TEXT(Table1[[#This Row],[Join_Date]],"mmm-yyyy")</f>
        <v>Oct-2023</v>
      </c>
      <c r="M300">
        <v>2</v>
      </c>
      <c r="N300">
        <f>YEAR(Table1[[#This Row],[Join_Date]])</f>
        <v>2023</v>
      </c>
      <c r="O300" s="1">
        <v>45200</v>
      </c>
      <c r="P300" s="1"/>
    </row>
    <row r="301" spans="1:16" x14ac:dyDescent="0.25">
      <c r="A301" t="s">
        <v>633</v>
      </c>
      <c r="B301" t="s">
        <v>634</v>
      </c>
      <c r="C301" t="s">
        <v>22</v>
      </c>
      <c r="D301" t="s">
        <v>15</v>
      </c>
      <c r="E301">
        <v>31</v>
      </c>
      <c r="F301" t="s">
        <v>42</v>
      </c>
      <c r="G301" t="s">
        <v>39</v>
      </c>
      <c r="H301" t="str" cm="1">
        <f t="array" ref="H301">_xlfn.IFS(I301&lt;30000,"Low",I301&lt;60000,"Medium",I301&lt;100000,"High",TRUE,"Premium")</f>
        <v>Premium</v>
      </c>
      <c r="I301" s="2">
        <v>174470</v>
      </c>
      <c r="J301" t="s">
        <v>18</v>
      </c>
      <c r="K301" t="str" cm="1">
        <f t="array" ref="K301">_xlfn.IFS(Table1[[#This Row],[tenure]]&lt;=2,"New",Table1[[#This Row],[tenure]]&lt;=5,"Emerging",Table1[[#This Row],[tenure]]&lt;=8,"Loyal",Table1[[#This Row],[tenure]]&lt;=10,"Legacy")</f>
        <v>New</v>
      </c>
      <c r="L301" t="str">
        <f>TEXT(Table1[[#This Row],[Join_Date]],"mmm-yyyy")</f>
        <v>Apr-2024</v>
      </c>
      <c r="M301">
        <v>1</v>
      </c>
      <c r="N301">
        <f>YEAR(Table1[[#This Row],[Join_Date]])</f>
        <v>2024</v>
      </c>
      <c r="O301" s="1">
        <v>45402</v>
      </c>
      <c r="P301" s="1"/>
    </row>
    <row r="302" spans="1:16" x14ac:dyDescent="0.25">
      <c r="A302" t="s">
        <v>635</v>
      </c>
      <c r="B302" t="s">
        <v>636</v>
      </c>
      <c r="C302" t="s">
        <v>14</v>
      </c>
      <c r="D302" t="s">
        <v>23</v>
      </c>
      <c r="E302">
        <v>48</v>
      </c>
      <c r="F302" t="s">
        <v>42</v>
      </c>
      <c r="G302" t="s">
        <v>17</v>
      </c>
      <c r="H302" t="str" cm="1">
        <f t="array" ref="H302">_xlfn.IFS(I302&lt;30000,"Low",I302&lt;60000,"Medium",I302&lt;100000,"High",TRUE,"Premium")</f>
        <v>High</v>
      </c>
      <c r="I302" s="2">
        <v>70861</v>
      </c>
      <c r="J302" t="s">
        <v>18</v>
      </c>
      <c r="K302" t="str" cm="1">
        <f t="array" ref="K302">_xlfn.IFS(Table1[[#This Row],[tenure]]&lt;=2,"New",Table1[[#This Row],[tenure]]&lt;=5,"Emerging",Table1[[#This Row],[tenure]]&lt;=8,"Loyal",Table1[[#This Row],[tenure]]&lt;=10,"Legacy")</f>
        <v>New</v>
      </c>
      <c r="L302" t="str">
        <f>TEXT(Table1[[#This Row],[Join_Date]],"mmm-yyyy")</f>
        <v>Feb-2024</v>
      </c>
      <c r="M302">
        <v>2</v>
      </c>
      <c r="N302">
        <f>YEAR(Table1[[#This Row],[Join_Date]])</f>
        <v>2024</v>
      </c>
      <c r="O302" s="1">
        <v>45334</v>
      </c>
      <c r="P302" s="1"/>
    </row>
    <row r="303" spans="1:16" x14ac:dyDescent="0.25">
      <c r="A303" t="s">
        <v>637</v>
      </c>
      <c r="B303" t="s">
        <v>638</v>
      </c>
      <c r="C303" t="s">
        <v>14</v>
      </c>
      <c r="D303" t="s">
        <v>37</v>
      </c>
      <c r="E303">
        <v>22</v>
      </c>
      <c r="F303" t="s">
        <v>42</v>
      </c>
      <c r="G303" t="s">
        <v>46</v>
      </c>
      <c r="H303" t="str" cm="1">
        <f t="array" ref="H303">_xlfn.IFS(I303&lt;30000,"Low",I303&lt;60000,"Medium",I303&lt;100000,"High",TRUE,"Premium")</f>
        <v>High</v>
      </c>
      <c r="I303" s="2">
        <v>95897</v>
      </c>
      <c r="J303" t="s">
        <v>18</v>
      </c>
      <c r="K303" t="str" cm="1">
        <f t="array" ref="K303">_xlfn.IFS(Table1[[#This Row],[tenure]]&lt;=2,"New",Table1[[#This Row],[tenure]]&lt;=5,"Emerging",Table1[[#This Row],[tenure]]&lt;=8,"Loyal",Table1[[#This Row],[tenure]]&lt;=10,"Legacy")</f>
        <v>Emerging</v>
      </c>
      <c r="L303" t="str">
        <f>TEXT(Table1[[#This Row],[Join_Date]],"mmm-yyyy")</f>
        <v>Oct-2021</v>
      </c>
      <c r="M303">
        <v>4</v>
      </c>
      <c r="N303">
        <f>YEAR(Table1[[#This Row],[Join_Date]])</f>
        <v>2021</v>
      </c>
      <c r="O303" s="1">
        <v>44473</v>
      </c>
      <c r="P303" s="1"/>
    </row>
    <row r="304" spans="1:16" x14ac:dyDescent="0.25">
      <c r="A304" t="s">
        <v>639</v>
      </c>
      <c r="B304" t="s">
        <v>640</v>
      </c>
      <c r="C304" t="s">
        <v>14</v>
      </c>
      <c r="D304" t="s">
        <v>23</v>
      </c>
      <c r="E304">
        <v>52</v>
      </c>
      <c r="F304" t="s">
        <v>38</v>
      </c>
      <c r="G304" t="s">
        <v>17</v>
      </c>
      <c r="H304" t="str" cm="1">
        <f t="array" ref="H304">_xlfn.IFS(I304&lt;30000,"Low",I304&lt;60000,"Medium",I304&lt;100000,"High",TRUE,"Premium")</f>
        <v>Premium</v>
      </c>
      <c r="I304" s="2">
        <v>147118</v>
      </c>
      <c r="J304" t="s">
        <v>26</v>
      </c>
      <c r="K304" t="str" cm="1">
        <f t="array" ref="K304">_xlfn.IFS(Table1[[#This Row],[tenure]]&lt;=2,"New",Table1[[#This Row],[tenure]]&lt;=5,"Emerging",Table1[[#This Row],[tenure]]&lt;=8,"Loyal",Table1[[#This Row],[tenure]]&lt;=10,"Legacy")</f>
        <v>Emerging</v>
      </c>
      <c r="L304" t="str">
        <f>TEXT(Table1[[#This Row],[Join_Date]],"mmm-yyyy")</f>
        <v>Jan-2023</v>
      </c>
      <c r="M304">
        <v>3</v>
      </c>
      <c r="N304">
        <f>YEAR(Table1[[#This Row],[Join_Date]])</f>
        <v>2023</v>
      </c>
      <c r="O304" s="1">
        <v>44957</v>
      </c>
      <c r="P304" s="1"/>
    </row>
    <row r="305" spans="1:16" x14ac:dyDescent="0.25">
      <c r="A305" t="s">
        <v>641</v>
      </c>
      <c r="B305" t="s">
        <v>642</v>
      </c>
      <c r="C305" t="s">
        <v>22</v>
      </c>
      <c r="D305" t="s">
        <v>15</v>
      </c>
      <c r="E305">
        <v>40</v>
      </c>
      <c r="F305" t="s">
        <v>24</v>
      </c>
      <c r="G305" t="s">
        <v>34</v>
      </c>
      <c r="H305" t="str" cm="1">
        <f t="array" ref="H305">_xlfn.IFS(I305&lt;30000,"Low",I305&lt;60000,"Medium",I305&lt;100000,"High",TRUE,"Premium")</f>
        <v>High</v>
      </c>
      <c r="I305" s="2">
        <v>88577</v>
      </c>
      <c r="J305" t="s">
        <v>26</v>
      </c>
      <c r="K305" t="str" cm="1">
        <f t="array" ref="K305">_xlfn.IFS(Table1[[#This Row],[tenure]]&lt;=2,"New",Table1[[#This Row],[tenure]]&lt;=5,"Emerging",Table1[[#This Row],[tenure]]&lt;=8,"Loyal",Table1[[#This Row],[tenure]]&lt;=10,"Legacy")</f>
        <v>Loyal</v>
      </c>
      <c r="L305" t="str">
        <f>TEXT(Table1[[#This Row],[Join_Date]],"mmm-yyyy")</f>
        <v>May-2018</v>
      </c>
      <c r="M305">
        <v>7</v>
      </c>
      <c r="N305">
        <f>YEAR(Table1[[#This Row],[Join_Date]])</f>
        <v>2018</v>
      </c>
      <c r="O305" s="1">
        <v>43251</v>
      </c>
      <c r="P305" s="1"/>
    </row>
    <row r="306" spans="1:16" x14ac:dyDescent="0.25">
      <c r="A306" t="s">
        <v>643</v>
      </c>
      <c r="B306" t="s">
        <v>644</v>
      </c>
      <c r="C306" t="s">
        <v>22</v>
      </c>
      <c r="D306" t="s">
        <v>23</v>
      </c>
      <c r="E306">
        <v>46</v>
      </c>
      <c r="F306" t="s">
        <v>38</v>
      </c>
      <c r="G306" t="s">
        <v>25</v>
      </c>
      <c r="H306" t="str" cm="1">
        <f t="array" ref="H306">_xlfn.IFS(I306&lt;30000,"Low",I306&lt;60000,"Medium",I306&lt;100000,"High",TRUE,"Premium")</f>
        <v>Low</v>
      </c>
      <c r="I306" s="2">
        <v>29078</v>
      </c>
      <c r="J306" t="s">
        <v>26</v>
      </c>
      <c r="K306" t="str" cm="1">
        <f t="array" ref="K306">_xlfn.IFS(Table1[[#This Row],[tenure]]&lt;=2,"New",Table1[[#This Row],[tenure]]&lt;=5,"Emerging",Table1[[#This Row],[tenure]]&lt;=8,"Loyal",Table1[[#This Row],[tenure]]&lt;=10,"Legacy")</f>
        <v>Loyal</v>
      </c>
      <c r="L306" t="str">
        <f>TEXT(Table1[[#This Row],[Join_Date]],"mmm-yyyy")</f>
        <v>Nov-2017</v>
      </c>
      <c r="M306">
        <v>8</v>
      </c>
      <c r="N306">
        <f>YEAR(Table1[[#This Row],[Join_Date]])</f>
        <v>2017</v>
      </c>
      <c r="O306" s="1">
        <v>43041</v>
      </c>
      <c r="P306" s="1"/>
    </row>
    <row r="307" spans="1:16" x14ac:dyDescent="0.25">
      <c r="A307" t="s">
        <v>645</v>
      </c>
      <c r="B307" t="s">
        <v>646</v>
      </c>
      <c r="C307" t="s">
        <v>14</v>
      </c>
      <c r="D307" t="s">
        <v>23</v>
      </c>
      <c r="E307">
        <v>60</v>
      </c>
      <c r="F307" t="s">
        <v>16</v>
      </c>
      <c r="G307" t="s">
        <v>17</v>
      </c>
      <c r="H307" t="str" cm="1">
        <f t="array" ref="H307">_xlfn.IFS(I307&lt;30000,"Low",I307&lt;60000,"Medium",I307&lt;100000,"High",TRUE,"Premium")</f>
        <v>Premium</v>
      </c>
      <c r="I307" s="2">
        <v>176075</v>
      </c>
      <c r="J307" t="s">
        <v>18</v>
      </c>
      <c r="K307" t="str" cm="1">
        <f t="array" ref="K307">_xlfn.IFS(Table1[[#This Row],[tenure]]&lt;=2,"New",Table1[[#This Row],[tenure]]&lt;=5,"Emerging",Table1[[#This Row],[tenure]]&lt;=8,"Loyal",Table1[[#This Row],[tenure]]&lt;=10,"Legacy")</f>
        <v>Loyal</v>
      </c>
      <c r="L307" t="str">
        <f>TEXT(Table1[[#This Row],[Join_Date]],"mmm-yyyy")</f>
        <v>Jun-2018</v>
      </c>
      <c r="M307">
        <v>7</v>
      </c>
      <c r="N307">
        <f>YEAR(Table1[[#This Row],[Join_Date]])</f>
        <v>2018</v>
      </c>
      <c r="O307" s="1">
        <v>43261</v>
      </c>
      <c r="P307" s="1"/>
    </row>
    <row r="308" spans="1:16" x14ac:dyDescent="0.25">
      <c r="A308" t="s">
        <v>647</v>
      </c>
      <c r="B308" t="s">
        <v>648</v>
      </c>
      <c r="C308" t="s">
        <v>22</v>
      </c>
      <c r="D308" t="s">
        <v>37</v>
      </c>
      <c r="E308">
        <v>28</v>
      </c>
      <c r="F308" t="s">
        <v>38</v>
      </c>
      <c r="G308" t="s">
        <v>29</v>
      </c>
      <c r="H308" t="str" cm="1">
        <f t="array" ref="H308">_xlfn.IFS(I308&lt;30000,"Low",I308&lt;60000,"Medium",I308&lt;100000,"High",TRUE,"Premium")</f>
        <v>High</v>
      </c>
      <c r="I308" s="2">
        <v>82768</v>
      </c>
      <c r="J308" t="s">
        <v>18</v>
      </c>
      <c r="K308" t="str" cm="1">
        <f t="array" ref="K308">_xlfn.IFS(Table1[[#This Row],[tenure]]&lt;=2,"New",Table1[[#This Row],[tenure]]&lt;=5,"Emerging",Table1[[#This Row],[tenure]]&lt;=8,"Loyal",Table1[[#This Row],[tenure]]&lt;=10,"Legacy")</f>
        <v>Legacy</v>
      </c>
      <c r="L308" t="str">
        <f>TEXT(Table1[[#This Row],[Join_Date]],"mmm-yyyy")</f>
        <v>Oct-2015</v>
      </c>
      <c r="M308">
        <v>10</v>
      </c>
      <c r="N308">
        <f>YEAR(Table1[[#This Row],[Join_Date]])</f>
        <v>2015</v>
      </c>
      <c r="O308" s="1">
        <v>42293</v>
      </c>
      <c r="P308" s="1"/>
    </row>
    <row r="309" spans="1:16" x14ac:dyDescent="0.25">
      <c r="A309" t="s">
        <v>649</v>
      </c>
      <c r="B309" t="s">
        <v>650</v>
      </c>
      <c r="C309" t="s">
        <v>22</v>
      </c>
      <c r="D309" t="s">
        <v>15</v>
      </c>
      <c r="E309">
        <v>35</v>
      </c>
      <c r="F309" t="s">
        <v>16</v>
      </c>
      <c r="G309" t="s">
        <v>34</v>
      </c>
      <c r="H309" t="str" cm="1">
        <f t="array" ref="H309">_xlfn.IFS(I309&lt;30000,"Low",I309&lt;60000,"Medium",I309&lt;100000,"High",TRUE,"Premium")</f>
        <v>High</v>
      </c>
      <c r="I309" s="2">
        <v>71047</v>
      </c>
      <c r="J309" t="s">
        <v>18</v>
      </c>
      <c r="K309" t="str" cm="1">
        <f t="array" ref="K309">_xlfn.IFS(Table1[[#This Row],[tenure]]&lt;=2,"New",Table1[[#This Row],[tenure]]&lt;=5,"Emerging",Table1[[#This Row],[tenure]]&lt;=8,"Loyal",Table1[[#This Row],[tenure]]&lt;=10,"Legacy")</f>
        <v>Legacy</v>
      </c>
      <c r="L309" t="str">
        <f>TEXT(Table1[[#This Row],[Join_Date]],"mmm-yyyy")</f>
        <v>Aug-2015</v>
      </c>
      <c r="M309">
        <v>10</v>
      </c>
      <c r="N309">
        <f>YEAR(Table1[[#This Row],[Join_Date]])</f>
        <v>2015</v>
      </c>
      <c r="O309" s="1">
        <v>42239</v>
      </c>
      <c r="P309" s="1"/>
    </row>
    <row r="310" spans="1:16" x14ac:dyDescent="0.25">
      <c r="A310" t="s">
        <v>651</v>
      </c>
      <c r="B310" t="s">
        <v>652</v>
      </c>
      <c r="C310" t="s">
        <v>22</v>
      </c>
      <c r="D310" t="s">
        <v>54</v>
      </c>
      <c r="E310">
        <v>64</v>
      </c>
      <c r="F310" t="s">
        <v>38</v>
      </c>
      <c r="G310" t="s">
        <v>34</v>
      </c>
      <c r="H310" t="str" cm="1">
        <f t="array" ref="H310">_xlfn.IFS(I310&lt;30000,"Low",I310&lt;60000,"Medium",I310&lt;100000,"High",TRUE,"Premium")</f>
        <v>High</v>
      </c>
      <c r="I310" s="2">
        <v>91626</v>
      </c>
      <c r="J310" t="s">
        <v>18</v>
      </c>
      <c r="K310" t="str" cm="1">
        <f t="array" ref="K310">_xlfn.IFS(Table1[[#This Row],[tenure]]&lt;=2,"New",Table1[[#This Row],[tenure]]&lt;=5,"Emerging",Table1[[#This Row],[tenure]]&lt;=8,"Loyal",Table1[[#This Row],[tenure]]&lt;=10,"Legacy")</f>
        <v>Legacy</v>
      </c>
      <c r="L310" t="str">
        <f>TEXT(Table1[[#This Row],[Join_Date]],"mmm-yyyy")</f>
        <v>May-2016</v>
      </c>
      <c r="M310">
        <v>9</v>
      </c>
      <c r="N310">
        <f>YEAR(Table1[[#This Row],[Join_Date]])</f>
        <v>2016</v>
      </c>
      <c r="O310" s="1">
        <v>42506</v>
      </c>
      <c r="P310" s="1"/>
    </row>
    <row r="311" spans="1:16" x14ac:dyDescent="0.25">
      <c r="A311" t="s">
        <v>653</v>
      </c>
      <c r="B311" t="s">
        <v>654</v>
      </c>
      <c r="C311" t="s">
        <v>22</v>
      </c>
      <c r="D311" t="s">
        <v>15</v>
      </c>
      <c r="E311">
        <v>29</v>
      </c>
      <c r="F311" t="s">
        <v>24</v>
      </c>
      <c r="G311" t="s">
        <v>17</v>
      </c>
      <c r="H311" t="str" cm="1">
        <f t="array" ref="H311">_xlfn.IFS(I311&lt;30000,"Low",I311&lt;60000,"Medium",I311&lt;100000,"High",TRUE,"Premium")</f>
        <v>High</v>
      </c>
      <c r="I311" s="2">
        <v>77660</v>
      </c>
      <c r="J311" t="s">
        <v>18</v>
      </c>
      <c r="K311" t="str" cm="1">
        <f t="array" ref="K311">_xlfn.IFS(Table1[[#This Row],[tenure]]&lt;=2,"New",Table1[[#This Row],[tenure]]&lt;=5,"Emerging",Table1[[#This Row],[tenure]]&lt;=8,"Loyal",Table1[[#This Row],[tenure]]&lt;=10,"Legacy")</f>
        <v>Legacy</v>
      </c>
      <c r="L311" t="str">
        <f>TEXT(Table1[[#This Row],[Join_Date]],"mmm-yyyy")</f>
        <v>Dec-2016</v>
      </c>
      <c r="M311">
        <v>9</v>
      </c>
      <c r="N311">
        <f>YEAR(Table1[[#This Row],[Join_Date]])</f>
        <v>2016</v>
      </c>
      <c r="O311" s="1">
        <v>42720</v>
      </c>
      <c r="P311" s="1"/>
    </row>
    <row r="312" spans="1:16" x14ac:dyDescent="0.25">
      <c r="A312" t="s">
        <v>655</v>
      </c>
      <c r="B312" t="s">
        <v>656</v>
      </c>
      <c r="C312" t="s">
        <v>22</v>
      </c>
      <c r="D312" t="s">
        <v>37</v>
      </c>
      <c r="E312">
        <v>26</v>
      </c>
      <c r="F312" t="s">
        <v>16</v>
      </c>
      <c r="G312" t="s">
        <v>17</v>
      </c>
      <c r="H312" t="str" cm="1">
        <f t="array" ref="H312">_xlfn.IFS(I312&lt;30000,"Low",I312&lt;60000,"Medium",I312&lt;100000,"High",TRUE,"Premium")</f>
        <v>Premium</v>
      </c>
      <c r="I312" s="2">
        <v>152997</v>
      </c>
      <c r="J312" t="s">
        <v>26</v>
      </c>
      <c r="K312" t="str" cm="1">
        <f t="array" ref="K312">_xlfn.IFS(Table1[[#This Row],[tenure]]&lt;=2,"New",Table1[[#This Row],[tenure]]&lt;=5,"Emerging",Table1[[#This Row],[tenure]]&lt;=8,"Loyal",Table1[[#This Row],[tenure]]&lt;=10,"Legacy")</f>
        <v>Loyal</v>
      </c>
      <c r="L312" t="str">
        <f>TEXT(Table1[[#This Row],[Join_Date]],"mmm-yyyy")</f>
        <v>May-2017</v>
      </c>
      <c r="M312">
        <v>8</v>
      </c>
      <c r="N312">
        <f>YEAR(Table1[[#This Row],[Join_Date]])</f>
        <v>2017</v>
      </c>
      <c r="O312" s="1">
        <v>42861</v>
      </c>
      <c r="P312" s="1"/>
    </row>
    <row r="313" spans="1:16" x14ac:dyDescent="0.25">
      <c r="A313" t="s">
        <v>657</v>
      </c>
      <c r="B313" t="s">
        <v>658</v>
      </c>
      <c r="C313" t="s">
        <v>14</v>
      </c>
      <c r="D313" t="s">
        <v>37</v>
      </c>
      <c r="E313">
        <v>27</v>
      </c>
      <c r="F313" t="s">
        <v>42</v>
      </c>
      <c r="G313" t="s">
        <v>25</v>
      </c>
      <c r="H313" t="str" cm="1">
        <f t="array" ref="H313">_xlfn.IFS(I313&lt;30000,"Low",I313&lt;60000,"Medium",I313&lt;100000,"High",TRUE,"Premium")</f>
        <v>Premium</v>
      </c>
      <c r="I313" s="2">
        <v>137832</v>
      </c>
      <c r="J313" t="s">
        <v>18</v>
      </c>
      <c r="K313" t="str" cm="1">
        <f t="array" ref="K313">_xlfn.IFS(Table1[[#This Row],[tenure]]&lt;=2,"New",Table1[[#This Row],[tenure]]&lt;=5,"Emerging",Table1[[#This Row],[tenure]]&lt;=8,"Loyal",Table1[[#This Row],[tenure]]&lt;=10,"Legacy")</f>
        <v>Loyal</v>
      </c>
      <c r="L313" t="str">
        <f>TEXT(Table1[[#This Row],[Join_Date]],"mmm-yyyy")</f>
        <v>Oct-2019</v>
      </c>
      <c r="M313">
        <v>6</v>
      </c>
      <c r="N313">
        <f>YEAR(Table1[[#This Row],[Join_Date]])</f>
        <v>2019</v>
      </c>
      <c r="O313" s="1">
        <v>43767</v>
      </c>
      <c r="P313" s="1"/>
    </row>
    <row r="314" spans="1:16" x14ac:dyDescent="0.25">
      <c r="A314" t="s">
        <v>659</v>
      </c>
      <c r="B314" t="s">
        <v>660</v>
      </c>
      <c r="C314" t="s">
        <v>22</v>
      </c>
      <c r="D314" t="s">
        <v>54</v>
      </c>
      <c r="E314">
        <v>61</v>
      </c>
      <c r="F314" t="s">
        <v>42</v>
      </c>
      <c r="G314" t="s">
        <v>46</v>
      </c>
      <c r="H314" t="str" cm="1">
        <f t="array" ref="H314">_xlfn.IFS(I314&lt;30000,"Low",I314&lt;60000,"Medium",I314&lt;100000,"High",TRUE,"Premium")</f>
        <v>Premium</v>
      </c>
      <c r="I314" s="2">
        <v>150406</v>
      </c>
      <c r="J314" t="s">
        <v>18</v>
      </c>
      <c r="K314" t="str" cm="1">
        <f t="array" ref="K314">_xlfn.IFS(Table1[[#This Row],[tenure]]&lt;=2,"New",Table1[[#This Row],[tenure]]&lt;=5,"Emerging",Table1[[#This Row],[tenure]]&lt;=8,"Loyal",Table1[[#This Row],[tenure]]&lt;=10,"Legacy")</f>
        <v>Loyal</v>
      </c>
      <c r="L314" t="str">
        <f>TEXT(Table1[[#This Row],[Join_Date]],"mmm-yyyy")</f>
        <v>Apr-2019</v>
      </c>
      <c r="M314">
        <v>6</v>
      </c>
      <c r="N314">
        <f>YEAR(Table1[[#This Row],[Join_Date]])</f>
        <v>2019</v>
      </c>
      <c r="O314" s="1">
        <v>43566</v>
      </c>
      <c r="P314" s="1"/>
    </row>
    <row r="315" spans="1:16" x14ac:dyDescent="0.25">
      <c r="A315" t="s">
        <v>661</v>
      </c>
      <c r="B315" t="s">
        <v>662</v>
      </c>
      <c r="C315" t="s">
        <v>14</v>
      </c>
      <c r="D315" t="s">
        <v>15</v>
      </c>
      <c r="E315">
        <v>34</v>
      </c>
      <c r="F315" t="s">
        <v>38</v>
      </c>
      <c r="G315" t="s">
        <v>17</v>
      </c>
      <c r="H315" t="str" cm="1">
        <f t="array" ref="H315">_xlfn.IFS(I315&lt;30000,"Low",I315&lt;60000,"Medium",I315&lt;100000,"High",TRUE,"Premium")</f>
        <v>Premium</v>
      </c>
      <c r="I315" s="2">
        <v>145150</v>
      </c>
      <c r="J315" t="s">
        <v>18</v>
      </c>
      <c r="K315" t="str" cm="1">
        <f t="array" ref="K315">_xlfn.IFS(Table1[[#This Row],[tenure]]&lt;=2,"New",Table1[[#This Row],[tenure]]&lt;=5,"Emerging",Table1[[#This Row],[tenure]]&lt;=8,"Loyal",Table1[[#This Row],[tenure]]&lt;=10,"Legacy")</f>
        <v>Emerging</v>
      </c>
      <c r="L315" t="str">
        <f>TEXT(Table1[[#This Row],[Join_Date]],"mmm-yyyy")</f>
        <v>Jun-2022</v>
      </c>
      <c r="M315">
        <v>3</v>
      </c>
      <c r="N315">
        <f>YEAR(Table1[[#This Row],[Join_Date]])</f>
        <v>2022</v>
      </c>
      <c r="O315" s="1">
        <v>44714</v>
      </c>
      <c r="P315" s="1"/>
    </row>
    <row r="316" spans="1:16" x14ac:dyDescent="0.25">
      <c r="A316" t="s">
        <v>663</v>
      </c>
      <c r="B316" t="s">
        <v>664</v>
      </c>
      <c r="C316" t="s">
        <v>14</v>
      </c>
      <c r="D316" t="s">
        <v>23</v>
      </c>
      <c r="E316">
        <v>55</v>
      </c>
      <c r="F316" t="s">
        <v>42</v>
      </c>
      <c r="G316" t="s">
        <v>51</v>
      </c>
      <c r="H316" t="str" cm="1">
        <f t="array" ref="H316">_xlfn.IFS(I316&lt;30000,"Low",I316&lt;60000,"Medium",I316&lt;100000,"High",TRUE,"Premium")</f>
        <v>Premium</v>
      </c>
      <c r="I316" s="2">
        <v>177087</v>
      </c>
      <c r="J316" t="s">
        <v>18</v>
      </c>
      <c r="K316" t="str" cm="1">
        <f t="array" ref="K316">_xlfn.IFS(Table1[[#This Row],[tenure]]&lt;=2,"New",Table1[[#This Row],[tenure]]&lt;=5,"Emerging",Table1[[#This Row],[tenure]]&lt;=8,"Loyal",Table1[[#This Row],[tenure]]&lt;=10,"Legacy")</f>
        <v>New</v>
      </c>
      <c r="L316" t="str">
        <f>TEXT(Table1[[#This Row],[Join_Date]],"mmm-yyyy")</f>
        <v>May-2025</v>
      </c>
      <c r="M316">
        <v>0</v>
      </c>
      <c r="N316">
        <f>YEAR(Table1[[#This Row],[Join_Date]])</f>
        <v>2025</v>
      </c>
      <c r="O316" s="1">
        <v>45794</v>
      </c>
      <c r="P316" s="1"/>
    </row>
    <row r="317" spans="1:16" x14ac:dyDescent="0.25">
      <c r="A317" t="s">
        <v>665</v>
      </c>
      <c r="B317" t="s">
        <v>666</v>
      </c>
      <c r="C317" t="s">
        <v>22</v>
      </c>
      <c r="D317" t="s">
        <v>37</v>
      </c>
      <c r="E317">
        <v>24</v>
      </c>
      <c r="F317" t="s">
        <v>16</v>
      </c>
      <c r="G317" t="s">
        <v>17</v>
      </c>
      <c r="H317" t="str" cm="1">
        <f t="array" ref="H317">_xlfn.IFS(I317&lt;30000,"Low",I317&lt;60000,"Medium",I317&lt;100000,"High",TRUE,"Premium")</f>
        <v>Medium</v>
      </c>
      <c r="I317" s="2">
        <v>53320</v>
      </c>
      <c r="J317" t="s">
        <v>18</v>
      </c>
      <c r="K317" t="str" cm="1">
        <f t="array" ref="K317">_xlfn.IFS(Table1[[#This Row],[tenure]]&lt;=2,"New",Table1[[#This Row],[tenure]]&lt;=5,"Emerging",Table1[[#This Row],[tenure]]&lt;=8,"Loyal",Table1[[#This Row],[tenure]]&lt;=10,"Legacy")</f>
        <v>New</v>
      </c>
      <c r="L317" t="str">
        <f>TEXT(Table1[[#This Row],[Join_Date]],"mmm-yyyy")</f>
        <v>May-2023</v>
      </c>
      <c r="M317">
        <v>2</v>
      </c>
      <c r="N317">
        <f>YEAR(Table1[[#This Row],[Join_Date]])</f>
        <v>2023</v>
      </c>
      <c r="O317" s="1">
        <v>45058</v>
      </c>
      <c r="P317" s="1"/>
    </row>
    <row r="318" spans="1:16" x14ac:dyDescent="0.25">
      <c r="A318" t="s">
        <v>667</v>
      </c>
      <c r="B318" t="s">
        <v>668</v>
      </c>
      <c r="C318" t="s">
        <v>14</v>
      </c>
      <c r="D318" t="s">
        <v>54</v>
      </c>
      <c r="E318">
        <v>63</v>
      </c>
      <c r="F318" t="s">
        <v>42</v>
      </c>
      <c r="G318" t="s">
        <v>39</v>
      </c>
      <c r="H318" t="str" cm="1">
        <f t="array" ref="H318">_xlfn.IFS(I318&lt;30000,"Low",I318&lt;60000,"Medium",I318&lt;100000,"High",TRUE,"Premium")</f>
        <v>High</v>
      </c>
      <c r="I318" s="2">
        <v>84881</v>
      </c>
      <c r="J318" t="s">
        <v>30</v>
      </c>
      <c r="K318" t="str" cm="1">
        <f t="array" ref="K318">_xlfn.IFS(Table1[[#This Row],[tenure]]&lt;=2,"New",Table1[[#This Row],[tenure]]&lt;=5,"Emerging",Table1[[#This Row],[tenure]]&lt;=8,"Loyal",Table1[[#This Row],[tenure]]&lt;=10,"Legacy")</f>
        <v>Emerging</v>
      </c>
      <c r="L318" t="str">
        <f>TEXT(Table1[[#This Row],[Join_Date]],"mmm-yyyy")</f>
        <v>Mar-2022</v>
      </c>
      <c r="M318">
        <v>3</v>
      </c>
      <c r="N318">
        <f>YEAR(Table1[[#This Row],[Join_Date]])</f>
        <v>2022</v>
      </c>
      <c r="O318" s="1">
        <v>44650</v>
      </c>
      <c r="P318" s="1"/>
    </row>
    <row r="319" spans="1:16" x14ac:dyDescent="0.25">
      <c r="A319" t="s">
        <v>669</v>
      </c>
      <c r="B319" t="s">
        <v>670</v>
      </c>
      <c r="C319" t="s">
        <v>14</v>
      </c>
      <c r="D319" t="s">
        <v>15</v>
      </c>
      <c r="E319">
        <v>30</v>
      </c>
      <c r="F319" t="s">
        <v>24</v>
      </c>
      <c r="G319" t="s">
        <v>29</v>
      </c>
      <c r="H319" t="str" cm="1">
        <f t="array" ref="H319">_xlfn.IFS(I319&lt;30000,"Low",I319&lt;60000,"Medium",I319&lt;100000,"High",TRUE,"Premium")</f>
        <v>Premium</v>
      </c>
      <c r="I319" s="2">
        <v>110827</v>
      </c>
      <c r="J319" t="s">
        <v>26</v>
      </c>
      <c r="K319" t="str" cm="1">
        <f t="array" ref="K319">_xlfn.IFS(Table1[[#This Row],[tenure]]&lt;=2,"New",Table1[[#This Row],[tenure]]&lt;=5,"Emerging",Table1[[#This Row],[tenure]]&lt;=8,"Loyal",Table1[[#This Row],[tenure]]&lt;=10,"Legacy")</f>
        <v>Legacy</v>
      </c>
      <c r="L319" t="str">
        <f>TEXT(Table1[[#This Row],[Join_Date]],"mmm-yyyy")</f>
        <v>Jan-2016</v>
      </c>
      <c r="M319">
        <v>10</v>
      </c>
      <c r="N319">
        <f>YEAR(Table1[[#This Row],[Join_Date]])</f>
        <v>2016</v>
      </c>
      <c r="O319" s="1">
        <v>42381</v>
      </c>
      <c r="P319" s="1"/>
    </row>
    <row r="320" spans="1:16" x14ac:dyDescent="0.25">
      <c r="A320" t="s">
        <v>671</v>
      </c>
      <c r="B320" t="s">
        <v>672</v>
      </c>
      <c r="C320" t="s">
        <v>14</v>
      </c>
      <c r="D320" t="s">
        <v>23</v>
      </c>
      <c r="E320">
        <v>57</v>
      </c>
      <c r="F320" t="s">
        <v>24</v>
      </c>
      <c r="G320" t="s">
        <v>51</v>
      </c>
      <c r="H320" t="str" cm="1">
        <f t="array" ref="H320">_xlfn.IFS(I320&lt;30000,"Low",I320&lt;60000,"Medium",I320&lt;100000,"High",TRUE,"Premium")</f>
        <v>Premium</v>
      </c>
      <c r="I320" s="2">
        <v>122215</v>
      </c>
      <c r="J320" t="s">
        <v>30</v>
      </c>
      <c r="K320" t="str" cm="1">
        <f t="array" ref="K320">_xlfn.IFS(Table1[[#This Row],[tenure]]&lt;=2,"New",Table1[[#This Row],[tenure]]&lt;=5,"Emerging",Table1[[#This Row],[tenure]]&lt;=8,"Loyal",Table1[[#This Row],[tenure]]&lt;=10,"Legacy")</f>
        <v>Loyal</v>
      </c>
      <c r="L320" t="str">
        <f>TEXT(Table1[[#This Row],[Join_Date]],"mmm-yyyy")</f>
        <v>Jun-2019</v>
      </c>
      <c r="M320">
        <v>6</v>
      </c>
      <c r="N320">
        <f>YEAR(Table1[[#This Row],[Join_Date]])</f>
        <v>2019</v>
      </c>
      <c r="O320" s="1">
        <v>43637</v>
      </c>
      <c r="P320" s="1"/>
    </row>
    <row r="321" spans="1:16" x14ac:dyDescent="0.25">
      <c r="A321" t="s">
        <v>673</v>
      </c>
      <c r="B321" t="s">
        <v>674</v>
      </c>
      <c r="C321" t="s">
        <v>22</v>
      </c>
      <c r="D321" t="s">
        <v>23</v>
      </c>
      <c r="E321">
        <v>59</v>
      </c>
      <c r="F321" t="s">
        <v>38</v>
      </c>
      <c r="G321" t="s">
        <v>51</v>
      </c>
      <c r="H321" t="str" cm="1">
        <f t="array" ref="H321">_xlfn.IFS(I321&lt;30000,"Low",I321&lt;60000,"Medium",I321&lt;100000,"High",TRUE,"Premium")</f>
        <v>Premium</v>
      </c>
      <c r="I321" s="2">
        <v>177361</v>
      </c>
      <c r="J321" t="s">
        <v>18</v>
      </c>
      <c r="K321" t="str" cm="1">
        <f t="array" ref="K321">_xlfn.IFS(Table1[[#This Row],[tenure]]&lt;=2,"New",Table1[[#This Row],[tenure]]&lt;=5,"Emerging",Table1[[#This Row],[tenure]]&lt;=8,"Loyal",Table1[[#This Row],[tenure]]&lt;=10,"Legacy")</f>
        <v>New</v>
      </c>
      <c r="L321" t="str">
        <f>TEXT(Table1[[#This Row],[Join_Date]],"mmm-yyyy")</f>
        <v>Sep-2023</v>
      </c>
      <c r="M321">
        <v>2</v>
      </c>
      <c r="N321">
        <f>YEAR(Table1[[#This Row],[Join_Date]])</f>
        <v>2023</v>
      </c>
      <c r="O321" s="1">
        <v>45185</v>
      </c>
      <c r="P321" s="1"/>
    </row>
    <row r="322" spans="1:16" x14ac:dyDescent="0.25">
      <c r="A322" t="s">
        <v>675</v>
      </c>
      <c r="B322" t="s">
        <v>676</v>
      </c>
      <c r="C322" t="s">
        <v>22</v>
      </c>
      <c r="D322" t="s">
        <v>37</v>
      </c>
      <c r="E322">
        <v>26</v>
      </c>
      <c r="F322" t="s">
        <v>16</v>
      </c>
      <c r="G322" t="s">
        <v>39</v>
      </c>
      <c r="H322" t="str" cm="1">
        <f t="array" ref="H322">_xlfn.IFS(I322&lt;30000,"Low",I322&lt;60000,"Medium",I322&lt;100000,"High",TRUE,"Premium")</f>
        <v>Premium</v>
      </c>
      <c r="I322" s="2">
        <v>154461</v>
      </c>
      <c r="J322" t="s">
        <v>18</v>
      </c>
      <c r="K322" t="str" cm="1">
        <f t="array" ref="K322">_xlfn.IFS(Table1[[#This Row],[tenure]]&lt;=2,"New",Table1[[#This Row],[tenure]]&lt;=5,"Emerging",Table1[[#This Row],[tenure]]&lt;=8,"Loyal",Table1[[#This Row],[tenure]]&lt;=10,"Legacy")</f>
        <v>Emerging</v>
      </c>
      <c r="L322" t="str">
        <f>TEXT(Table1[[#This Row],[Join_Date]],"mmm-yyyy")</f>
        <v>Dec-2022</v>
      </c>
      <c r="M322">
        <v>3</v>
      </c>
      <c r="N322">
        <f>YEAR(Table1[[#This Row],[Join_Date]])</f>
        <v>2022</v>
      </c>
      <c r="O322" s="1">
        <v>44900</v>
      </c>
      <c r="P322" s="1"/>
    </row>
    <row r="323" spans="1:16" x14ac:dyDescent="0.25">
      <c r="A323" t="s">
        <v>677</v>
      </c>
      <c r="B323" t="s">
        <v>678</v>
      </c>
      <c r="C323" t="s">
        <v>14</v>
      </c>
      <c r="D323" t="s">
        <v>54</v>
      </c>
      <c r="E323">
        <v>67</v>
      </c>
      <c r="F323" t="s">
        <v>24</v>
      </c>
      <c r="G323" t="s">
        <v>39</v>
      </c>
      <c r="H323" t="str" cm="1">
        <f t="array" ref="H323">_xlfn.IFS(I323&lt;30000,"Low",I323&lt;60000,"Medium",I323&lt;100000,"High",TRUE,"Premium")</f>
        <v>Premium</v>
      </c>
      <c r="I323" s="2">
        <v>176755</v>
      </c>
      <c r="J323" t="s">
        <v>18</v>
      </c>
      <c r="K323" t="str" cm="1">
        <f t="array" ref="K323">_xlfn.IFS(Table1[[#This Row],[tenure]]&lt;=2,"New",Table1[[#This Row],[tenure]]&lt;=5,"Emerging",Table1[[#This Row],[tenure]]&lt;=8,"Loyal",Table1[[#This Row],[tenure]]&lt;=10,"Legacy")</f>
        <v>Loyal</v>
      </c>
      <c r="L323" t="str">
        <f>TEXT(Table1[[#This Row],[Join_Date]],"mmm-yyyy")</f>
        <v>May-2019</v>
      </c>
      <c r="M323">
        <v>6</v>
      </c>
      <c r="N323">
        <f>YEAR(Table1[[#This Row],[Join_Date]])</f>
        <v>2019</v>
      </c>
      <c r="O323" s="1">
        <v>43613</v>
      </c>
      <c r="P323" s="1"/>
    </row>
    <row r="324" spans="1:16" x14ac:dyDescent="0.25">
      <c r="A324" t="s">
        <v>679</v>
      </c>
      <c r="B324" t="s">
        <v>680</v>
      </c>
      <c r="C324" t="s">
        <v>22</v>
      </c>
      <c r="D324" t="s">
        <v>15</v>
      </c>
      <c r="E324">
        <v>44</v>
      </c>
      <c r="F324" t="s">
        <v>24</v>
      </c>
      <c r="G324" t="s">
        <v>34</v>
      </c>
      <c r="H324" t="str" cm="1">
        <f t="array" ref="H324">_xlfn.IFS(I324&lt;30000,"Low",I324&lt;60000,"Medium",I324&lt;100000,"High",TRUE,"Premium")</f>
        <v>Premium</v>
      </c>
      <c r="I324" s="2">
        <v>164701</v>
      </c>
      <c r="J324" t="s">
        <v>18</v>
      </c>
      <c r="K324" t="str" cm="1">
        <f t="array" ref="K324">_xlfn.IFS(Table1[[#This Row],[tenure]]&lt;=2,"New",Table1[[#This Row],[tenure]]&lt;=5,"Emerging",Table1[[#This Row],[tenure]]&lt;=8,"Loyal",Table1[[#This Row],[tenure]]&lt;=10,"Legacy")</f>
        <v>Loyal</v>
      </c>
      <c r="L324" t="str">
        <f>TEXT(Table1[[#This Row],[Join_Date]],"mmm-yyyy")</f>
        <v>Sep-2018</v>
      </c>
      <c r="M324">
        <v>7</v>
      </c>
      <c r="N324">
        <f>YEAR(Table1[[#This Row],[Join_Date]])</f>
        <v>2018</v>
      </c>
      <c r="O324" s="1">
        <v>43365</v>
      </c>
      <c r="P324" s="1"/>
    </row>
    <row r="325" spans="1:16" x14ac:dyDescent="0.25">
      <c r="A325" t="s">
        <v>681</v>
      </c>
      <c r="B325" t="s">
        <v>682</v>
      </c>
      <c r="C325" t="s">
        <v>22</v>
      </c>
      <c r="D325" t="s">
        <v>37</v>
      </c>
      <c r="E325">
        <v>19</v>
      </c>
      <c r="F325" t="s">
        <v>16</v>
      </c>
      <c r="G325" t="s">
        <v>46</v>
      </c>
      <c r="H325" t="str" cm="1">
        <f t="array" ref="H325">_xlfn.IFS(I325&lt;30000,"Low",I325&lt;60000,"Medium",I325&lt;100000,"High",TRUE,"Premium")</f>
        <v>High</v>
      </c>
      <c r="I325" s="2">
        <v>81550</v>
      </c>
      <c r="J325" t="s">
        <v>26</v>
      </c>
      <c r="K325" t="str" cm="1">
        <f t="array" ref="K325">_xlfn.IFS(Table1[[#This Row],[tenure]]&lt;=2,"New",Table1[[#This Row],[tenure]]&lt;=5,"Emerging",Table1[[#This Row],[tenure]]&lt;=8,"Loyal",Table1[[#This Row],[tenure]]&lt;=10,"Legacy")</f>
        <v>Loyal</v>
      </c>
      <c r="L325" t="str">
        <f>TEXT(Table1[[#This Row],[Join_Date]],"mmm-yyyy")</f>
        <v>Mar-2017</v>
      </c>
      <c r="M325">
        <v>8</v>
      </c>
      <c r="N325">
        <f>YEAR(Table1[[#This Row],[Join_Date]])</f>
        <v>2017</v>
      </c>
      <c r="O325" s="1">
        <v>42817</v>
      </c>
      <c r="P325" s="1"/>
    </row>
    <row r="326" spans="1:16" x14ac:dyDescent="0.25">
      <c r="A326" t="s">
        <v>683</v>
      </c>
      <c r="B326" t="s">
        <v>684</v>
      </c>
      <c r="C326" t="s">
        <v>22</v>
      </c>
      <c r="D326" t="s">
        <v>37</v>
      </c>
      <c r="E326">
        <v>22</v>
      </c>
      <c r="F326" t="s">
        <v>42</v>
      </c>
      <c r="G326" t="s">
        <v>29</v>
      </c>
      <c r="H326" t="str" cm="1">
        <f t="array" ref="H326">_xlfn.IFS(I326&lt;30000,"Low",I326&lt;60000,"Medium",I326&lt;100000,"High",TRUE,"Premium")</f>
        <v>Medium</v>
      </c>
      <c r="I326" s="2">
        <v>44826</v>
      </c>
      <c r="J326" t="s">
        <v>18</v>
      </c>
      <c r="K326" t="str" cm="1">
        <f t="array" ref="K326">_xlfn.IFS(Table1[[#This Row],[tenure]]&lt;=2,"New",Table1[[#This Row],[tenure]]&lt;=5,"Emerging",Table1[[#This Row],[tenure]]&lt;=8,"Loyal",Table1[[#This Row],[tenure]]&lt;=10,"Legacy")</f>
        <v>Emerging</v>
      </c>
      <c r="L326" t="str">
        <f>TEXT(Table1[[#This Row],[Join_Date]],"mmm-yyyy")</f>
        <v>Mar-2022</v>
      </c>
      <c r="M326">
        <v>3</v>
      </c>
      <c r="N326">
        <f>YEAR(Table1[[#This Row],[Join_Date]])</f>
        <v>2022</v>
      </c>
      <c r="O326" s="1">
        <v>44640</v>
      </c>
      <c r="P326" s="1"/>
    </row>
    <row r="327" spans="1:16" x14ac:dyDescent="0.25">
      <c r="A327" t="s">
        <v>685</v>
      </c>
      <c r="B327" t="s">
        <v>686</v>
      </c>
      <c r="C327" t="s">
        <v>22</v>
      </c>
      <c r="D327" t="s">
        <v>23</v>
      </c>
      <c r="E327">
        <v>46</v>
      </c>
      <c r="F327" t="s">
        <v>42</v>
      </c>
      <c r="G327" t="s">
        <v>25</v>
      </c>
      <c r="H327" t="str" cm="1">
        <f t="array" ref="H327">_xlfn.IFS(I327&lt;30000,"Low",I327&lt;60000,"Medium",I327&lt;100000,"High",TRUE,"Premium")</f>
        <v>Premium</v>
      </c>
      <c r="I327" s="2">
        <v>120734</v>
      </c>
      <c r="J327" t="s">
        <v>18</v>
      </c>
      <c r="K327" t="str" cm="1">
        <f t="array" ref="K327">_xlfn.IFS(Table1[[#This Row],[tenure]]&lt;=2,"New",Table1[[#This Row],[tenure]]&lt;=5,"Emerging",Table1[[#This Row],[tenure]]&lt;=8,"Loyal",Table1[[#This Row],[tenure]]&lt;=10,"Legacy")</f>
        <v>Loyal</v>
      </c>
      <c r="L327" t="str">
        <f>TEXT(Table1[[#This Row],[Join_Date]],"mmm-yyyy")</f>
        <v>Jan-2020</v>
      </c>
      <c r="M327">
        <v>6</v>
      </c>
      <c r="N327">
        <f>YEAR(Table1[[#This Row],[Join_Date]])</f>
        <v>2020</v>
      </c>
      <c r="O327" s="1">
        <v>43847</v>
      </c>
      <c r="P327" s="1"/>
    </row>
    <row r="328" spans="1:16" x14ac:dyDescent="0.25">
      <c r="A328" t="s">
        <v>687</v>
      </c>
      <c r="B328" t="s">
        <v>688</v>
      </c>
      <c r="C328" t="s">
        <v>14</v>
      </c>
      <c r="D328" t="s">
        <v>23</v>
      </c>
      <c r="E328">
        <v>54</v>
      </c>
      <c r="F328" t="s">
        <v>38</v>
      </c>
      <c r="G328" t="s">
        <v>51</v>
      </c>
      <c r="H328" t="str" cm="1">
        <f t="array" ref="H328">_xlfn.IFS(I328&lt;30000,"Low",I328&lt;60000,"Medium",I328&lt;100000,"High",TRUE,"Premium")</f>
        <v>Premium</v>
      </c>
      <c r="I328" s="2">
        <v>177702</v>
      </c>
      <c r="J328" t="s">
        <v>18</v>
      </c>
      <c r="K328" t="str" cm="1">
        <f t="array" ref="K328">_xlfn.IFS(Table1[[#This Row],[tenure]]&lt;=2,"New",Table1[[#This Row],[tenure]]&lt;=5,"Emerging",Table1[[#This Row],[tenure]]&lt;=8,"Loyal",Table1[[#This Row],[tenure]]&lt;=10,"Legacy")</f>
        <v>New</v>
      </c>
      <c r="L328" t="str">
        <f>TEXT(Table1[[#This Row],[Join_Date]],"mmm-yyyy")</f>
        <v>Jul-2023</v>
      </c>
      <c r="M328">
        <v>2</v>
      </c>
      <c r="N328">
        <f>YEAR(Table1[[#This Row],[Join_Date]])</f>
        <v>2023</v>
      </c>
      <c r="O328" s="1">
        <v>45127</v>
      </c>
      <c r="P328" s="1"/>
    </row>
    <row r="329" spans="1:16" x14ac:dyDescent="0.25">
      <c r="A329" t="s">
        <v>689</v>
      </c>
      <c r="B329" t="s">
        <v>690</v>
      </c>
      <c r="C329" t="s">
        <v>14</v>
      </c>
      <c r="D329" t="s">
        <v>23</v>
      </c>
      <c r="E329">
        <v>55</v>
      </c>
      <c r="F329" t="s">
        <v>42</v>
      </c>
      <c r="G329" t="s">
        <v>25</v>
      </c>
      <c r="H329" t="str" cm="1">
        <f t="array" ref="H329">_xlfn.IFS(I329&lt;30000,"Low",I329&lt;60000,"Medium",I329&lt;100000,"High",TRUE,"Premium")</f>
        <v>Premium</v>
      </c>
      <c r="I329" s="2">
        <v>197235</v>
      </c>
      <c r="J329" t="s">
        <v>18</v>
      </c>
      <c r="K329" t="str" cm="1">
        <f t="array" ref="K329">_xlfn.IFS(Table1[[#This Row],[tenure]]&lt;=2,"New",Table1[[#This Row],[tenure]]&lt;=5,"Emerging",Table1[[#This Row],[tenure]]&lt;=8,"Loyal",Table1[[#This Row],[tenure]]&lt;=10,"Legacy")</f>
        <v>Emerging</v>
      </c>
      <c r="L329" t="str">
        <f>TEXT(Table1[[#This Row],[Join_Date]],"mmm-yyyy")</f>
        <v>Sep-2021</v>
      </c>
      <c r="M329">
        <v>4</v>
      </c>
      <c r="N329">
        <f>YEAR(Table1[[#This Row],[Join_Date]])</f>
        <v>2021</v>
      </c>
      <c r="O329" s="1">
        <v>44461</v>
      </c>
      <c r="P329" s="1"/>
    </row>
    <row r="330" spans="1:16" x14ac:dyDescent="0.25">
      <c r="A330" t="s">
        <v>691</v>
      </c>
      <c r="B330" t="s">
        <v>692</v>
      </c>
      <c r="C330" t="s">
        <v>22</v>
      </c>
      <c r="D330" t="s">
        <v>15</v>
      </c>
      <c r="E330">
        <v>36</v>
      </c>
      <c r="F330" t="s">
        <v>16</v>
      </c>
      <c r="G330" t="s">
        <v>17</v>
      </c>
      <c r="H330" t="str" cm="1">
        <f t="array" ref="H330">_xlfn.IFS(I330&lt;30000,"Low",I330&lt;60000,"Medium",I330&lt;100000,"High",TRUE,"Premium")</f>
        <v>Premium</v>
      </c>
      <c r="I330" s="2">
        <v>118511</v>
      </c>
      <c r="J330" t="s">
        <v>26</v>
      </c>
      <c r="K330" t="str" cm="1">
        <f t="array" ref="K330">_xlfn.IFS(Table1[[#This Row],[tenure]]&lt;=2,"New",Table1[[#This Row],[tenure]]&lt;=5,"Emerging",Table1[[#This Row],[tenure]]&lt;=8,"Loyal",Table1[[#This Row],[tenure]]&lt;=10,"Legacy")</f>
        <v>Emerging</v>
      </c>
      <c r="L330" t="str">
        <f>TEXT(Table1[[#This Row],[Join_Date]],"mmm-yyyy")</f>
        <v>Aug-2022</v>
      </c>
      <c r="M330">
        <v>3</v>
      </c>
      <c r="N330">
        <f>YEAR(Table1[[#This Row],[Join_Date]])</f>
        <v>2022</v>
      </c>
      <c r="O330" s="1">
        <v>44791</v>
      </c>
      <c r="P330" s="1"/>
    </row>
    <row r="331" spans="1:16" x14ac:dyDescent="0.25">
      <c r="A331" t="s">
        <v>693</v>
      </c>
      <c r="B331" t="s">
        <v>694</v>
      </c>
      <c r="C331" t="s">
        <v>22</v>
      </c>
      <c r="D331" t="s">
        <v>37</v>
      </c>
      <c r="E331">
        <v>25</v>
      </c>
      <c r="F331" t="s">
        <v>24</v>
      </c>
      <c r="G331" t="s">
        <v>17</v>
      </c>
      <c r="H331" t="str" cm="1">
        <f t="array" ref="H331">_xlfn.IFS(I331&lt;30000,"Low",I331&lt;60000,"Medium",I331&lt;100000,"High",TRUE,"Premium")</f>
        <v>Medium</v>
      </c>
      <c r="I331" s="2">
        <v>31653</v>
      </c>
      <c r="J331" t="s">
        <v>18</v>
      </c>
      <c r="K331" t="str" cm="1">
        <f t="array" ref="K331">_xlfn.IFS(Table1[[#This Row],[tenure]]&lt;=2,"New",Table1[[#This Row],[tenure]]&lt;=5,"Emerging",Table1[[#This Row],[tenure]]&lt;=8,"Loyal",Table1[[#This Row],[tenure]]&lt;=10,"Legacy")</f>
        <v>Loyal</v>
      </c>
      <c r="L331" t="str">
        <f>TEXT(Table1[[#This Row],[Join_Date]],"mmm-yyyy")</f>
        <v>Apr-2017</v>
      </c>
      <c r="M331">
        <v>8</v>
      </c>
      <c r="N331">
        <f>YEAR(Table1[[#This Row],[Join_Date]])</f>
        <v>2017</v>
      </c>
      <c r="O331" s="1">
        <v>42830</v>
      </c>
      <c r="P331" s="1"/>
    </row>
    <row r="332" spans="1:16" x14ac:dyDescent="0.25">
      <c r="A332" t="s">
        <v>695</v>
      </c>
      <c r="B332" t="s">
        <v>696</v>
      </c>
      <c r="C332" t="s">
        <v>14</v>
      </c>
      <c r="D332" t="s">
        <v>54</v>
      </c>
      <c r="E332">
        <v>65</v>
      </c>
      <c r="F332" t="s">
        <v>42</v>
      </c>
      <c r="G332" t="s">
        <v>25</v>
      </c>
      <c r="H332" t="str" cm="1">
        <f t="array" ref="H332">_xlfn.IFS(I332&lt;30000,"Low",I332&lt;60000,"Medium",I332&lt;100000,"High",TRUE,"Premium")</f>
        <v>Premium</v>
      </c>
      <c r="I332" s="2">
        <v>179033</v>
      </c>
      <c r="J332" t="s">
        <v>18</v>
      </c>
      <c r="K332" t="str" cm="1">
        <f t="array" ref="K332">_xlfn.IFS(Table1[[#This Row],[tenure]]&lt;=2,"New",Table1[[#This Row],[tenure]]&lt;=5,"Emerging",Table1[[#This Row],[tenure]]&lt;=8,"Loyal",Table1[[#This Row],[tenure]]&lt;=10,"Legacy")</f>
        <v>Loyal</v>
      </c>
      <c r="L332" t="str">
        <f>TEXT(Table1[[#This Row],[Join_Date]],"mmm-yyyy")</f>
        <v>Nov-2019</v>
      </c>
      <c r="M332">
        <v>6</v>
      </c>
      <c r="N332">
        <f>YEAR(Table1[[#This Row],[Join_Date]])</f>
        <v>2019</v>
      </c>
      <c r="O332" s="1">
        <v>43776</v>
      </c>
      <c r="P332" s="1"/>
    </row>
    <row r="333" spans="1:16" x14ac:dyDescent="0.25">
      <c r="A333" t="s">
        <v>697</v>
      </c>
      <c r="B333" t="s">
        <v>698</v>
      </c>
      <c r="C333" t="s">
        <v>14</v>
      </c>
      <c r="D333" t="s">
        <v>54</v>
      </c>
      <c r="E333">
        <v>62</v>
      </c>
      <c r="F333" t="s">
        <v>38</v>
      </c>
      <c r="G333" t="s">
        <v>17</v>
      </c>
      <c r="H333" t="str" cm="1">
        <f t="array" ref="H333">_xlfn.IFS(I333&lt;30000,"Low",I333&lt;60000,"Medium",I333&lt;100000,"High",TRUE,"Premium")</f>
        <v>Premium</v>
      </c>
      <c r="I333" s="2">
        <v>101941</v>
      </c>
      <c r="J333" t="s">
        <v>18</v>
      </c>
      <c r="K333" t="str" cm="1">
        <f t="array" ref="K333">_xlfn.IFS(Table1[[#This Row],[tenure]]&lt;=2,"New",Table1[[#This Row],[tenure]]&lt;=5,"Emerging",Table1[[#This Row],[tenure]]&lt;=8,"Loyal",Table1[[#This Row],[tenure]]&lt;=10,"Legacy")</f>
        <v>Emerging</v>
      </c>
      <c r="L333" t="str">
        <f>TEXT(Table1[[#This Row],[Join_Date]],"mmm-yyyy")</f>
        <v>Sep-2021</v>
      </c>
      <c r="M333">
        <v>4</v>
      </c>
      <c r="N333">
        <f>YEAR(Table1[[#This Row],[Join_Date]])</f>
        <v>2021</v>
      </c>
      <c r="O333" s="1">
        <v>44448</v>
      </c>
      <c r="P333" s="1"/>
    </row>
    <row r="334" spans="1:16" x14ac:dyDescent="0.25">
      <c r="A334" t="s">
        <v>699</v>
      </c>
      <c r="B334" t="s">
        <v>700</v>
      </c>
      <c r="C334" t="s">
        <v>22</v>
      </c>
      <c r="D334" t="s">
        <v>37</v>
      </c>
      <c r="E334">
        <v>18</v>
      </c>
      <c r="F334" t="s">
        <v>42</v>
      </c>
      <c r="G334" t="s">
        <v>46</v>
      </c>
      <c r="H334" t="str" cm="1">
        <f t="array" ref="H334">_xlfn.IFS(I334&lt;30000,"Low",I334&lt;60000,"Medium",I334&lt;100000,"High",TRUE,"Premium")</f>
        <v>Medium</v>
      </c>
      <c r="I334" s="2">
        <v>53662</v>
      </c>
      <c r="J334" t="s">
        <v>18</v>
      </c>
      <c r="K334" t="str" cm="1">
        <f t="array" ref="K334">_xlfn.IFS(Table1[[#This Row],[tenure]]&lt;=2,"New",Table1[[#This Row],[tenure]]&lt;=5,"Emerging",Table1[[#This Row],[tenure]]&lt;=8,"Loyal",Table1[[#This Row],[tenure]]&lt;=10,"Legacy")</f>
        <v>Legacy</v>
      </c>
      <c r="L334" t="str">
        <f>TEXT(Table1[[#This Row],[Join_Date]],"mmm-yyyy")</f>
        <v>Dec-2015</v>
      </c>
      <c r="M334">
        <v>10</v>
      </c>
      <c r="N334">
        <f>YEAR(Table1[[#This Row],[Join_Date]])</f>
        <v>2015</v>
      </c>
      <c r="O334" s="1">
        <v>42347</v>
      </c>
      <c r="P334" s="1"/>
    </row>
    <row r="335" spans="1:16" x14ac:dyDescent="0.25">
      <c r="A335" t="s">
        <v>701</v>
      </c>
      <c r="B335" t="s">
        <v>702</v>
      </c>
      <c r="C335" t="s">
        <v>14</v>
      </c>
      <c r="D335" t="s">
        <v>15</v>
      </c>
      <c r="E335">
        <v>39</v>
      </c>
      <c r="F335" t="s">
        <v>16</v>
      </c>
      <c r="G335" t="s">
        <v>39</v>
      </c>
      <c r="H335" t="str" cm="1">
        <f t="array" ref="H335">_xlfn.IFS(I335&lt;30000,"Low",I335&lt;60000,"Medium",I335&lt;100000,"High",TRUE,"Premium")</f>
        <v>Premium</v>
      </c>
      <c r="I335" s="2">
        <v>118818</v>
      </c>
      <c r="J335" t="s">
        <v>26</v>
      </c>
      <c r="K335" t="str" cm="1">
        <f t="array" ref="K335">_xlfn.IFS(Table1[[#This Row],[tenure]]&lt;=2,"New",Table1[[#This Row],[tenure]]&lt;=5,"Emerging",Table1[[#This Row],[tenure]]&lt;=8,"Loyal",Table1[[#This Row],[tenure]]&lt;=10,"Legacy")</f>
        <v>Loyal</v>
      </c>
      <c r="L335" t="str">
        <f>TEXT(Table1[[#This Row],[Join_Date]],"mmm-yyyy")</f>
        <v>Jan-2019</v>
      </c>
      <c r="M335">
        <v>7</v>
      </c>
      <c r="N335">
        <f>YEAR(Table1[[#This Row],[Join_Date]])</f>
        <v>2019</v>
      </c>
      <c r="O335" s="1">
        <v>43494</v>
      </c>
      <c r="P335" s="1"/>
    </row>
    <row r="336" spans="1:16" x14ac:dyDescent="0.25">
      <c r="A336" t="s">
        <v>703</v>
      </c>
      <c r="B336" t="s">
        <v>704</v>
      </c>
      <c r="C336" t="s">
        <v>22</v>
      </c>
      <c r="D336" t="s">
        <v>54</v>
      </c>
      <c r="E336">
        <v>69</v>
      </c>
      <c r="F336" t="s">
        <v>38</v>
      </c>
      <c r="G336" t="s">
        <v>17</v>
      </c>
      <c r="H336" t="str" cm="1">
        <f t="array" ref="H336">_xlfn.IFS(I336&lt;30000,"Low",I336&lt;60000,"Medium",I336&lt;100000,"High",TRUE,"Premium")</f>
        <v>Premium</v>
      </c>
      <c r="I336" s="2">
        <v>172360</v>
      </c>
      <c r="J336" t="s">
        <v>26</v>
      </c>
      <c r="K336" t="str" cm="1">
        <f t="array" ref="K336">_xlfn.IFS(Table1[[#This Row],[tenure]]&lt;=2,"New",Table1[[#This Row],[tenure]]&lt;=5,"Emerging",Table1[[#This Row],[tenure]]&lt;=8,"Loyal",Table1[[#This Row],[tenure]]&lt;=10,"Legacy")</f>
        <v>Emerging</v>
      </c>
      <c r="L336" t="str">
        <f>TEXT(Table1[[#This Row],[Join_Date]],"mmm-yyyy")</f>
        <v>Jan-2022</v>
      </c>
      <c r="M336">
        <v>4</v>
      </c>
      <c r="N336">
        <f>YEAR(Table1[[#This Row],[Join_Date]])</f>
        <v>2022</v>
      </c>
      <c r="O336" s="1">
        <v>44573</v>
      </c>
      <c r="P336" s="1"/>
    </row>
    <row r="337" spans="1:16" x14ac:dyDescent="0.25">
      <c r="A337" t="s">
        <v>705</v>
      </c>
      <c r="B337" t="s">
        <v>706</v>
      </c>
      <c r="C337" t="s">
        <v>22</v>
      </c>
      <c r="D337" t="s">
        <v>15</v>
      </c>
      <c r="E337">
        <v>34</v>
      </c>
      <c r="F337" t="s">
        <v>42</v>
      </c>
      <c r="G337" t="s">
        <v>34</v>
      </c>
      <c r="H337" t="str" cm="1">
        <f t="array" ref="H337">_xlfn.IFS(I337&lt;30000,"Low",I337&lt;60000,"Medium",I337&lt;100000,"High",TRUE,"Premium")</f>
        <v>Premium</v>
      </c>
      <c r="I337" s="2">
        <v>115081</v>
      </c>
      <c r="J337" t="s">
        <v>30</v>
      </c>
      <c r="K337" t="str" cm="1">
        <f t="array" ref="K337">_xlfn.IFS(Table1[[#This Row],[tenure]]&lt;=2,"New",Table1[[#This Row],[tenure]]&lt;=5,"Emerging",Table1[[#This Row],[tenure]]&lt;=8,"Loyal",Table1[[#This Row],[tenure]]&lt;=10,"Legacy")</f>
        <v>Loyal</v>
      </c>
      <c r="L337" t="str">
        <f>TEXT(Table1[[#This Row],[Join_Date]],"mmm-yyyy")</f>
        <v>Mar-2017</v>
      </c>
      <c r="M337">
        <v>8</v>
      </c>
      <c r="N337">
        <f>YEAR(Table1[[#This Row],[Join_Date]])</f>
        <v>2017</v>
      </c>
      <c r="O337" s="1">
        <v>42817</v>
      </c>
      <c r="P337" s="1"/>
    </row>
    <row r="338" spans="1:16" x14ac:dyDescent="0.25">
      <c r="A338" t="s">
        <v>707</v>
      </c>
      <c r="B338" t="s">
        <v>708</v>
      </c>
      <c r="C338" t="s">
        <v>14</v>
      </c>
      <c r="D338" t="s">
        <v>37</v>
      </c>
      <c r="E338">
        <v>24</v>
      </c>
      <c r="F338" t="s">
        <v>38</v>
      </c>
      <c r="G338" t="s">
        <v>17</v>
      </c>
      <c r="H338" t="str" cm="1">
        <f t="array" ref="H338">_xlfn.IFS(I338&lt;30000,"Low",I338&lt;60000,"Medium",I338&lt;100000,"High",TRUE,"Premium")</f>
        <v>Medium</v>
      </c>
      <c r="I338" s="2">
        <v>56877</v>
      </c>
      <c r="J338" t="s">
        <v>26</v>
      </c>
      <c r="K338" t="str" cm="1">
        <f t="array" ref="K338">_xlfn.IFS(Table1[[#This Row],[tenure]]&lt;=2,"New",Table1[[#This Row],[tenure]]&lt;=5,"Emerging",Table1[[#This Row],[tenure]]&lt;=8,"Loyal",Table1[[#This Row],[tenure]]&lt;=10,"Legacy")</f>
        <v>New</v>
      </c>
      <c r="L338" t="str">
        <f>TEXT(Table1[[#This Row],[Join_Date]],"mmm-yyyy")</f>
        <v>Aug-2025</v>
      </c>
      <c r="M338">
        <v>0</v>
      </c>
      <c r="N338">
        <f>YEAR(Table1[[#This Row],[Join_Date]])</f>
        <v>2025</v>
      </c>
      <c r="O338" s="1">
        <v>45877</v>
      </c>
      <c r="P338" s="1"/>
    </row>
    <row r="339" spans="1:16" x14ac:dyDescent="0.25">
      <c r="A339" t="s">
        <v>709</v>
      </c>
      <c r="B339" t="s">
        <v>710</v>
      </c>
      <c r="C339" t="s">
        <v>14</v>
      </c>
      <c r="D339" t="s">
        <v>15</v>
      </c>
      <c r="E339">
        <v>42</v>
      </c>
      <c r="F339" t="s">
        <v>16</v>
      </c>
      <c r="G339" t="s">
        <v>29</v>
      </c>
      <c r="H339" t="str" cm="1">
        <f t="array" ref="H339">_xlfn.IFS(I339&lt;30000,"Low",I339&lt;60000,"Medium",I339&lt;100000,"High",TRUE,"Premium")</f>
        <v>Premium</v>
      </c>
      <c r="I339" s="2">
        <v>131562</v>
      </c>
      <c r="J339" t="s">
        <v>18</v>
      </c>
      <c r="K339" t="str" cm="1">
        <f t="array" ref="K339">_xlfn.IFS(Table1[[#This Row],[tenure]]&lt;=2,"New",Table1[[#This Row],[tenure]]&lt;=5,"Emerging",Table1[[#This Row],[tenure]]&lt;=8,"Loyal",Table1[[#This Row],[tenure]]&lt;=10,"Legacy")</f>
        <v>Emerging</v>
      </c>
      <c r="L339" t="str">
        <f>TEXT(Table1[[#This Row],[Join_Date]],"mmm-yyyy")</f>
        <v>Nov-2022</v>
      </c>
      <c r="M339">
        <v>3</v>
      </c>
      <c r="N339">
        <f>YEAR(Table1[[#This Row],[Join_Date]])</f>
        <v>2022</v>
      </c>
      <c r="O339" s="1">
        <v>44868</v>
      </c>
      <c r="P339" s="1"/>
    </row>
    <row r="340" spans="1:16" x14ac:dyDescent="0.25">
      <c r="A340" t="s">
        <v>711</v>
      </c>
      <c r="B340" t="s">
        <v>712</v>
      </c>
      <c r="C340" t="s">
        <v>22</v>
      </c>
      <c r="D340" t="s">
        <v>54</v>
      </c>
      <c r="E340">
        <v>62</v>
      </c>
      <c r="F340" t="s">
        <v>24</v>
      </c>
      <c r="G340" t="s">
        <v>46</v>
      </c>
      <c r="H340" t="str" cm="1">
        <f t="array" ref="H340">_xlfn.IFS(I340&lt;30000,"Low",I340&lt;60000,"Medium",I340&lt;100000,"High",TRUE,"Premium")</f>
        <v>Premium</v>
      </c>
      <c r="I340" s="2">
        <v>166385</v>
      </c>
      <c r="J340" t="s">
        <v>26</v>
      </c>
      <c r="K340" t="str" cm="1">
        <f t="array" ref="K340">_xlfn.IFS(Table1[[#This Row],[tenure]]&lt;=2,"New",Table1[[#This Row],[tenure]]&lt;=5,"Emerging",Table1[[#This Row],[tenure]]&lt;=8,"Loyal",Table1[[#This Row],[tenure]]&lt;=10,"Legacy")</f>
        <v>Loyal</v>
      </c>
      <c r="L340" t="str">
        <f>TEXT(Table1[[#This Row],[Join_Date]],"mmm-yyyy")</f>
        <v>Jun-2018</v>
      </c>
      <c r="M340">
        <v>7</v>
      </c>
      <c r="N340">
        <f>YEAR(Table1[[#This Row],[Join_Date]])</f>
        <v>2018</v>
      </c>
      <c r="O340" s="1">
        <v>43280</v>
      </c>
      <c r="P340" s="1"/>
    </row>
    <row r="341" spans="1:16" x14ac:dyDescent="0.25">
      <c r="A341" t="s">
        <v>713</v>
      </c>
      <c r="B341" t="s">
        <v>714</v>
      </c>
      <c r="C341" t="s">
        <v>22</v>
      </c>
      <c r="D341" t="s">
        <v>37</v>
      </c>
      <c r="E341">
        <v>21</v>
      </c>
      <c r="F341" t="s">
        <v>16</v>
      </c>
      <c r="G341" t="s">
        <v>29</v>
      </c>
      <c r="H341" t="str" cm="1">
        <f t="array" ref="H341">_xlfn.IFS(I341&lt;30000,"Low",I341&lt;60000,"Medium",I341&lt;100000,"High",TRUE,"Premium")</f>
        <v>High</v>
      </c>
      <c r="I341" s="2">
        <v>92715</v>
      </c>
      <c r="J341" t="s">
        <v>18</v>
      </c>
      <c r="K341" t="str" cm="1">
        <f t="array" ref="K341">_xlfn.IFS(Table1[[#This Row],[tenure]]&lt;=2,"New",Table1[[#This Row],[tenure]]&lt;=5,"Emerging",Table1[[#This Row],[tenure]]&lt;=8,"Loyal",Table1[[#This Row],[tenure]]&lt;=10,"Legacy")</f>
        <v>Loyal</v>
      </c>
      <c r="L341" t="str">
        <f>TEXT(Table1[[#This Row],[Join_Date]],"mmm-yyyy")</f>
        <v>Jul-2017</v>
      </c>
      <c r="M341">
        <v>8</v>
      </c>
      <c r="N341">
        <f>YEAR(Table1[[#This Row],[Join_Date]])</f>
        <v>2017</v>
      </c>
      <c r="O341" s="1">
        <v>42927</v>
      </c>
      <c r="P341" s="1"/>
    </row>
    <row r="342" spans="1:16" x14ac:dyDescent="0.25">
      <c r="A342" t="s">
        <v>715</v>
      </c>
      <c r="B342" t="s">
        <v>716</v>
      </c>
      <c r="C342" t="s">
        <v>14</v>
      </c>
      <c r="D342" t="s">
        <v>23</v>
      </c>
      <c r="E342">
        <v>53</v>
      </c>
      <c r="F342" t="s">
        <v>16</v>
      </c>
      <c r="G342" t="s">
        <v>29</v>
      </c>
      <c r="H342" t="str" cm="1">
        <f t="array" ref="H342">_xlfn.IFS(I342&lt;30000,"Low",I342&lt;60000,"Medium",I342&lt;100000,"High",TRUE,"Premium")</f>
        <v>Premium</v>
      </c>
      <c r="I342" s="2">
        <v>161398</v>
      </c>
      <c r="J342" t="s">
        <v>18</v>
      </c>
      <c r="K342" t="str" cm="1">
        <f t="array" ref="K342">_xlfn.IFS(Table1[[#This Row],[tenure]]&lt;=2,"New",Table1[[#This Row],[tenure]]&lt;=5,"Emerging",Table1[[#This Row],[tenure]]&lt;=8,"Loyal",Table1[[#This Row],[tenure]]&lt;=10,"Legacy")</f>
        <v>Loyal</v>
      </c>
      <c r="L342" t="str">
        <f>TEXT(Table1[[#This Row],[Join_Date]],"mmm-yyyy")</f>
        <v>Oct-2017</v>
      </c>
      <c r="M342">
        <v>8</v>
      </c>
      <c r="N342">
        <f>YEAR(Table1[[#This Row],[Join_Date]])</f>
        <v>2017</v>
      </c>
      <c r="O342" s="1">
        <v>43009</v>
      </c>
      <c r="P342" s="1"/>
    </row>
    <row r="343" spans="1:16" x14ac:dyDescent="0.25">
      <c r="A343" t="s">
        <v>717</v>
      </c>
      <c r="B343" t="s">
        <v>718</v>
      </c>
      <c r="C343" t="s">
        <v>22</v>
      </c>
      <c r="D343" t="s">
        <v>37</v>
      </c>
      <c r="E343">
        <v>23</v>
      </c>
      <c r="F343" t="s">
        <v>16</v>
      </c>
      <c r="G343" t="s">
        <v>34</v>
      </c>
      <c r="H343" t="str" cm="1">
        <f t="array" ref="H343">_xlfn.IFS(I343&lt;30000,"Low",I343&lt;60000,"Medium",I343&lt;100000,"High",TRUE,"Premium")</f>
        <v>Premium</v>
      </c>
      <c r="I343" s="2">
        <v>130091</v>
      </c>
      <c r="J343" t="s">
        <v>26</v>
      </c>
      <c r="K343" t="str" cm="1">
        <f t="array" ref="K343">_xlfn.IFS(Table1[[#This Row],[tenure]]&lt;=2,"New",Table1[[#This Row],[tenure]]&lt;=5,"Emerging",Table1[[#This Row],[tenure]]&lt;=8,"Loyal",Table1[[#This Row],[tenure]]&lt;=10,"Legacy")</f>
        <v>New</v>
      </c>
      <c r="L343" t="str">
        <f>TEXT(Table1[[#This Row],[Join_Date]],"mmm-yyyy")</f>
        <v>Apr-2023</v>
      </c>
      <c r="M343">
        <v>2</v>
      </c>
      <c r="N343">
        <f>YEAR(Table1[[#This Row],[Join_Date]])</f>
        <v>2023</v>
      </c>
      <c r="O343" s="1">
        <v>45017</v>
      </c>
      <c r="P343" s="1"/>
    </row>
    <row r="344" spans="1:16" x14ac:dyDescent="0.25">
      <c r="A344" t="s">
        <v>719</v>
      </c>
      <c r="B344" t="s">
        <v>720</v>
      </c>
      <c r="C344" t="s">
        <v>14</v>
      </c>
      <c r="D344" t="s">
        <v>23</v>
      </c>
      <c r="E344">
        <v>48</v>
      </c>
      <c r="F344" t="s">
        <v>16</v>
      </c>
      <c r="G344" t="s">
        <v>46</v>
      </c>
      <c r="H344" t="str" cm="1">
        <f t="array" ref="H344">_xlfn.IFS(I344&lt;30000,"Low",I344&lt;60000,"Medium",I344&lt;100000,"High",TRUE,"Premium")</f>
        <v>Premium</v>
      </c>
      <c r="I344" s="2">
        <v>152632</v>
      </c>
      <c r="J344" t="s">
        <v>18</v>
      </c>
      <c r="K344" t="str" cm="1">
        <f t="array" ref="K344">_xlfn.IFS(Table1[[#This Row],[tenure]]&lt;=2,"New",Table1[[#This Row],[tenure]]&lt;=5,"Emerging",Table1[[#This Row],[tenure]]&lt;=8,"Loyal",Table1[[#This Row],[tenure]]&lt;=10,"Legacy")</f>
        <v>Loyal</v>
      </c>
      <c r="L344" t="str">
        <f>TEXT(Table1[[#This Row],[Join_Date]],"mmm-yyyy")</f>
        <v>Feb-2018</v>
      </c>
      <c r="M344">
        <v>8</v>
      </c>
      <c r="N344">
        <f>YEAR(Table1[[#This Row],[Join_Date]])</f>
        <v>2018</v>
      </c>
      <c r="O344" s="1">
        <v>43154</v>
      </c>
      <c r="P344" s="1"/>
    </row>
    <row r="345" spans="1:16" x14ac:dyDescent="0.25">
      <c r="A345" t="s">
        <v>721</v>
      </c>
      <c r="B345" t="s">
        <v>722</v>
      </c>
      <c r="C345" t="s">
        <v>22</v>
      </c>
      <c r="D345" t="s">
        <v>15</v>
      </c>
      <c r="E345">
        <v>36</v>
      </c>
      <c r="F345" t="s">
        <v>24</v>
      </c>
      <c r="G345" t="s">
        <v>46</v>
      </c>
      <c r="H345" t="str" cm="1">
        <f t="array" ref="H345">_xlfn.IFS(I345&lt;30000,"Low",I345&lt;60000,"Medium",I345&lt;100000,"High",TRUE,"Premium")</f>
        <v>High</v>
      </c>
      <c r="I345" s="2">
        <v>99148</v>
      </c>
      <c r="J345" t="s">
        <v>30</v>
      </c>
      <c r="K345" t="str" cm="1">
        <f t="array" ref="K345">_xlfn.IFS(Table1[[#This Row],[tenure]]&lt;=2,"New",Table1[[#This Row],[tenure]]&lt;=5,"Emerging",Table1[[#This Row],[tenure]]&lt;=8,"Loyal",Table1[[#This Row],[tenure]]&lt;=10,"Legacy")</f>
        <v>Loyal</v>
      </c>
      <c r="L345" t="str">
        <f>TEXT(Table1[[#This Row],[Join_Date]],"mmm-yyyy")</f>
        <v>Nov-2017</v>
      </c>
      <c r="M345">
        <v>8</v>
      </c>
      <c r="N345">
        <f>YEAR(Table1[[#This Row],[Join_Date]])</f>
        <v>2017</v>
      </c>
      <c r="O345" s="1">
        <v>43052</v>
      </c>
      <c r="P345" s="1"/>
    </row>
    <row r="346" spans="1:16" x14ac:dyDescent="0.25">
      <c r="A346" t="s">
        <v>723</v>
      </c>
      <c r="B346" t="s">
        <v>724</v>
      </c>
      <c r="C346" t="s">
        <v>14</v>
      </c>
      <c r="D346" t="s">
        <v>54</v>
      </c>
      <c r="E346">
        <v>61</v>
      </c>
      <c r="F346" t="s">
        <v>24</v>
      </c>
      <c r="G346" t="s">
        <v>46</v>
      </c>
      <c r="H346" t="str" cm="1">
        <f t="array" ref="H346">_xlfn.IFS(I346&lt;30000,"Low",I346&lt;60000,"Medium",I346&lt;100000,"High",TRUE,"Premium")</f>
        <v>Premium</v>
      </c>
      <c r="I346" s="2">
        <v>103186</v>
      </c>
      <c r="J346" t="s">
        <v>18</v>
      </c>
      <c r="K346" t="str" cm="1">
        <f t="array" ref="K346">_xlfn.IFS(Table1[[#This Row],[tenure]]&lt;=2,"New",Table1[[#This Row],[tenure]]&lt;=5,"Emerging",Table1[[#This Row],[tenure]]&lt;=8,"Loyal",Table1[[#This Row],[tenure]]&lt;=10,"Legacy")</f>
        <v>Loyal</v>
      </c>
      <c r="L346" t="str">
        <f>TEXT(Table1[[#This Row],[Join_Date]],"mmm-yyyy")</f>
        <v>Aug-2019</v>
      </c>
      <c r="M346">
        <v>6</v>
      </c>
      <c r="N346">
        <f>YEAR(Table1[[#This Row],[Join_Date]])</f>
        <v>2019</v>
      </c>
      <c r="O346" s="1">
        <v>43704</v>
      </c>
      <c r="P346" s="1"/>
    </row>
    <row r="347" spans="1:16" x14ac:dyDescent="0.25">
      <c r="A347" t="s">
        <v>725</v>
      </c>
      <c r="B347" t="s">
        <v>726</v>
      </c>
      <c r="C347" t="s">
        <v>14</v>
      </c>
      <c r="D347" t="s">
        <v>54</v>
      </c>
      <c r="E347">
        <v>71</v>
      </c>
      <c r="F347" t="s">
        <v>38</v>
      </c>
      <c r="G347" t="s">
        <v>46</v>
      </c>
      <c r="H347" t="str" cm="1">
        <f t="array" ref="H347">_xlfn.IFS(I347&lt;30000,"Low",I347&lt;60000,"Medium",I347&lt;100000,"High",TRUE,"Premium")</f>
        <v>Premium</v>
      </c>
      <c r="I347" s="2">
        <v>177817</v>
      </c>
      <c r="J347" t="s">
        <v>26</v>
      </c>
      <c r="K347" t="str" cm="1">
        <f t="array" ref="K347">_xlfn.IFS(Table1[[#This Row],[tenure]]&lt;=2,"New",Table1[[#This Row],[tenure]]&lt;=5,"Emerging",Table1[[#This Row],[tenure]]&lt;=8,"Loyal",Table1[[#This Row],[tenure]]&lt;=10,"Legacy")</f>
        <v>Emerging</v>
      </c>
      <c r="L347" t="str">
        <f>TEXT(Table1[[#This Row],[Join_Date]],"mmm-yyyy")</f>
        <v>May-2022</v>
      </c>
      <c r="M347">
        <v>3</v>
      </c>
      <c r="N347">
        <f>YEAR(Table1[[#This Row],[Join_Date]])</f>
        <v>2022</v>
      </c>
      <c r="O347" s="1">
        <v>44709</v>
      </c>
      <c r="P347" s="1"/>
    </row>
    <row r="348" spans="1:16" x14ac:dyDescent="0.25">
      <c r="A348" t="s">
        <v>727</v>
      </c>
      <c r="B348" t="s">
        <v>728</v>
      </c>
      <c r="C348" t="s">
        <v>14</v>
      </c>
      <c r="D348" t="s">
        <v>23</v>
      </c>
      <c r="E348">
        <v>56</v>
      </c>
      <c r="F348" t="s">
        <v>42</v>
      </c>
      <c r="G348" t="s">
        <v>46</v>
      </c>
      <c r="H348" t="str" cm="1">
        <f t="array" ref="H348">_xlfn.IFS(I348&lt;30000,"Low",I348&lt;60000,"Medium",I348&lt;100000,"High",TRUE,"Premium")</f>
        <v>Premium</v>
      </c>
      <c r="I348" s="2">
        <v>182962</v>
      </c>
      <c r="J348" t="s">
        <v>26</v>
      </c>
      <c r="K348" t="str" cm="1">
        <f t="array" ref="K348">_xlfn.IFS(Table1[[#This Row],[tenure]]&lt;=2,"New",Table1[[#This Row],[tenure]]&lt;=5,"Emerging",Table1[[#This Row],[tenure]]&lt;=8,"Loyal",Table1[[#This Row],[tenure]]&lt;=10,"Legacy")</f>
        <v>New</v>
      </c>
      <c r="L348" t="str">
        <f>TEXT(Table1[[#This Row],[Join_Date]],"mmm-yyyy")</f>
        <v>Sep-2024</v>
      </c>
      <c r="M348">
        <v>1</v>
      </c>
      <c r="N348">
        <f>YEAR(Table1[[#This Row],[Join_Date]])</f>
        <v>2024</v>
      </c>
      <c r="O348" s="1">
        <v>45560</v>
      </c>
      <c r="P348" s="1"/>
    </row>
    <row r="349" spans="1:16" x14ac:dyDescent="0.25">
      <c r="A349" t="s">
        <v>729</v>
      </c>
      <c r="B349" t="s">
        <v>730</v>
      </c>
      <c r="C349" t="s">
        <v>22</v>
      </c>
      <c r="D349" t="s">
        <v>15</v>
      </c>
      <c r="E349">
        <v>44</v>
      </c>
      <c r="F349" t="s">
        <v>24</v>
      </c>
      <c r="G349" t="s">
        <v>34</v>
      </c>
      <c r="H349" t="str" cm="1">
        <f t="array" ref="H349">_xlfn.IFS(I349&lt;30000,"Low",I349&lt;60000,"Medium",I349&lt;100000,"High",TRUE,"Premium")</f>
        <v>Premium</v>
      </c>
      <c r="I349" s="2">
        <v>171094</v>
      </c>
      <c r="J349" t="s">
        <v>26</v>
      </c>
      <c r="K349" t="str" cm="1">
        <f t="array" ref="K349">_xlfn.IFS(Table1[[#This Row],[tenure]]&lt;=2,"New",Table1[[#This Row],[tenure]]&lt;=5,"Emerging",Table1[[#This Row],[tenure]]&lt;=8,"Loyal",Table1[[#This Row],[tenure]]&lt;=10,"Legacy")</f>
        <v>Loyal</v>
      </c>
      <c r="L349" t="str">
        <f>TEXT(Table1[[#This Row],[Join_Date]],"mmm-yyyy")</f>
        <v>Jan-2019</v>
      </c>
      <c r="M349">
        <v>7</v>
      </c>
      <c r="N349">
        <f>YEAR(Table1[[#This Row],[Join_Date]])</f>
        <v>2019</v>
      </c>
      <c r="O349" s="1">
        <v>43485</v>
      </c>
      <c r="P349" s="1"/>
    </row>
    <row r="350" spans="1:16" x14ac:dyDescent="0.25">
      <c r="A350" t="s">
        <v>731</v>
      </c>
      <c r="B350" t="s">
        <v>732</v>
      </c>
      <c r="C350" t="s">
        <v>22</v>
      </c>
      <c r="D350" t="s">
        <v>37</v>
      </c>
      <c r="E350">
        <v>27</v>
      </c>
      <c r="F350" t="s">
        <v>24</v>
      </c>
      <c r="G350" t="s">
        <v>17</v>
      </c>
      <c r="H350" t="str" cm="1">
        <f t="array" ref="H350">_xlfn.IFS(I350&lt;30000,"Low",I350&lt;60000,"Medium",I350&lt;100000,"High",TRUE,"Premium")</f>
        <v>Premium</v>
      </c>
      <c r="I350" s="2">
        <v>143629</v>
      </c>
      <c r="J350" t="s">
        <v>26</v>
      </c>
      <c r="K350" t="str" cm="1">
        <f t="array" ref="K350">_xlfn.IFS(Table1[[#This Row],[tenure]]&lt;=2,"New",Table1[[#This Row],[tenure]]&lt;=5,"Emerging",Table1[[#This Row],[tenure]]&lt;=8,"Loyal",Table1[[#This Row],[tenure]]&lt;=10,"Legacy")</f>
        <v>New</v>
      </c>
      <c r="L350" t="str">
        <f>TEXT(Table1[[#This Row],[Join_Date]],"mmm-yyyy")</f>
        <v>Aug-2025</v>
      </c>
      <c r="M350">
        <v>0</v>
      </c>
      <c r="N350">
        <f>YEAR(Table1[[#This Row],[Join_Date]])</f>
        <v>2025</v>
      </c>
      <c r="O350" s="1">
        <v>45888</v>
      </c>
      <c r="P350" s="1"/>
    </row>
    <row r="351" spans="1:16" x14ac:dyDescent="0.25">
      <c r="A351" t="s">
        <v>733</v>
      </c>
      <c r="B351" t="s">
        <v>734</v>
      </c>
      <c r="C351" t="s">
        <v>14</v>
      </c>
      <c r="D351" t="s">
        <v>15</v>
      </c>
      <c r="E351">
        <v>43</v>
      </c>
      <c r="F351" t="s">
        <v>42</v>
      </c>
      <c r="G351" t="s">
        <v>29</v>
      </c>
      <c r="H351" t="str" cm="1">
        <f t="array" ref="H351">_xlfn.IFS(I351&lt;30000,"Low",I351&lt;60000,"Medium",I351&lt;100000,"High",TRUE,"Premium")</f>
        <v>High</v>
      </c>
      <c r="I351" s="2">
        <v>90316</v>
      </c>
      <c r="J351" t="s">
        <v>26</v>
      </c>
      <c r="K351" t="str" cm="1">
        <f t="array" ref="K351">_xlfn.IFS(Table1[[#This Row],[tenure]]&lt;=2,"New",Table1[[#This Row],[tenure]]&lt;=5,"Emerging",Table1[[#This Row],[tenure]]&lt;=8,"Loyal",Table1[[#This Row],[tenure]]&lt;=10,"Legacy")</f>
        <v>Emerging</v>
      </c>
      <c r="L351" t="str">
        <f>TEXT(Table1[[#This Row],[Join_Date]],"mmm-yyyy")</f>
        <v>Dec-2022</v>
      </c>
      <c r="M351">
        <v>3</v>
      </c>
      <c r="N351">
        <f>YEAR(Table1[[#This Row],[Join_Date]])</f>
        <v>2022</v>
      </c>
      <c r="O351" s="1">
        <v>44926</v>
      </c>
      <c r="P351" s="1"/>
    </row>
    <row r="352" spans="1:16" x14ac:dyDescent="0.25">
      <c r="A352" t="s">
        <v>735</v>
      </c>
      <c r="B352" t="s">
        <v>736</v>
      </c>
      <c r="C352" t="s">
        <v>22</v>
      </c>
      <c r="D352" t="s">
        <v>15</v>
      </c>
      <c r="E352">
        <v>36</v>
      </c>
      <c r="F352" t="s">
        <v>24</v>
      </c>
      <c r="G352" t="s">
        <v>46</v>
      </c>
      <c r="H352" t="str" cm="1">
        <f t="array" ref="H352">_xlfn.IFS(I352&lt;30000,"Low",I352&lt;60000,"Medium",I352&lt;100000,"High",TRUE,"Premium")</f>
        <v>Medium</v>
      </c>
      <c r="I352" s="2">
        <v>48380</v>
      </c>
      <c r="J352" t="s">
        <v>18</v>
      </c>
      <c r="K352" t="str" cm="1">
        <f t="array" ref="K352">_xlfn.IFS(Table1[[#This Row],[tenure]]&lt;=2,"New",Table1[[#This Row],[tenure]]&lt;=5,"Emerging",Table1[[#This Row],[tenure]]&lt;=8,"Loyal",Table1[[#This Row],[tenure]]&lt;=10,"Legacy")</f>
        <v>Emerging</v>
      </c>
      <c r="L352" t="str">
        <f>TEXT(Table1[[#This Row],[Join_Date]],"mmm-yyyy")</f>
        <v>Feb-2021</v>
      </c>
      <c r="M352">
        <v>5</v>
      </c>
      <c r="N352">
        <f>YEAR(Table1[[#This Row],[Join_Date]])</f>
        <v>2021</v>
      </c>
      <c r="O352" s="1">
        <v>44241</v>
      </c>
      <c r="P352" s="1"/>
    </row>
    <row r="353" spans="1:16" x14ac:dyDescent="0.25">
      <c r="A353" t="s">
        <v>737</v>
      </c>
      <c r="B353" t="s">
        <v>738</v>
      </c>
      <c r="C353" t="s">
        <v>14</v>
      </c>
      <c r="D353" t="s">
        <v>23</v>
      </c>
      <c r="E353">
        <v>56</v>
      </c>
      <c r="F353" t="s">
        <v>16</v>
      </c>
      <c r="G353" t="s">
        <v>51</v>
      </c>
      <c r="H353" t="str" cm="1">
        <f t="array" ref="H353">_xlfn.IFS(I353&lt;30000,"Low",I353&lt;60000,"Medium",I353&lt;100000,"High",TRUE,"Premium")</f>
        <v>Premium</v>
      </c>
      <c r="I353" s="2">
        <v>130198</v>
      </c>
      <c r="J353" t="s">
        <v>18</v>
      </c>
      <c r="K353" t="str" cm="1">
        <f t="array" ref="K353">_xlfn.IFS(Table1[[#This Row],[tenure]]&lt;=2,"New",Table1[[#This Row],[tenure]]&lt;=5,"Emerging",Table1[[#This Row],[tenure]]&lt;=8,"Loyal",Table1[[#This Row],[tenure]]&lt;=10,"Legacy")</f>
        <v>Emerging</v>
      </c>
      <c r="L353" t="str">
        <f>TEXT(Table1[[#This Row],[Join_Date]],"mmm-yyyy")</f>
        <v>May-2020</v>
      </c>
      <c r="M353">
        <v>5</v>
      </c>
      <c r="N353">
        <f>YEAR(Table1[[#This Row],[Join_Date]])</f>
        <v>2020</v>
      </c>
      <c r="O353" s="1">
        <v>43973</v>
      </c>
      <c r="P353" s="1"/>
    </row>
    <row r="354" spans="1:16" x14ac:dyDescent="0.25">
      <c r="A354" t="s">
        <v>739</v>
      </c>
      <c r="B354" t="s">
        <v>740</v>
      </c>
      <c r="C354" t="s">
        <v>14</v>
      </c>
      <c r="D354" t="s">
        <v>37</v>
      </c>
      <c r="E354">
        <v>20</v>
      </c>
      <c r="F354" t="s">
        <v>16</v>
      </c>
      <c r="G354" t="s">
        <v>17</v>
      </c>
      <c r="H354" t="str" cm="1">
        <f t="array" ref="H354">_xlfn.IFS(I354&lt;30000,"Low",I354&lt;60000,"Medium",I354&lt;100000,"High",TRUE,"Premium")</f>
        <v>Low</v>
      </c>
      <c r="I354" s="2">
        <v>22356</v>
      </c>
      <c r="J354" t="s">
        <v>18</v>
      </c>
      <c r="K354" t="str" cm="1">
        <f t="array" ref="K354">_xlfn.IFS(Table1[[#This Row],[tenure]]&lt;=2,"New",Table1[[#This Row],[tenure]]&lt;=5,"Emerging",Table1[[#This Row],[tenure]]&lt;=8,"Loyal",Table1[[#This Row],[tenure]]&lt;=10,"Legacy")</f>
        <v>Loyal</v>
      </c>
      <c r="L354" t="str">
        <f>TEXT(Table1[[#This Row],[Join_Date]],"mmm-yyyy")</f>
        <v>Sep-2019</v>
      </c>
      <c r="M354">
        <v>6</v>
      </c>
      <c r="N354">
        <f>YEAR(Table1[[#This Row],[Join_Date]])</f>
        <v>2019</v>
      </c>
      <c r="O354" s="1">
        <v>43727</v>
      </c>
      <c r="P354" s="1"/>
    </row>
    <row r="355" spans="1:16" x14ac:dyDescent="0.25">
      <c r="A355" t="s">
        <v>741</v>
      </c>
      <c r="B355" t="s">
        <v>742</v>
      </c>
      <c r="C355" t="s">
        <v>22</v>
      </c>
      <c r="D355" t="s">
        <v>54</v>
      </c>
      <c r="E355">
        <v>62</v>
      </c>
      <c r="F355" t="s">
        <v>42</v>
      </c>
      <c r="G355" t="s">
        <v>17</v>
      </c>
      <c r="H355" t="str" cm="1">
        <f t="array" ref="H355">_xlfn.IFS(I355&lt;30000,"Low",I355&lt;60000,"Medium",I355&lt;100000,"High",TRUE,"Premium")</f>
        <v>High</v>
      </c>
      <c r="I355" s="2">
        <v>90326</v>
      </c>
      <c r="J355" t="s">
        <v>26</v>
      </c>
      <c r="K355" t="str" cm="1">
        <f t="array" ref="K355">_xlfn.IFS(Table1[[#This Row],[tenure]]&lt;=2,"New",Table1[[#This Row],[tenure]]&lt;=5,"Emerging",Table1[[#This Row],[tenure]]&lt;=8,"Loyal",Table1[[#This Row],[tenure]]&lt;=10,"Legacy")</f>
        <v>Loyal</v>
      </c>
      <c r="L355" t="str">
        <f>TEXT(Table1[[#This Row],[Join_Date]],"mmm-yyyy")</f>
        <v>Oct-2019</v>
      </c>
      <c r="M355">
        <v>6</v>
      </c>
      <c r="N355">
        <f>YEAR(Table1[[#This Row],[Join_Date]])</f>
        <v>2019</v>
      </c>
      <c r="O355" s="1">
        <v>43758</v>
      </c>
      <c r="P355" s="1"/>
    </row>
    <row r="356" spans="1:16" x14ac:dyDescent="0.25">
      <c r="A356" t="s">
        <v>743</v>
      </c>
      <c r="B356" t="s">
        <v>744</v>
      </c>
      <c r="C356" t="s">
        <v>22</v>
      </c>
      <c r="D356" t="s">
        <v>15</v>
      </c>
      <c r="E356">
        <v>30</v>
      </c>
      <c r="F356" t="s">
        <v>38</v>
      </c>
      <c r="G356" t="s">
        <v>29</v>
      </c>
      <c r="H356" t="str" cm="1">
        <f t="array" ref="H356">_xlfn.IFS(I356&lt;30000,"Low",I356&lt;60000,"Medium",I356&lt;100000,"High",TRUE,"Premium")</f>
        <v>Premium</v>
      </c>
      <c r="I356" s="2">
        <v>112447</v>
      </c>
      <c r="J356" t="s">
        <v>18</v>
      </c>
      <c r="K356" t="str" cm="1">
        <f t="array" ref="K356">_xlfn.IFS(Table1[[#This Row],[tenure]]&lt;=2,"New",Table1[[#This Row],[tenure]]&lt;=5,"Emerging",Table1[[#This Row],[tenure]]&lt;=8,"Loyal",Table1[[#This Row],[tenure]]&lt;=10,"Legacy")</f>
        <v>Loyal</v>
      </c>
      <c r="L356" t="str">
        <f>TEXT(Table1[[#This Row],[Join_Date]],"mmm-yyyy")</f>
        <v>Jan-2020</v>
      </c>
      <c r="M356">
        <v>6</v>
      </c>
      <c r="N356">
        <f>YEAR(Table1[[#This Row],[Join_Date]])</f>
        <v>2020</v>
      </c>
      <c r="O356" s="1">
        <v>43847</v>
      </c>
      <c r="P356" s="1"/>
    </row>
    <row r="357" spans="1:16" x14ac:dyDescent="0.25">
      <c r="A357" t="s">
        <v>745</v>
      </c>
      <c r="B357" t="s">
        <v>746</v>
      </c>
      <c r="C357" t="s">
        <v>14</v>
      </c>
      <c r="D357" t="s">
        <v>54</v>
      </c>
      <c r="E357">
        <v>67</v>
      </c>
      <c r="F357" t="s">
        <v>38</v>
      </c>
      <c r="G357" t="s">
        <v>34</v>
      </c>
      <c r="H357" t="str" cm="1">
        <f t="array" ref="H357">_xlfn.IFS(I357&lt;30000,"Low",I357&lt;60000,"Medium",I357&lt;100000,"High",TRUE,"Premium")</f>
        <v>Premium</v>
      </c>
      <c r="I357" s="2">
        <v>134994</v>
      </c>
      <c r="J357" t="s">
        <v>26</v>
      </c>
      <c r="K357" t="str" cm="1">
        <f t="array" ref="K357">_xlfn.IFS(Table1[[#This Row],[tenure]]&lt;=2,"New",Table1[[#This Row],[tenure]]&lt;=5,"Emerging",Table1[[#This Row],[tenure]]&lt;=8,"Loyal",Table1[[#This Row],[tenure]]&lt;=10,"Legacy")</f>
        <v>Loyal</v>
      </c>
      <c r="L357" t="str">
        <f>TEXT(Table1[[#This Row],[Join_Date]],"mmm-yyyy")</f>
        <v>Oct-2018</v>
      </c>
      <c r="M357">
        <v>7</v>
      </c>
      <c r="N357">
        <f>YEAR(Table1[[#This Row],[Join_Date]])</f>
        <v>2018</v>
      </c>
      <c r="O357" s="1">
        <v>43374</v>
      </c>
      <c r="P357" s="1"/>
    </row>
    <row r="358" spans="1:16" x14ac:dyDescent="0.25">
      <c r="A358" t="s">
        <v>747</v>
      </c>
      <c r="B358" t="s">
        <v>748</v>
      </c>
      <c r="C358" t="s">
        <v>22</v>
      </c>
      <c r="D358" t="s">
        <v>23</v>
      </c>
      <c r="E358">
        <v>45</v>
      </c>
      <c r="F358" t="s">
        <v>42</v>
      </c>
      <c r="G358" t="s">
        <v>25</v>
      </c>
      <c r="H358" t="str" cm="1">
        <f t="array" ref="H358">_xlfn.IFS(I358&lt;30000,"Low",I358&lt;60000,"Medium",I358&lt;100000,"High",TRUE,"Premium")</f>
        <v>Medium</v>
      </c>
      <c r="I358" s="2">
        <v>40049</v>
      </c>
      <c r="J358" t="s">
        <v>18</v>
      </c>
      <c r="K358" t="str" cm="1">
        <f t="array" ref="K358">_xlfn.IFS(Table1[[#This Row],[tenure]]&lt;=2,"New",Table1[[#This Row],[tenure]]&lt;=5,"Emerging",Table1[[#This Row],[tenure]]&lt;=8,"Loyal",Table1[[#This Row],[tenure]]&lt;=10,"Legacy")</f>
        <v>Emerging</v>
      </c>
      <c r="L358" t="str">
        <f>TEXT(Table1[[#This Row],[Join_Date]],"mmm-yyyy")</f>
        <v>Dec-2020</v>
      </c>
      <c r="M358">
        <v>5</v>
      </c>
      <c r="N358">
        <f>YEAR(Table1[[#This Row],[Join_Date]])</f>
        <v>2020</v>
      </c>
      <c r="O358" s="1">
        <v>44190</v>
      </c>
      <c r="P358" s="1"/>
    </row>
    <row r="359" spans="1:16" x14ac:dyDescent="0.25">
      <c r="A359" t="s">
        <v>749</v>
      </c>
      <c r="B359" t="s">
        <v>750</v>
      </c>
      <c r="C359" t="s">
        <v>22</v>
      </c>
      <c r="D359" t="s">
        <v>15</v>
      </c>
      <c r="E359">
        <v>37</v>
      </c>
      <c r="F359" t="s">
        <v>42</v>
      </c>
      <c r="G359" t="s">
        <v>25</v>
      </c>
      <c r="H359" t="str" cm="1">
        <f t="array" ref="H359">_xlfn.IFS(I359&lt;30000,"Low",I359&lt;60000,"Medium",I359&lt;100000,"High",TRUE,"Premium")</f>
        <v>Premium</v>
      </c>
      <c r="I359" s="2">
        <v>125361</v>
      </c>
      <c r="J359" t="s">
        <v>18</v>
      </c>
      <c r="K359" t="str" cm="1">
        <f t="array" ref="K359">_xlfn.IFS(Table1[[#This Row],[tenure]]&lt;=2,"New",Table1[[#This Row],[tenure]]&lt;=5,"Emerging",Table1[[#This Row],[tenure]]&lt;=8,"Loyal",Table1[[#This Row],[tenure]]&lt;=10,"Legacy")</f>
        <v>Emerging</v>
      </c>
      <c r="L359" t="str">
        <f>TEXT(Table1[[#This Row],[Join_Date]],"mmm-yyyy")</f>
        <v>May-2021</v>
      </c>
      <c r="M359">
        <v>4</v>
      </c>
      <c r="N359">
        <f>YEAR(Table1[[#This Row],[Join_Date]])</f>
        <v>2021</v>
      </c>
      <c r="O359" s="1">
        <v>44342</v>
      </c>
      <c r="P359" s="1"/>
    </row>
    <row r="360" spans="1:16" x14ac:dyDescent="0.25">
      <c r="A360" t="s">
        <v>751</v>
      </c>
      <c r="B360" t="s">
        <v>752</v>
      </c>
      <c r="C360" t="s">
        <v>14</v>
      </c>
      <c r="D360" t="s">
        <v>23</v>
      </c>
      <c r="E360">
        <v>45</v>
      </c>
      <c r="F360" t="s">
        <v>16</v>
      </c>
      <c r="G360" t="s">
        <v>17</v>
      </c>
      <c r="H360" t="str" cm="1">
        <f t="array" ref="H360">_xlfn.IFS(I360&lt;30000,"Low",I360&lt;60000,"Medium",I360&lt;100000,"High",TRUE,"Premium")</f>
        <v>Medium</v>
      </c>
      <c r="I360" s="2">
        <v>36082</v>
      </c>
      <c r="J360" t="s">
        <v>26</v>
      </c>
      <c r="K360" t="str" cm="1">
        <f t="array" ref="K360">_xlfn.IFS(Table1[[#This Row],[tenure]]&lt;=2,"New",Table1[[#This Row],[tenure]]&lt;=5,"Emerging",Table1[[#This Row],[tenure]]&lt;=8,"Loyal",Table1[[#This Row],[tenure]]&lt;=10,"Legacy")</f>
        <v>Emerging</v>
      </c>
      <c r="L360" t="str">
        <f>TEXT(Table1[[#This Row],[Join_Date]],"mmm-yyyy")</f>
        <v>Jan-2023</v>
      </c>
      <c r="M360">
        <v>3</v>
      </c>
      <c r="N360">
        <f>YEAR(Table1[[#This Row],[Join_Date]])</f>
        <v>2023</v>
      </c>
      <c r="O360" s="1">
        <v>44954</v>
      </c>
      <c r="P360" s="1"/>
    </row>
    <row r="361" spans="1:16" x14ac:dyDescent="0.25">
      <c r="A361" t="s">
        <v>753</v>
      </c>
      <c r="B361" t="s">
        <v>754</v>
      </c>
      <c r="C361" t="s">
        <v>14</v>
      </c>
      <c r="D361" t="s">
        <v>37</v>
      </c>
      <c r="E361">
        <v>25</v>
      </c>
      <c r="F361" t="s">
        <v>38</v>
      </c>
      <c r="G361" t="s">
        <v>39</v>
      </c>
      <c r="H361" t="str" cm="1">
        <f t="array" ref="H361">_xlfn.IFS(I361&lt;30000,"Low",I361&lt;60000,"Medium",I361&lt;100000,"High",TRUE,"Premium")</f>
        <v>Low</v>
      </c>
      <c r="I361" s="2">
        <v>20661</v>
      </c>
      <c r="J361" t="s">
        <v>18</v>
      </c>
      <c r="K361" t="str" cm="1">
        <f t="array" ref="K361">_xlfn.IFS(Table1[[#This Row],[tenure]]&lt;=2,"New",Table1[[#This Row],[tenure]]&lt;=5,"Emerging",Table1[[#This Row],[tenure]]&lt;=8,"Loyal",Table1[[#This Row],[tenure]]&lt;=10,"Legacy")</f>
        <v>Emerging</v>
      </c>
      <c r="L361" t="str">
        <f>TEXT(Table1[[#This Row],[Join_Date]],"mmm-yyyy")</f>
        <v>Sep-2022</v>
      </c>
      <c r="M361">
        <v>3</v>
      </c>
      <c r="N361">
        <f>YEAR(Table1[[#This Row],[Join_Date]])</f>
        <v>2022</v>
      </c>
      <c r="O361" s="1">
        <v>44819</v>
      </c>
      <c r="P361" s="1"/>
    </row>
    <row r="362" spans="1:16" x14ac:dyDescent="0.25">
      <c r="A362" t="s">
        <v>755</v>
      </c>
      <c r="B362" t="s">
        <v>756</v>
      </c>
      <c r="C362" t="s">
        <v>22</v>
      </c>
      <c r="D362" t="s">
        <v>23</v>
      </c>
      <c r="E362">
        <v>58</v>
      </c>
      <c r="F362" t="s">
        <v>24</v>
      </c>
      <c r="G362" t="s">
        <v>39</v>
      </c>
      <c r="H362" t="str" cm="1">
        <f t="array" ref="H362">_xlfn.IFS(I362&lt;30000,"Low",I362&lt;60000,"Medium",I362&lt;100000,"High",TRUE,"Premium")</f>
        <v>Premium</v>
      </c>
      <c r="I362" s="2">
        <v>188484</v>
      </c>
      <c r="J362" t="s">
        <v>18</v>
      </c>
      <c r="K362" t="str" cm="1">
        <f t="array" ref="K362">_xlfn.IFS(Table1[[#This Row],[tenure]]&lt;=2,"New",Table1[[#This Row],[tenure]]&lt;=5,"Emerging",Table1[[#This Row],[tenure]]&lt;=8,"Loyal",Table1[[#This Row],[tenure]]&lt;=10,"Legacy")</f>
        <v>New</v>
      </c>
      <c r="L362" t="str">
        <f>TEXT(Table1[[#This Row],[Join_Date]],"mmm-yyyy")</f>
        <v>Apr-2024</v>
      </c>
      <c r="M362">
        <v>1</v>
      </c>
      <c r="N362">
        <f>YEAR(Table1[[#This Row],[Join_Date]])</f>
        <v>2024</v>
      </c>
      <c r="O362" s="1">
        <v>45392</v>
      </c>
      <c r="P362" s="1"/>
    </row>
    <row r="363" spans="1:16" x14ac:dyDescent="0.25">
      <c r="A363" t="s">
        <v>757</v>
      </c>
      <c r="B363" t="s">
        <v>758</v>
      </c>
      <c r="C363" t="s">
        <v>14</v>
      </c>
      <c r="D363" t="s">
        <v>23</v>
      </c>
      <c r="E363">
        <v>56</v>
      </c>
      <c r="F363" t="s">
        <v>16</v>
      </c>
      <c r="G363" t="s">
        <v>29</v>
      </c>
      <c r="H363" t="str" cm="1">
        <f t="array" ref="H363">_xlfn.IFS(I363&lt;30000,"Low",I363&lt;60000,"Medium",I363&lt;100000,"High",TRUE,"Premium")</f>
        <v>Low</v>
      </c>
      <c r="I363" s="2">
        <v>22920</v>
      </c>
      <c r="J363" t="s">
        <v>18</v>
      </c>
      <c r="K363" t="str" cm="1">
        <f t="array" ref="K363">_xlfn.IFS(Table1[[#This Row],[tenure]]&lt;=2,"New",Table1[[#This Row],[tenure]]&lt;=5,"Emerging",Table1[[#This Row],[tenure]]&lt;=8,"Loyal",Table1[[#This Row],[tenure]]&lt;=10,"Legacy")</f>
        <v>Legacy</v>
      </c>
      <c r="L363" t="str">
        <f>TEXT(Table1[[#This Row],[Join_Date]],"mmm-yyyy")</f>
        <v>Oct-2015</v>
      </c>
      <c r="M363">
        <v>10</v>
      </c>
      <c r="N363">
        <f>YEAR(Table1[[#This Row],[Join_Date]])</f>
        <v>2015</v>
      </c>
      <c r="O363" s="1">
        <v>42295</v>
      </c>
      <c r="P363" s="1"/>
    </row>
    <row r="364" spans="1:16" x14ac:dyDescent="0.25">
      <c r="A364" t="s">
        <v>759</v>
      </c>
      <c r="B364" t="s">
        <v>760</v>
      </c>
      <c r="C364" t="s">
        <v>14</v>
      </c>
      <c r="D364" t="s">
        <v>37</v>
      </c>
      <c r="E364">
        <v>18</v>
      </c>
      <c r="F364" t="s">
        <v>42</v>
      </c>
      <c r="G364" t="s">
        <v>25</v>
      </c>
      <c r="H364" t="str" cm="1">
        <f t="array" ref="H364">_xlfn.IFS(I364&lt;30000,"Low",I364&lt;60000,"Medium",I364&lt;100000,"High",TRUE,"Premium")</f>
        <v>High</v>
      </c>
      <c r="I364" s="2">
        <v>99561</v>
      </c>
      <c r="J364" t="s">
        <v>30</v>
      </c>
      <c r="K364" t="str" cm="1">
        <f t="array" ref="K364">_xlfn.IFS(Table1[[#This Row],[tenure]]&lt;=2,"New",Table1[[#This Row],[tenure]]&lt;=5,"Emerging",Table1[[#This Row],[tenure]]&lt;=8,"Loyal",Table1[[#This Row],[tenure]]&lt;=10,"Legacy")</f>
        <v>Legacy</v>
      </c>
      <c r="L364" t="str">
        <f>TEXT(Table1[[#This Row],[Join_Date]],"mmm-yyyy")</f>
        <v>Jul-2016</v>
      </c>
      <c r="M364">
        <v>9</v>
      </c>
      <c r="N364">
        <f>YEAR(Table1[[#This Row],[Join_Date]])</f>
        <v>2016</v>
      </c>
      <c r="O364" s="1">
        <v>42581</v>
      </c>
      <c r="P364" s="1"/>
    </row>
    <row r="365" spans="1:16" x14ac:dyDescent="0.25">
      <c r="A365" t="s">
        <v>761</v>
      </c>
      <c r="B365" t="s">
        <v>762</v>
      </c>
      <c r="C365" t="s">
        <v>22</v>
      </c>
      <c r="D365" t="s">
        <v>37</v>
      </c>
      <c r="E365">
        <v>20</v>
      </c>
      <c r="F365" t="s">
        <v>38</v>
      </c>
      <c r="G365" t="s">
        <v>17</v>
      </c>
      <c r="H365" t="str" cm="1">
        <f t="array" ref="H365">_xlfn.IFS(I365&lt;30000,"Low",I365&lt;60000,"Medium",I365&lt;100000,"High",TRUE,"Premium")</f>
        <v>Low</v>
      </c>
      <c r="I365" s="2">
        <v>28946</v>
      </c>
      <c r="J365" t="s">
        <v>26</v>
      </c>
      <c r="K365" t="str" cm="1">
        <f t="array" ref="K365">_xlfn.IFS(Table1[[#This Row],[tenure]]&lt;=2,"New",Table1[[#This Row],[tenure]]&lt;=5,"Emerging",Table1[[#This Row],[tenure]]&lt;=8,"Loyal",Table1[[#This Row],[tenure]]&lt;=10,"Legacy")</f>
        <v>Legacy</v>
      </c>
      <c r="L365" t="str">
        <f>TEXT(Table1[[#This Row],[Join_Date]],"mmm-yyyy")</f>
        <v>Mar-2016</v>
      </c>
      <c r="M365">
        <v>10</v>
      </c>
      <c r="N365">
        <f>YEAR(Table1[[#This Row],[Join_Date]])</f>
        <v>2016</v>
      </c>
      <c r="O365" s="1">
        <v>42442</v>
      </c>
      <c r="P365" s="1"/>
    </row>
    <row r="366" spans="1:16" x14ac:dyDescent="0.25">
      <c r="A366" t="s">
        <v>763</v>
      </c>
      <c r="B366" t="s">
        <v>764</v>
      </c>
      <c r="C366" t="s">
        <v>14</v>
      </c>
      <c r="D366" t="s">
        <v>15</v>
      </c>
      <c r="E366">
        <v>30</v>
      </c>
      <c r="F366" t="s">
        <v>24</v>
      </c>
      <c r="G366" t="s">
        <v>34</v>
      </c>
      <c r="H366" t="str" cm="1">
        <f t="array" ref="H366">_xlfn.IFS(I366&lt;30000,"Low",I366&lt;60000,"Medium",I366&lt;100000,"High",TRUE,"Premium")</f>
        <v>Premium</v>
      </c>
      <c r="I366" s="2">
        <v>196572</v>
      </c>
      <c r="J366" t="s">
        <v>18</v>
      </c>
      <c r="K366" t="str" cm="1">
        <f t="array" ref="K366">_xlfn.IFS(Table1[[#This Row],[tenure]]&lt;=2,"New",Table1[[#This Row],[tenure]]&lt;=5,"Emerging",Table1[[#This Row],[tenure]]&lt;=8,"Loyal",Table1[[#This Row],[tenure]]&lt;=10,"Legacy")</f>
        <v>New</v>
      </c>
      <c r="L366" t="str">
        <f>TEXT(Table1[[#This Row],[Join_Date]],"mmm-yyyy")</f>
        <v>Nov-2024</v>
      </c>
      <c r="M366">
        <v>1</v>
      </c>
      <c r="N366">
        <f>YEAR(Table1[[#This Row],[Join_Date]])</f>
        <v>2024</v>
      </c>
      <c r="O366" s="1">
        <v>45607</v>
      </c>
      <c r="P366" s="1"/>
    </row>
    <row r="367" spans="1:16" x14ac:dyDescent="0.25">
      <c r="A367" t="s">
        <v>765</v>
      </c>
      <c r="B367" t="s">
        <v>766</v>
      </c>
      <c r="C367" t="s">
        <v>14</v>
      </c>
      <c r="D367" t="s">
        <v>23</v>
      </c>
      <c r="E367">
        <v>45</v>
      </c>
      <c r="F367" t="s">
        <v>24</v>
      </c>
      <c r="G367" t="s">
        <v>25</v>
      </c>
      <c r="H367" t="str" cm="1">
        <f t="array" ref="H367">_xlfn.IFS(I367&lt;30000,"Low",I367&lt;60000,"Medium",I367&lt;100000,"High",TRUE,"Premium")</f>
        <v>Medium</v>
      </c>
      <c r="I367" s="2">
        <v>36309</v>
      </c>
      <c r="J367" t="s">
        <v>18</v>
      </c>
      <c r="K367" t="str" cm="1">
        <f t="array" ref="K367">_xlfn.IFS(Table1[[#This Row],[tenure]]&lt;=2,"New",Table1[[#This Row],[tenure]]&lt;=5,"Emerging",Table1[[#This Row],[tenure]]&lt;=8,"Loyal",Table1[[#This Row],[tenure]]&lt;=10,"Legacy")</f>
        <v>Loyal</v>
      </c>
      <c r="L367" t="str">
        <f>TEXT(Table1[[#This Row],[Join_Date]],"mmm-yyyy")</f>
        <v>Nov-2019</v>
      </c>
      <c r="M367">
        <v>6</v>
      </c>
      <c r="N367">
        <f>YEAR(Table1[[#This Row],[Join_Date]])</f>
        <v>2019</v>
      </c>
      <c r="O367" s="1">
        <v>43773</v>
      </c>
      <c r="P367" s="1"/>
    </row>
    <row r="368" spans="1:16" x14ac:dyDescent="0.25">
      <c r="A368" t="s">
        <v>767</v>
      </c>
      <c r="B368" t="s">
        <v>768</v>
      </c>
      <c r="C368" t="s">
        <v>22</v>
      </c>
      <c r="D368" t="s">
        <v>54</v>
      </c>
      <c r="E368">
        <v>74</v>
      </c>
      <c r="F368" t="s">
        <v>16</v>
      </c>
      <c r="G368" t="s">
        <v>17</v>
      </c>
      <c r="H368" t="str" cm="1">
        <f t="array" ref="H368">_xlfn.IFS(I368&lt;30000,"Low",I368&lt;60000,"Medium",I368&lt;100000,"High",TRUE,"Premium")</f>
        <v>High</v>
      </c>
      <c r="I368" s="2">
        <v>75230</v>
      </c>
      <c r="J368" t="s">
        <v>18</v>
      </c>
      <c r="K368" t="str" cm="1">
        <f t="array" ref="K368">_xlfn.IFS(Table1[[#This Row],[tenure]]&lt;=2,"New",Table1[[#This Row],[tenure]]&lt;=5,"Emerging",Table1[[#This Row],[tenure]]&lt;=8,"Loyal",Table1[[#This Row],[tenure]]&lt;=10,"Legacy")</f>
        <v>Loyal</v>
      </c>
      <c r="L368" t="str">
        <f>TEXT(Table1[[#This Row],[Join_Date]],"mmm-yyyy")</f>
        <v>Nov-2019</v>
      </c>
      <c r="M368">
        <v>6</v>
      </c>
      <c r="N368">
        <f>YEAR(Table1[[#This Row],[Join_Date]])</f>
        <v>2019</v>
      </c>
      <c r="O368" s="1">
        <v>43795</v>
      </c>
      <c r="P368" s="1"/>
    </row>
    <row r="369" spans="1:16" x14ac:dyDescent="0.25">
      <c r="A369" t="s">
        <v>769</v>
      </c>
      <c r="B369" t="s">
        <v>770</v>
      </c>
      <c r="C369" t="s">
        <v>22</v>
      </c>
      <c r="D369" t="s">
        <v>54</v>
      </c>
      <c r="E369">
        <v>66</v>
      </c>
      <c r="F369" t="s">
        <v>38</v>
      </c>
      <c r="G369" t="s">
        <v>17</v>
      </c>
      <c r="H369" t="str" cm="1">
        <f t="array" ref="H369">_xlfn.IFS(I369&lt;30000,"Low",I369&lt;60000,"Medium",I369&lt;100000,"High",TRUE,"Premium")</f>
        <v>Premium</v>
      </c>
      <c r="I369" s="2">
        <v>131822</v>
      </c>
      <c r="J369" t="s">
        <v>26</v>
      </c>
      <c r="K369" t="str" cm="1">
        <f t="array" ref="K369">_xlfn.IFS(Table1[[#This Row],[tenure]]&lt;=2,"New",Table1[[#This Row],[tenure]]&lt;=5,"Emerging",Table1[[#This Row],[tenure]]&lt;=8,"Loyal",Table1[[#This Row],[tenure]]&lt;=10,"Legacy")</f>
        <v>Loyal</v>
      </c>
      <c r="L369" t="str">
        <f>TEXT(Table1[[#This Row],[Join_Date]],"mmm-yyyy")</f>
        <v>Dec-2019</v>
      </c>
      <c r="M369">
        <v>6</v>
      </c>
      <c r="N369">
        <f>YEAR(Table1[[#This Row],[Join_Date]])</f>
        <v>2019</v>
      </c>
      <c r="O369" s="1">
        <v>43811</v>
      </c>
      <c r="P369" s="1"/>
    </row>
    <row r="370" spans="1:16" x14ac:dyDescent="0.25">
      <c r="A370" t="s">
        <v>771</v>
      </c>
      <c r="B370" t="s">
        <v>772</v>
      </c>
      <c r="C370" t="s">
        <v>14</v>
      </c>
      <c r="D370" t="s">
        <v>15</v>
      </c>
      <c r="E370">
        <v>42</v>
      </c>
      <c r="F370" t="s">
        <v>38</v>
      </c>
      <c r="G370" t="s">
        <v>46</v>
      </c>
      <c r="H370" t="str" cm="1">
        <f t="array" ref="H370">_xlfn.IFS(I370&lt;30000,"Low",I370&lt;60000,"Medium",I370&lt;100000,"High",TRUE,"Premium")</f>
        <v>Premium</v>
      </c>
      <c r="I370" s="2">
        <v>181099</v>
      </c>
      <c r="J370" t="s">
        <v>26</v>
      </c>
      <c r="K370" t="str" cm="1">
        <f t="array" ref="K370">_xlfn.IFS(Table1[[#This Row],[tenure]]&lt;=2,"New",Table1[[#This Row],[tenure]]&lt;=5,"Emerging",Table1[[#This Row],[tenure]]&lt;=8,"Loyal",Table1[[#This Row],[tenure]]&lt;=10,"Legacy")</f>
        <v>Emerging</v>
      </c>
      <c r="L370" t="str">
        <f>TEXT(Table1[[#This Row],[Join_Date]],"mmm-yyyy")</f>
        <v>Jan-2023</v>
      </c>
      <c r="M370">
        <v>3</v>
      </c>
      <c r="N370">
        <f>YEAR(Table1[[#This Row],[Join_Date]])</f>
        <v>2023</v>
      </c>
      <c r="O370" s="1">
        <v>44954</v>
      </c>
      <c r="P370" s="1"/>
    </row>
    <row r="371" spans="1:16" x14ac:dyDescent="0.25">
      <c r="A371" t="s">
        <v>773</v>
      </c>
      <c r="B371" t="s">
        <v>774</v>
      </c>
      <c r="C371" t="s">
        <v>14</v>
      </c>
      <c r="D371" t="s">
        <v>54</v>
      </c>
      <c r="E371">
        <v>73</v>
      </c>
      <c r="F371" t="s">
        <v>42</v>
      </c>
      <c r="G371" t="s">
        <v>34</v>
      </c>
      <c r="H371" t="str" cm="1">
        <f t="array" ref="H371">_xlfn.IFS(I371&lt;30000,"Low",I371&lt;60000,"Medium",I371&lt;100000,"High",TRUE,"Premium")</f>
        <v>Premium</v>
      </c>
      <c r="I371" s="2">
        <v>132340</v>
      </c>
      <c r="J371" t="s">
        <v>18</v>
      </c>
      <c r="K371" t="str" cm="1">
        <f t="array" ref="K371">_xlfn.IFS(Table1[[#This Row],[tenure]]&lt;=2,"New",Table1[[#This Row],[tenure]]&lt;=5,"Emerging",Table1[[#This Row],[tenure]]&lt;=8,"Loyal",Table1[[#This Row],[tenure]]&lt;=10,"Legacy")</f>
        <v>Legacy</v>
      </c>
      <c r="L371" t="str">
        <f>TEXT(Table1[[#This Row],[Join_Date]],"mmm-yyyy")</f>
        <v>Jun-2016</v>
      </c>
      <c r="M371">
        <v>9</v>
      </c>
      <c r="N371">
        <f>YEAR(Table1[[#This Row],[Join_Date]])</f>
        <v>2016</v>
      </c>
      <c r="O371" s="1">
        <v>42545</v>
      </c>
      <c r="P371" s="1"/>
    </row>
    <row r="372" spans="1:16" x14ac:dyDescent="0.25">
      <c r="A372" t="s">
        <v>775</v>
      </c>
      <c r="B372" t="s">
        <v>776</v>
      </c>
      <c r="C372" t="s">
        <v>22</v>
      </c>
      <c r="D372" t="s">
        <v>23</v>
      </c>
      <c r="E372">
        <v>50</v>
      </c>
      <c r="F372" t="s">
        <v>38</v>
      </c>
      <c r="G372" t="s">
        <v>46</v>
      </c>
      <c r="H372" t="str" cm="1">
        <f t="array" ref="H372">_xlfn.IFS(I372&lt;30000,"Low",I372&lt;60000,"Medium",I372&lt;100000,"High",TRUE,"Premium")</f>
        <v>High</v>
      </c>
      <c r="I372" s="2">
        <v>79321</v>
      </c>
      <c r="J372" t="s">
        <v>18</v>
      </c>
      <c r="K372" t="str" cm="1">
        <f t="array" ref="K372">_xlfn.IFS(Table1[[#This Row],[tenure]]&lt;=2,"New",Table1[[#This Row],[tenure]]&lt;=5,"Emerging",Table1[[#This Row],[tenure]]&lt;=8,"Loyal",Table1[[#This Row],[tenure]]&lt;=10,"Legacy")</f>
        <v>Loyal</v>
      </c>
      <c r="L372" t="str">
        <f>TEXT(Table1[[#This Row],[Join_Date]],"mmm-yyyy")</f>
        <v>Nov-2017</v>
      </c>
      <c r="M372">
        <v>8</v>
      </c>
      <c r="N372">
        <f>YEAR(Table1[[#This Row],[Join_Date]])</f>
        <v>2017</v>
      </c>
      <c r="O372" s="1">
        <v>43047</v>
      </c>
      <c r="P372" s="1"/>
    </row>
    <row r="373" spans="1:16" x14ac:dyDescent="0.25">
      <c r="A373" t="s">
        <v>777</v>
      </c>
      <c r="B373" t="s">
        <v>778</v>
      </c>
      <c r="C373" t="s">
        <v>22</v>
      </c>
      <c r="D373" t="s">
        <v>23</v>
      </c>
      <c r="E373">
        <v>55</v>
      </c>
      <c r="F373" t="s">
        <v>38</v>
      </c>
      <c r="G373" t="s">
        <v>29</v>
      </c>
      <c r="H373" t="str" cm="1">
        <f t="array" ref="H373">_xlfn.IFS(I373&lt;30000,"Low",I373&lt;60000,"Medium",I373&lt;100000,"High",TRUE,"Premium")</f>
        <v>Premium</v>
      </c>
      <c r="I373" s="2">
        <v>152028</v>
      </c>
      <c r="J373" t="s">
        <v>18</v>
      </c>
      <c r="K373" t="str" cm="1">
        <f t="array" ref="K373">_xlfn.IFS(Table1[[#This Row],[tenure]]&lt;=2,"New",Table1[[#This Row],[tenure]]&lt;=5,"Emerging",Table1[[#This Row],[tenure]]&lt;=8,"Loyal",Table1[[#This Row],[tenure]]&lt;=10,"Legacy")</f>
        <v>Emerging</v>
      </c>
      <c r="L373" t="str">
        <f>TEXT(Table1[[#This Row],[Join_Date]],"mmm-yyyy")</f>
        <v>Jul-2022</v>
      </c>
      <c r="M373">
        <v>3</v>
      </c>
      <c r="N373">
        <f>YEAR(Table1[[#This Row],[Join_Date]])</f>
        <v>2022</v>
      </c>
      <c r="O373" s="1">
        <v>44745</v>
      </c>
      <c r="P373" s="1"/>
    </row>
    <row r="374" spans="1:16" x14ac:dyDescent="0.25">
      <c r="A374" t="s">
        <v>779</v>
      </c>
      <c r="B374" t="s">
        <v>780</v>
      </c>
      <c r="C374" t="s">
        <v>22</v>
      </c>
      <c r="D374" t="s">
        <v>54</v>
      </c>
      <c r="E374">
        <v>70</v>
      </c>
      <c r="F374" t="s">
        <v>16</v>
      </c>
      <c r="G374" t="s">
        <v>46</v>
      </c>
      <c r="H374" t="str" cm="1">
        <f t="array" ref="H374">_xlfn.IFS(I374&lt;30000,"Low",I374&lt;60000,"Medium",I374&lt;100000,"High",TRUE,"Premium")</f>
        <v>High</v>
      </c>
      <c r="I374" s="2">
        <v>94131</v>
      </c>
      <c r="J374" t="s">
        <v>26</v>
      </c>
      <c r="K374" t="str" cm="1">
        <f t="array" ref="K374">_xlfn.IFS(Table1[[#This Row],[tenure]]&lt;=2,"New",Table1[[#This Row],[tenure]]&lt;=5,"Emerging",Table1[[#This Row],[tenure]]&lt;=8,"Loyal",Table1[[#This Row],[tenure]]&lt;=10,"Legacy")</f>
        <v>New</v>
      </c>
      <c r="L374" t="str">
        <f>TEXT(Table1[[#This Row],[Join_Date]],"mmm-yyyy")</f>
        <v>Jul-2024</v>
      </c>
      <c r="M374">
        <v>1</v>
      </c>
      <c r="N374">
        <f>YEAR(Table1[[#This Row],[Join_Date]])</f>
        <v>2024</v>
      </c>
      <c r="O374" s="1">
        <v>45501</v>
      </c>
      <c r="P374" s="1"/>
    </row>
    <row r="375" spans="1:16" x14ac:dyDescent="0.25">
      <c r="A375" t="s">
        <v>781</v>
      </c>
      <c r="B375" t="s">
        <v>782</v>
      </c>
      <c r="C375" t="s">
        <v>22</v>
      </c>
      <c r="D375" t="s">
        <v>37</v>
      </c>
      <c r="E375">
        <v>23</v>
      </c>
      <c r="F375" t="s">
        <v>38</v>
      </c>
      <c r="G375" t="s">
        <v>51</v>
      </c>
      <c r="H375" t="str" cm="1">
        <f t="array" ref="H375">_xlfn.IFS(I375&lt;30000,"Low",I375&lt;60000,"Medium",I375&lt;100000,"High",TRUE,"Premium")</f>
        <v>Premium</v>
      </c>
      <c r="I375" s="2">
        <v>198980</v>
      </c>
      <c r="J375" t="s">
        <v>26</v>
      </c>
      <c r="K375" t="str" cm="1">
        <f t="array" ref="K375">_xlfn.IFS(Table1[[#This Row],[tenure]]&lt;=2,"New",Table1[[#This Row],[tenure]]&lt;=5,"Emerging",Table1[[#This Row],[tenure]]&lt;=8,"Loyal",Table1[[#This Row],[tenure]]&lt;=10,"Legacy")</f>
        <v>Loyal</v>
      </c>
      <c r="L375" t="str">
        <f>TEXT(Table1[[#This Row],[Join_Date]],"mmm-yyyy")</f>
        <v>Oct-2019</v>
      </c>
      <c r="M375">
        <v>6</v>
      </c>
      <c r="N375">
        <f>YEAR(Table1[[#This Row],[Join_Date]])</f>
        <v>2019</v>
      </c>
      <c r="O375" s="1">
        <v>43750</v>
      </c>
      <c r="P375" s="1"/>
    </row>
    <row r="376" spans="1:16" x14ac:dyDescent="0.25">
      <c r="A376" t="s">
        <v>783</v>
      </c>
      <c r="B376" t="s">
        <v>784</v>
      </c>
      <c r="C376" t="s">
        <v>14</v>
      </c>
      <c r="D376" t="s">
        <v>54</v>
      </c>
      <c r="E376">
        <v>61</v>
      </c>
      <c r="F376" t="s">
        <v>24</v>
      </c>
      <c r="G376" t="s">
        <v>46</v>
      </c>
      <c r="H376" t="str" cm="1">
        <f t="array" ref="H376">_xlfn.IFS(I376&lt;30000,"Low",I376&lt;60000,"Medium",I376&lt;100000,"High",TRUE,"Premium")</f>
        <v>Medium</v>
      </c>
      <c r="I376" s="2">
        <v>45963</v>
      </c>
      <c r="J376" t="s">
        <v>18</v>
      </c>
      <c r="K376" t="str" cm="1">
        <f t="array" ref="K376">_xlfn.IFS(Table1[[#This Row],[tenure]]&lt;=2,"New",Table1[[#This Row],[tenure]]&lt;=5,"Emerging",Table1[[#This Row],[tenure]]&lt;=8,"Loyal",Table1[[#This Row],[tenure]]&lt;=10,"Legacy")</f>
        <v>Emerging</v>
      </c>
      <c r="L376" t="str">
        <f>TEXT(Table1[[#This Row],[Join_Date]],"mmm-yyyy")</f>
        <v>Aug-2022</v>
      </c>
      <c r="M376">
        <v>3</v>
      </c>
      <c r="N376">
        <f>YEAR(Table1[[#This Row],[Join_Date]])</f>
        <v>2022</v>
      </c>
      <c r="O376" s="1">
        <v>44798</v>
      </c>
      <c r="P376" s="1"/>
    </row>
    <row r="377" spans="1:16" x14ac:dyDescent="0.25">
      <c r="A377" t="s">
        <v>785</v>
      </c>
      <c r="B377" t="s">
        <v>786</v>
      </c>
      <c r="C377" t="s">
        <v>22</v>
      </c>
      <c r="D377" t="s">
        <v>54</v>
      </c>
      <c r="E377">
        <v>62</v>
      </c>
      <c r="F377" t="s">
        <v>16</v>
      </c>
      <c r="G377" t="s">
        <v>51</v>
      </c>
      <c r="H377" t="str" cm="1">
        <f t="array" ref="H377">_xlfn.IFS(I377&lt;30000,"Low",I377&lt;60000,"Medium",I377&lt;100000,"High",TRUE,"Premium")</f>
        <v>Premium</v>
      </c>
      <c r="I377" s="2">
        <v>121757</v>
      </c>
      <c r="J377" t="s">
        <v>18</v>
      </c>
      <c r="K377" t="str" cm="1">
        <f t="array" ref="K377">_xlfn.IFS(Table1[[#This Row],[tenure]]&lt;=2,"New",Table1[[#This Row],[tenure]]&lt;=5,"Emerging",Table1[[#This Row],[tenure]]&lt;=8,"Loyal",Table1[[#This Row],[tenure]]&lt;=10,"Legacy")</f>
        <v>Legacy</v>
      </c>
      <c r="L377" t="str">
        <f>TEXT(Table1[[#This Row],[Join_Date]],"mmm-yyyy")</f>
        <v>Oct-2015</v>
      </c>
      <c r="M377">
        <v>10</v>
      </c>
      <c r="N377">
        <f>YEAR(Table1[[#This Row],[Join_Date]])</f>
        <v>2015</v>
      </c>
      <c r="O377" s="1">
        <v>42284</v>
      </c>
      <c r="P377" s="1"/>
    </row>
    <row r="378" spans="1:16" x14ac:dyDescent="0.25">
      <c r="A378" t="s">
        <v>787</v>
      </c>
      <c r="B378" t="s">
        <v>788</v>
      </c>
      <c r="C378" t="s">
        <v>22</v>
      </c>
      <c r="D378" t="s">
        <v>23</v>
      </c>
      <c r="E378">
        <v>49</v>
      </c>
      <c r="F378" t="s">
        <v>16</v>
      </c>
      <c r="G378" t="s">
        <v>25</v>
      </c>
      <c r="H378" t="str" cm="1">
        <f t="array" ref="H378">_xlfn.IFS(I378&lt;30000,"Low",I378&lt;60000,"Medium",I378&lt;100000,"High",TRUE,"Premium")</f>
        <v>Premium</v>
      </c>
      <c r="I378" s="2">
        <v>190515</v>
      </c>
      <c r="J378" t="s">
        <v>18</v>
      </c>
      <c r="K378" t="str" cm="1">
        <f t="array" ref="K378">_xlfn.IFS(Table1[[#This Row],[tenure]]&lt;=2,"New",Table1[[#This Row],[tenure]]&lt;=5,"Emerging",Table1[[#This Row],[tenure]]&lt;=8,"Loyal",Table1[[#This Row],[tenure]]&lt;=10,"Legacy")</f>
        <v>Emerging</v>
      </c>
      <c r="L378" t="str">
        <f>TEXT(Table1[[#This Row],[Join_Date]],"mmm-yyyy")</f>
        <v>Dec-2022</v>
      </c>
      <c r="M378">
        <v>3</v>
      </c>
      <c r="N378">
        <f>YEAR(Table1[[#This Row],[Join_Date]])</f>
        <v>2022</v>
      </c>
      <c r="O378" s="1">
        <v>44918</v>
      </c>
      <c r="P378" s="1"/>
    </row>
    <row r="379" spans="1:16" x14ac:dyDescent="0.25">
      <c r="A379" t="s">
        <v>789</v>
      </c>
      <c r="B379" t="s">
        <v>790</v>
      </c>
      <c r="C379" t="s">
        <v>14</v>
      </c>
      <c r="D379" t="s">
        <v>54</v>
      </c>
      <c r="E379">
        <v>62</v>
      </c>
      <c r="F379" t="s">
        <v>42</v>
      </c>
      <c r="G379" t="s">
        <v>39</v>
      </c>
      <c r="H379" t="str" cm="1">
        <f t="array" ref="H379">_xlfn.IFS(I379&lt;30000,"Low",I379&lt;60000,"Medium",I379&lt;100000,"High",TRUE,"Premium")</f>
        <v>Premium</v>
      </c>
      <c r="I379" s="2">
        <v>119259</v>
      </c>
      <c r="J379" t="s">
        <v>30</v>
      </c>
      <c r="K379" t="str" cm="1">
        <f t="array" ref="K379">_xlfn.IFS(Table1[[#This Row],[tenure]]&lt;=2,"New",Table1[[#This Row],[tenure]]&lt;=5,"Emerging",Table1[[#This Row],[tenure]]&lt;=8,"Loyal",Table1[[#This Row],[tenure]]&lt;=10,"Legacy")</f>
        <v>Legacy</v>
      </c>
      <c r="L379" t="str">
        <f>TEXT(Table1[[#This Row],[Join_Date]],"mmm-yyyy")</f>
        <v>Dec-2016</v>
      </c>
      <c r="M379">
        <v>9</v>
      </c>
      <c r="N379">
        <f>YEAR(Table1[[#This Row],[Join_Date]])</f>
        <v>2016</v>
      </c>
      <c r="O379" s="1">
        <v>42731</v>
      </c>
      <c r="P379" s="1"/>
    </row>
    <row r="380" spans="1:16" x14ac:dyDescent="0.25">
      <c r="A380" t="s">
        <v>791</v>
      </c>
      <c r="B380" t="s">
        <v>792</v>
      </c>
      <c r="C380" t="s">
        <v>22</v>
      </c>
      <c r="D380" t="s">
        <v>54</v>
      </c>
      <c r="E380">
        <v>64</v>
      </c>
      <c r="F380" t="s">
        <v>38</v>
      </c>
      <c r="G380" t="s">
        <v>17</v>
      </c>
      <c r="H380" t="str" cm="1">
        <f t="array" ref="H380">_xlfn.IFS(I380&lt;30000,"Low",I380&lt;60000,"Medium",I380&lt;100000,"High",TRUE,"Premium")</f>
        <v>Medium</v>
      </c>
      <c r="I380" s="2">
        <v>59063</v>
      </c>
      <c r="J380" t="s">
        <v>18</v>
      </c>
      <c r="K380" t="str" cm="1">
        <f t="array" ref="K380">_xlfn.IFS(Table1[[#This Row],[tenure]]&lt;=2,"New",Table1[[#This Row],[tenure]]&lt;=5,"Emerging",Table1[[#This Row],[tenure]]&lt;=8,"Loyal",Table1[[#This Row],[tenure]]&lt;=10,"Legacy")</f>
        <v>Emerging</v>
      </c>
      <c r="L380" t="str">
        <f>TEXT(Table1[[#This Row],[Join_Date]],"mmm-yyyy")</f>
        <v>Feb-2023</v>
      </c>
      <c r="M380">
        <v>3</v>
      </c>
      <c r="N380">
        <f>YEAR(Table1[[#This Row],[Join_Date]])</f>
        <v>2023</v>
      </c>
      <c r="O380" s="1">
        <v>44972</v>
      </c>
      <c r="P380" s="1"/>
    </row>
    <row r="381" spans="1:16" x14ac:dyDescent="0.25">
      <c r="A381" t="s">
        <v>793</v>
      </c>
      <c r="B381" t="s">
        <v>794</v>
      </c>
      <c r="C381" t="s">
        <v>14</v>
      </c>
      <c r="D381" t="s">
        <v>15</v>
      </c>
      <c r="E381">
        <v>38</v>
      </c>
      <c r="F381" t="s">
        <v>42</v>
      </c>
      <c r="G381" t="s">
        <v>51</v>
      </c>
      <c r="H381" t="str" cm="1">
        <f t="array" ref="H381">_xlfn.IFS(I381&lt;30000,"Low",I381&lt;60000,"Medium",I381&lt;100000,"High",TRUE,"Premium")</f>
        <v>Premium</v>
      </c>
      <c r="I381" s="2">
        <v>134225</v>
      </c>
      <c r="J381" t="s">
        <v>26</v>
      </c>
      <c r="K381" t="str" cm="1">
        <f t="array" ref="K381">_xlfn.IFS(Table1[[#This Row],[tenure]]&lt;=2,"New",Table1[[#This Row],[tenure]]&lt;=5,"Emerging",Table1[[#This Row],[tenure]]&lt;=8,"Loyal",Table1[[#This Row],[tenure]]&lt;=10,"Legacy")</f>
        <v>Emerging</v>
      </c>
      <c r="L381" t="str">
        <f>TEXT(Table1[[#This Row],[Join_Date]],"mmm-yyyy")</f>
        <v>Dec-2021</v>
      </c>
      <c r="M381">
        <v>4</v>
      </c>
      <c r="N381">
        <f>YEAR(Table1[[#This Row],[Join_Date]])</f>
        <v>2021</v>
      </c>
      <c r="O381" s="1">
        <v>44538</v>
      </c>
      <c r="P381" s="1"/>
    </row>
    <row r="382" spans="1:16" x14ac:dyDescent="0.25">
      <c r="A382" t="s">
        <v>795</v>
      </c>
      <c r="B382" t="s">
        <v>796</v>
      </c>
      <c r="C382" t="s">
        <v>22</v>
      </c>
      <c r="D382" t="s">
        <v>15</v>
      </c>
      <c r="E382">
        <v>33</v>
      </c>
      <c r="F382" t="s">
        <v>24</v>
      </c>
      <c r="G382" t="s">
        <v>34</v>
      </c>
      <c r="H382" t="str" cm="1">
        <f t="array" ref="H382">_xlfn.IFS(I382&lt;30000,"Low",I382&lt;60000,"Medium",I382&lt;100000,"High",TRUE,"Premium")</f>
        <v>Premium</v>
      </c>
      <c r="I382" s="2">
        <v>136400</v>
      </c>
      <c r="J382" t="s">
        <v>26</v>
      </c>
      <c r="K382" t="str" cm="1">
        <f t="array" ref="K382">_xlfn.IFS(Table1[[#This Row],[tenure]]&lt;=2,"New",Table1[[#This Row],[tenure]]&lt;=5,"Emerging",Table1[[#This Row],[tenure]]&lt;=8,"Loyal",Table1[[#This Row],[tenure]]&lt;=10,"Legacy")</f>
        <v>Loyal</v>
      </c>
      <c r="L382" t="str">
        <f>TEXT(Table1[[#This Row],[Join_Date]],"mmm-yyyy")</f>
        <v>Dec-2018</v>
      </c>
      <c r="M382">
        <v>7</v>
      </c>
      <c r="N382">
        <f>YEAR(Table1[[#This Row],[Join_Date]])</f>
        <v>2018</v>
      </c>
      <c r="O382" s="1">
        <v>43463</v>
      </c>
      <c r="P382" s="1"/>
    </row>
    <row r="383" spans="1:16" x14ac:dyDescent="0.25">
      <c r="A383" t="s">
        <v>797</v>
      </c>
      <c r="B383" t="s">
        <v>798</v>
      </c>
      <c r="C383" t="s">
        <v>22</v>
      </c>
      <c r="D383" t="s">
        <v>54</v>
      </c>
      <c r="E383">
        <v>71</v>
      </c>
      <c r="F383" t="s">
        <v>16</v>
      </c>
      <c r="G383" t="s">
        <v>46</v>
      </c>
      <c r="H383" t="str" cm="1">
        <f t="array" ref="H383">_xlfn.IFS(I383&lt;30000,"Low",I383&lt;60000,"Medium",I383&lt;100000,"High",TRUE,"Premium")</f>
        <v>Premium</v>
      </c>
      <c r="I383" s="2">
        <v>100818</v>
      </c>
      <c r="J383" t="s">
        <v>18</v>
      </c>
      <c r="K383" t="str" cm="1">
        <f t="array" ref="K383">_xlfn.IFS(Table1[[#This Row],[tenure]]&lt;=2,"New",Table1[[#This Row],[tenure]]&lt;=5,"Emerging",Table1[[#This Row],[tenure]]&lt;=8,"Loyal",Table1[[#This Row],[tenure]]&lt;=10,"Legacy")</f>
        <v>Emerging</v>
      </c>
      <c r="L383" t="str">
        <f>TEXT(Table1[[#This Row],[Join_Date]],"mmm-yyyy")</f>
        <v>Jun-2020</v>
      </c>
      <c r="M383">
        <v>5</v>
      </c>
      <c r="N383">
        <f>YEAR(Table1[[#This Row],[Join_Date]])</f>
        <v>2020</v>
      </c>
      <c r="O383" s="1">
        <v>43995</v>
      </c>
      <c r="P383" s="1"/>
    </row>
    <row r="384" spans="1:16" x14ac:dyDescent="0.25">
      <c r="A384" t="s">
        <v>799</v>
      </c>
      <c r="B384" t="s">
        <v>800</v>
      </c>
      <c r="C384" t="s">
        <v>22</v>
      </c>
      <c r="D384" t="s">
        <v>15</v>
      </c>
      <c r="E384">
        <v>38</v>
      </c>
      <c r="F384" t="s">
        <v>16</v>
      </c>
      <c r="G384" t="s">
        <v>51</v>
      </c>
      <c r="H384" t="str" cm="1">
        <f t="array" ref="H384">_xlfn.IFS(I384&lt;30000,"Low",I384&lt;60000,"Medium",I384&lt;100000,"High",TRUE,"Premium")</f>
        <v>Low</v>
      </c>
      <c r="I384" s="2">
        <v>24703</v>
      </c>
      <c r="J384" t="s">
        <v>18</v>
      </c>
      <c r="K384" t="str" cm="1">
        <f t="array" ref="K384">_xlfn.IFS(Table1[[#This Row],[tenure]]&lt;=2,"New",Table1[[#This Row],[tenure]]&lt;=5,"Emerging",Table1[[#This Row],[tenure]]&lt;=8,"Loyal",Table1[[#This Row],[tenure]]&lt;=10,"Legacy")</f>
        <v>Emerging</v>
      </c>
      <c r="L384" t="str">
        <f>TEXT(Table1[[#This Row],[Join_Date]],"mmm-yyyy")</f>
        <v>Dec-2022</v>
      </c>
      <c r="M384">
        <v>3</v>
      </c>
      <c r="N384">
        <f>YEAR(Table1[[#This Row],[Join_Date]])</f>
        <v>2022</v>
      </c>
      <c r="O384" s="1">
        <v>44896</v>
      </c>
      <c r="P384" s="1"/>
    </row>
    <row r="385" spans="1:16" x14ac:dyDescent="0.25">
      <c r="A385" t="s">
        <v>801</v>
      </c>
      <c r="B385" t="s">
        <v>802</v>
      </c>
      <c r="C385" t="s">
        <v>14</v>
      </c>
      <c r="D385" t="s">
        <v>37</v>
      </c>
      <c r="E385">
        <v>28</v>
      </c>
      <c r="F385" t="s">
        <v>16</v>
      </c>
      <c r="G385" t="s">
        <v>34</v>
      </c>
      <c r="H385" t="str" cm="1">
        <f t="array" ref="H385">_xlfn.IFS(I385&lt;30000,"Low",I385&lt;60000,"Medium",I385&lt;100000,"High",TRUE,"Premium")</f>
        <v>High</v>
      </c>
      <c r="I385" s="2">
        <v>92099</v>
      </c>
      <c r="J385" t="s">
        <v>18</v>
      </c>
      <c r="K385" t="str" cm="1">
        <f t="array" ref="K385">_xlfn.IFS(Table1[[#This Row],[tenure]]&lt;=2,"New",Table1[[#This Row],[tenure]]&lt;=5,"Emerging",Table1[[#This Row],[tenure]]&lt;=8,"Loyal",Table1[[#This Row],[tenure]]&lt;=10,"Legacy")</f>
        <v>Emerging</v>
      </c>
      <c r="L385" t="str">
        <f>TEXT(Table1[[#This Row],[Join_Date]],"mmm-yyyy")</f>
        <v>Aug-2021</v>
      </c>
      <c r="M385">
        <v>4</v>
      </c>
      <c r="N385">
        <f>YEAR(Table1[[#This Row],[Join_Date]])</f>
        <v>2021</v>
      </c>
      <c r="O385" s="1">
        <v>44410</v>
      </c>
      <c r="P385" s="1"/>
    </row>
    <row r="386" spans="1:16" x14ac:dyDescent="0.25">
      <c r="A386" t="s">
        <v>803</v>
      </c>
      <c r="B386" t="s">
        <v>804</v>
      </c>
      <c r="C386" t="s">
        <v>14</v>
      </c>
      <c r="D386" t="s">
        <v>23</v>
      </c>
      <c r="E386">
        <v>54</v>
      </c>
      <c r="F386" t="s">
        <v>24</v>
      </c>
      <c r="G386" t="s">
        <v>39</v>
      </c>
      <c r="H386" t="str" cm="1">
        <f t="array" ref="H386">_xlfn.IFS(I386&lt;30000,"Low",I386&lt;60000,"Medium",I386&lt;100000,"High",TRUE,"Premium")</f>
        <v>Premium</v>
      </c>
      <c r="I386" s="2">
        <v>176921</v>
      </c>
      <c r="J386" t="s">
        <v>26</v>
      </c>
      <c r="K386" t="str" cm="1">
        <f t="array" ref="K386">_xlfn.IFS(Table1[[#This Row],[tenure]]&lt;=2,"New",Table1[[#This Row],[tenure]]&lt;=5,"Emerging",Table1[[#This Row],[tenure]]&lt;=8,"Loyal",Table1[[#This Row],[tenure]]&lt;=10,"Legacy")</f>
        <v>Emerging</v>
      </c>
      <c r="L386" t="str">
        <f>TEXT(Table1[[#This Row],[Join_Date]],"mmm-yyyy")</f>
        <v>Nov-2022</v>
      </c>
      <c r="M386">
        <v>3</v>
      </c>
      <c r="N386">
        <f>YEAR(Table1[[#This Row],[Join_Date]])</f>
        <v>2022</v>
      </c>
      <c r="O386" s="1">
        <v>44889</v>
      </c>
      <c r="P386" s="1"/>
    </row>
    <row r="387" spans="1:16" x14ac:dyDescent="0.25">
      <c r="A387" t="s">
        <v>805</v>
      </c>
      <c r="B387" t="s">
        <v>806</v>
      </c>
      <c r="C387" t="s">
        <v>22</v>
      </c>
      <c r="D387" t="s">
        <v>23</v>
      </c>
      <c r="E387">
        <v>53</v>
      </c>
      <c r="F387" t="s">
        <v>24</v>
      </c>
      <c r="G387" t="s">
        <v>39</v>
      </c>
      <c r="H387" t="str" cm="1">
        <f t="array" ref="H387">_xlfn.IFS(I387&lt;30000,"Low",I387&lt;60000,"Medium",I387&lt;100000,"High",TRUE,"Premium")</f>
        <v>Premium</v>
      </c>
      <c r="I387" s="2">
        <v>182932</v>
      </c>
      <c r="J387" t="s">
        <v>26</v>
      </c>
      <c r="K387" t="str" cm="1">
        <f t="array" ref="K387">_xlfn.IFS(Table1[[#This Row],[tenure]]&lt;=2,"New",Table1[[#This Row],[tenure]]&lt;=5,"Emerging",Table1[[#This Row],[tenure]]&lt;=8,"Loyal",Table1[[#This Row],[tenure]]&lt;=10,"Legacy")</f>
        <v>New</v>
      </c>
      <c r="L387" t="str">
        <f>TEXT(Table1[[#This Row],[Join_Date]],"mmm-yyyy")</f>
        <v>Aug-2023</v>
      </c>
      <c r="M387">
        <v>2</v>
      </c>
      <c r="N387">
        <f>YEAR(Table1[[#This Row],[Join_Date]])</f>
        <v>2023</v>
      </c>
      <c r="O387" s="1">
        <v>45157</v>
      </c>
      <c r="P387" s="1"/>
    </row>
    <row r="388" spans="1:16" x14ac:dyDescent="0.25">
      <c r="A388" t="s">
        <v>807</v>
      </c>
      <c r="B388" t="s">
        <v>808</v>
      </c>
      <c r="C388" t="s">
        <v>14</v>
      </c>
      <c r="D388" t="s">
        <v>23</v>
      </c>
      <c r="E388">
        <v>52</v>
      </c>
      <c r="F388" t="s">
        <v>42</v>
      </c>
      <c r="G388" t="s">
        <v>46</v>
      </c>
      <c r="H388" t="str" cm="1">
        <f t="array" ref="H388">_xlfn.IFS(I388&lt;30000,"Low",I388&lt;60000,"Medium",I388&lt;100000,"High",TRUE,"Premium")</f>
        <v>Medium</v>
      </c>
      <c r="I388" s="2">
        <v>51585</v>
      </c>
      <c r="J388" t="s">
        <v>26</v>
      </c>
      <c r="K388" t="str" cm="1">
        <f t="array" ref="K388">_xlfn.IFS(Table1[[#This Row],[tenure]]&lt;=2,"New",Table1[[#This Row],[tenure]]&lt;=5,"Emerging",Table1[[#This Row],[tenure]]&lt;=8,"Loyal",Table1[[#This Row],[tenure]]&lt;=10,"Legacy")</f>
        <v>Loyal</v>
      </c>
      <c r="L388" t="str">
        <f>TEXT(Table1[[#This Row],[Join_Date]],"mmm-yyyy")</f>
        <v>Apr-2019</v>
      </c>
      <c r="M388">
        <v>6</v>
      </c>
      <c r="N388">
        <f>YEAR(Table1[[#This Row],[Join_Date]])</f>
        <v>2019</v>
      </c>
      <c r="O388" s="1">
        <v>43577</v>
      </c>
      <c r="P388" s="1"/>
    </row>
    <row r="389" spans="1:16" x14ac:dyDescent="0.25">
      <c r="A389" t="s">
        <v>809</v>
      </c>
      <c r="B389" t="s">
        <v>810</v>
      </c>
      <c r="C389" t="s">
        <v>14</v>
      </c>
      <c r="D389" t="s">
        <v>15</v>
      </c>
      <c r="E389">
        <v>36</v>
      </c>
      <c r="F389" t="s">
        <v>42</v>
      </c>
      <c r="G389" t="s">
        <v>29</v>
      </c>
      <c r="H389" t="str" cm="1">
        <f t="array" ref="H389">_xlfn.IFS(I389&lt;30000,"Low",I389&lt;60000,"Medium",I389&lt;100000,"High",TRUE,"Premium")</f>
        <v>Premium</v>
      </c>
      <c r="I389" s="2">
        <v>173087</v>
      </c>
      <c r="J389" t="s">
        <v>18</v>
      </c>
      <c r="K389" t="str" cm="1">
        <f t="array" ref="K389">_xlfn.IFS(Table1[[#This Row],[tenure]]&lt;=2,"New",Table1[[#This Row],[tenure]]&lt;=5,"Emerging",Table1[[#This Row],[tenure]]&lt;=8,"Loyal",Table1[[#This Row],[tenure]]&lt;=10,"Legacy")</f>
        <v>Emerging</v>
      </c>
      <c r="L389" t="str">
        <f>TEXT(Table1[[#This Row],[Join_Date]],"mmm-yyyy")</f>
        <v>Apr-2020</v>
      </c>
      <c r="M389">
        <v>5</v>
      </c>
      <c r="N389">
        <f>YEAR(Table1[[#This Row],[Join_Date]])</f>
        <v>2020</v>
      </c>
      <c r="O389" s="1">
        <v>43947</v>
      </c>
      <c r="P389" s="1"/>
    </row>
    <row r="390" spans="1:16" x14ac:dyDescent="0.25">
      <c r="A390" t="s">
        <v>811</v>
      </c>
      <c r="B390" t="s">
        <v>812</v>
      </c>
      <c r="C390" t="s">
        <v>14</v>
      </c>
      <c r="D390" t="s">
        <v>15</v>
      </c>
      <c r="E390">
        <v>37</v>
      </c>
      <c r="F390" t="s">
        <v>42</v>
      </c>
      <c r="G390" t="s">
        <v>46</v>
      </c>
      <c r="H390" t="str" cm="1">
        <f t="array" ref="H390">_xlfn.IFS(I390&lt;30000,"Low",I390&lt;60000,"Medium",I390&lt;100000,"High",TRUE,"Premium")</f>
        <v>High</v>
      </c>
      <c r="I390" s="2">
        <v>63585</v>
      </c>
      <c r="J390" t="s">
        <v>18</v>
      </c>
      <c r="K390" t="str" cm="1">
        <f t="array" ref="K390">_xlfn.IFS(Table1[[#This Row],[tenure]]&lt;=2,"New",Table1[[#This Row],[tenure]]&lt;=5,"Emerging",Table1[[#This Row],[tenure]]&lt;=8,"Loyal",Table1[[#This Row],[tenure]]&lt;=10,"Legacy")</f>
        <v>Legacy</v>
      </c>
      <c r="L390" t="str">
        <f>TEXT(Table1[[#This Row],[Join_Date]],"mmm-yyyy")</f>
        <v>Jan-2017</v>
      </c>
      <c r="M390">
        <v>9</v>
      </c>
      <c r="N390">
        <f>YEAR(Table1[[#This Row],[Join_Date]])</f>
        <v>2017</v>
      </c>
      <c r="O390" s="1">
        <v>42757</v>
      </c>
      <c r="P390" s="1"/>
    </row>
    <row r="391" spans="1:16" x14ac:dyDescent="0.25">
      <c r="A391" t="s">
        <v>813</v>
      </c>
      <c r="B391" t="s">
        <v>814</v>
      </c>
      <c r="C391" t="s">
        <v>14</v>
      </c>
      <c r="D391" t="s">
        <v>54</v>
      </c>
      <c r="E391">
        <v>74</v>
      </c>
      <c r="F391" t="s">
        <v>38</v>
      </c>
      <c r="G391" t="s">
        <v>25</v>
      </c>
      <c r="H391" t="str" cm="1">
        <f t="array" ref="H391">_xlfn.IFS(I391&lt;30000,"Low",I391&lt;60000,"Medium",I391&lt;100000,"High",TRUE,"Premium")</f>
        <v>Medium</v>
      </c>
      <c r="I391" s="2">
        <v>46958</v>
      </c>
      <c r="J391" t="s">
        <v>30</v>
      </c>
      <c r="K391" t="str" cm="1">
        <f t="array" ref="K391">_xlfn.IFS(Table1[[#This Row],[tenure]]&lt;=2,"New",Table1[[#This Row],[tenure]]&lt;=5,"Emerging",Table1[[#This Row],[tenure]]&lt;=8,"Loyal",Table1[[#This Row],[tenure]]&lt;=10,"Legacy")</f>
        <v>Emerging</v>
      </c>
      <c r="L391" t="str">
        <f>TEXT(Table1[[#This Row],[Join_Date]],"mmm-yyyy")</f>
        <v>Jan-2021</v>
      </c>
      <c r="M391">
        <v>5</v>
      </c>
      <c r="N391">
        <f>YEAR(Table1[[#This Row],[Join_Date]])</f>
        <v>2021</v>
      </c>
      <c r="O391" s="1">
        <v>44220</v>
      </c>
      <c r="P391" s="1"/>
    </row>
    <row r="392" spans="1:16" x14ac:dyDescent="0.25">
      <c r="A392" t="s">
        <v>815</v>
      </c>
      <c r="B392" t="s">
        <v>816</v>
      </c>
      <c r="C392" t="s">
        <v>14</v>
      </c>
      <c r="D392" t="s">
        <v>15</v>
      </c>
      <c r="E392">
        <v>35</v>
      </c>
      <c r="F392" t="s">
        <v>16</v>
      </c>
      <c r="G392" t="s">
        <v>51</v>
      </c>
      <c r="H392" t="str" cm="1">
        <f t="array" ref="H392">_xlfn.IFS(I392&lt;30000,"Low",I392&lt;60000,"Medium",I392&lt;100000,"High",TRUE,"Premium")</f>
        <v>Medium</v>
      </c>
      <c r="I392" s="2">
        <v>46017</v>
      </c>
      <c r="J392" t="s">
        <v>26</v>
      </c>
      <c r="K392" t="str" cm="1">
        <f t="array" ref="K392">_xlfn.IFS(Table1[[#This Row],[tenure]]&lt;=2,"New",Table1[[#This Row],[tenure]]&lt;=5,"Emerging",Table1[[#This Row],[tenure]]&lt;=8,"Loyal",Table1[[#This Row],[tenure]]&lt;=10,"Legacy")</f>
        <v>Loyal</v>
      </c>
      <c r="L392" t="str">
        <f>TEXT(Table1[[#This Row],[Join_Date]],"mmm-yyyy")</f>
        <v>Jul-2017</v>
      </c>
      <c r="M392">
        <v>8</v>
      </c>
      <c r="N392">
        <f>YEAR(Table1[[#This Row],[Join_Date]])</f>
        <v>2017</v>
      </c>
      <c r="O392" s="1">
        <v>42931</v>
      </c>
      <c r="P392" s="1"/>
    </row>
    <row r="393" spans="1:16" x14ac:dyDescent="0.25">
      <c r="A393" t="s">
        <v>817</v>
      </c>
      <c r="B393" t="s">
        <v>818</v>
      </c>
      <c r="C393" t="s">
        <v>14</v>
      </c>
      <c r="D393" t="s">
        <v>54</v>
      </c>
      <c r="E393">
        <v>64</v>
      </c>
      <c r="F393" t="s">
        <v>16</v>
      </c>
      <c r="G393" t="s">
        <v>17</v>
      </c>
      <c r="H393" t="str" cm="1">
        <f t="array" ref="H393">_xlfn.IFS(I393&lt;30000,"Low",I393&lt;60000,"Medium",I393&lt;100000,"High",TRUE,"Premium")</f>
        <v>Premium</v>
      </c>
      <c r="I393" s="2">
        <v>144677</v>
      </c>
      <c r="J393" t="s">
        <v>18</v>
      </c>
      <c r="K393" t="str" cm="1">
        <f t="array" ref="K393">_xlfn.IFS(Table1[[#This Row],[tenure]]&lt;=2,"New",Table1[[#This Row],[tenure]]&lt;=5,"Emerging",Table1[[#This Row],[tenure]]&lt;=8,"Loyal",Table1[[#This Row],[tenure]]&lt;=10,"Legacy")</f>
        <v>Loyal</v>
      </c>
      <c r="L393" t="str">
        <f>TEXT(Table1[[#This Row],[Join_Date]],"mmm-yyyy")</f>
        <v>Nov-2018</v>
      </c>
      <c r="M393">
        <v>7</v>
      </c>
      <c r="N393">
        <f>YEAR(Table1[[#This Row],[Join_Date]])</f>
        <v>2018</v>
      </c>
      <c r="O393" s="1">
        <v>43422</v>
      </c>
      <c r="P393" s="1"/>
    </row>
    <row r="394" spans="1:16" x14ac:dyDescent="0.25">
      <c r="A394" t="s">
        <v>819</v>
      </c>
      <c r="B394" t="s">
        <v>820</v>
      </c>
      <c r="C394" t="s">
        <v>22</v>
      </c>
      <c r="D394" t="s">
        <v>23</v>
      </c>
      <c r="E394">
        <v>58</v>
      </c>
      <c r="F394" t="s">
        <v>42</v>
      </c>
      <c r="G394" t="s">
        <v>29</v>
      </c>
      <c r="H394" t="str" cm="1">
        <f t="array" ref="H394">_xlfn.IFS(I394&lt;30000,"Low",I394&lt;60000,"Medium",I394&lt;100000,"High",TRUE,"Premium")</f>
        <v>Premium</v>
      </c>
      <c r="I394" s="2">
        <v>196422</v>
      </c>
      <c r="J394" t="s">
        <v>30</v>
      </c>
      <c r="K394" t="str" cm="1">
        <f t="array" ref="K394">_xlfn.IFS(Table1[[#This Row],[tenure]]&lt;=2,"New",Table1[[#This Row],[tenure]]&lt;=5,"Emerging",Table1[[#This Row],[tenure]]&lt;=8,"Loyal",Table1[[#This Row],[tenure]]&lt;=10,"Legacy")</f>
        <v>Emerging</v>
      </c>
      <c r="L394" t="str">
        <f>TEXT(Table1[[#This Row],[Join_Date]],"mmm-yyyy")</f>
        <v>Dec-2021</v>
      </c>
      <c r="M394">
        <v>4</v>
      </c>
      <c r="N394">
        <f>YEAR(Table1[[#This Row],[Join_Date]])</f>
        <v>2021</v>
      </c>
      <c r="O394" s="1">
        <v>44545</v>
      </c>
      <c r="P394" s="1"/>
    </row>
    <row r="395" spans="1:16" x14ac:dyDescent="0.25">
      <c r="A395" t="s">
        <v>821</v>
      </c>
      <c r="B395" t="s">
        <v>822</v>
      </c>
      <c r="C395" t="s">
        <v>22</v>
      </c>
      <c r="D395" t="s">
        <v>54</v>
      </c>
      <c r="E395">
        <v>66</v>
      </c>
      <c r="F395" t="s">
        <v>16</v>
      </c>
      <c r="G395" t="s">
        <v>46</v>
      </c>
      <c r="H395" t="str" cm="1">
        <f t="array" ref="H395">_xlfn.IFS(I395&lt;30000,"Low",I395&lt;60000,"Medium",I395&lt;100000,"High",TRUE,"Premium")</f>
        <v>Premium</v>
      </c>
      <c r="I395" s="2">
        <v>163273</v>
      </c>
      <c r="J395" t="s">
        <v>26</v>
      </c>
      <c r="K395" t="str" cm="1">
        <f t="array" ref="K395">_xlfn.IFS(Table1[[#This Row],[tenure]]&lt;=2,"New",Table1[[#This Row],[tenure]]&lt;=5,"Emerging",Table1[[#This Row],[tenure]]&lt;=8,"Loyal",Table1[[#This Row],[tenure]]&lt;=10,"Legacy")</f>
        <v>Legacy</v>
      </c>
      <c r="L395" t="str">
        <f>TEXT(Table1[[#This Row],[Join_Date]],"mmm-yyyy")</f>
        <v>Jan-2016</v>
      </c>
      <c r="M395">
        <v>10</v>
      </c>
      <c r="N395">
        <f>YEAR(Table1[[#This Row],[Join_Date]])</f>
        <v>2016</v>
      </c>
      <c r="O395" s="1">
        <v>42384</v>
      </c>
      <c r="P395" s="1"/>
    </row>
    <row r="396" spans="1:16" x14ac:dyDescent="0.25">
      <c r="A396" t="s">
        <v>823</v>
      </c>
      <c r="B396" t="s">
        <v>824</v>
      </c>
      <c r="C396" t="s">
        <v>14</v>
      </c>
      <c r="D396" t="s">
        <v>15</v>
      </c>
      <c r="E396">
        <v>31</v>
      </c>
      <c r="F396" t="s">
        <v>42</v>
      </c>
      <c r="G396" t="s">
        <v>34</v>
      </c>
      <c r="H396" t="str" cm="1">
        <f t="array" ref="H396">_xlfn.IFS(I396&lt;30000,"Low",I396&lt;60000,"Medium",I396&lt;100000,"High",TRUE,"Premium")</f>
        <v>Medium</v>
      </c>
      <c r="I396" s="2">
        <v>49426</v>
      </c>
      <c r="J396" t="s">
        <v>18</v>
      </c>
      <c r="K396" t="str" cm="1">
        <f t="array" ref="K396">_xlfn.IFS(Table1[[#This Row],[tenure]]&lt;=2,"New",Table1[[#This Row],[tenure]]&lt;=5,"Emerging",Table1[[#This Row],[tenure]]&lt;=8,"Loyal",Table1[[#This Row],[tenure]]&lt;=10,"Legacy")</f>
        <v>New</v>
      </c>
      <c r="L396" t="str">
        <f>TEXT(Table1[[#This Row],[Join_Date]],"mmm-yyyy")</f>
        <v>Mar-2024</v>
      </c>
      <c r="M396">
        <v>1</v>
      </c>
      <c r="N396">
        <f>YEAR(Table1[[#This Row],[Join_Date]])</f>
        <v>2024</v>
      </c>
      <c r="O396" s="1">
        <v>45372</v>
      </c>
      <c r="P396" s="1"/>
    </row>
    <row r="397" spans="1:16" x14ac:dyDescent="0.25">
      <c r="A397" t="s">
        <v>825</v>
      </c>
      <c r="B397" t="s">
        <v>826</v>
      </c>
      <c r="C397" t="s">
        <v>22</v>
      </c>
      <c r="D397" t="s">
        <v>15</v>
      </c>
      <c r="E397">
        <v>32</v>
      </c>
      <c r="F397" t="s">
        <v>38</v>
      </c>
      <c r="G397" t="s">
        <v>29</v>
      </c>
      <c r="H397" t="str" cm="1">
        <f t="array" ref="H397">_xlfn.IFS(I397&lt;30000,"Low",I397&lt;60000,"Medium",I397&lt;100000,"High",TRUE,"Premium")</f>
        <v>Medium</v>
      </c>
      <c r="I397" s="2">
        <v>37778</v>
      </c>
      <c r="J397" t="s">
        <v>26</v>
      </c>
      <c r="K397" t="str" cm="1">
        <f t="array" ref="K397">_xlfn.IFS(Table1[[#This Row],[tenure]]&lt;=2,"New",Table1[[#This Row],[tenure]]&lt;=5,"Emerging",Table1[[#This Row],[tenure]]&lt;=8,"Loyal",Table1[[#This Row],[tenure]]&lt;=10,"Legacy")</f>
        <v>Emerging</v>
      </c>
      <c r="L397" t="str">
        <f>TEXT(Table1[[#This Row],[Join_Date]],"mmm-yyyy")</f>
        <v>Jun-2022</v>
      </c>
      <c r="M397">
        <v>3</v>
      </c>
      <c r="N397">
        <f>YEAR(Table1[[#This Row],[Join_Date]])</f>
        <v>2022</v>
      </c>
      <c r="O397" s="1">
        <v>44714</v>
      </c>
      <c r="P397" s="1"/>
    </row>
    <row r="398" spans="1:16" x14ac:dyDescent="0.25">
      <c r="A398" t="s">
        <v>827</v>
      </c>
      <c r="B398" t="s">
        <v>828</v>
      </c>
      <c r="C398" t="s">
        <v>22</v>
      </c>
      <c r="D398" t="s">
        <v>23</v>
      </c>
      <c r="E398">
        <v>48</v>
      </c>
      <c r="F398" t="s">
        <v>38</v>
      </c>
      <c r="G398" t="s">
        <v>51</v>
      </c>
      <c r="H398" t="str" cm="1">
        <f t="array" ref="H398">_xlfn.IFS(I398&lt;30000,"Low",I398&lt;60000,"Medium",I398&lt;100000,"High",TRUE,"Premium")</f>
        <v>Premium</v>
      </c>
      <c r="I398" s="2">
        <v>196313</v>
      </c>
      <c r="J398" t="s">
        <v>26</v>
      </c>
      <c r="K398" t="str" cm="1">
        <f t="array" ref="K398">_xlfn.IFS(Table1[[#This Row],[tenure]]&lt;=2,"New",Table1[[#This Row],[tenure]]&lt;=5,"Emerging",Table1[[#This Row],[tenure]]&lt;=8,"Loyal",Table1[[#This Row],[tenure]]&lt;=10,"Legacy")</f>
        <v>Emerging</v>
      </c>
      <c r="L398" t="str">
        <f>TEXT(Table1[[#This Row],[Join_Date]],"mmm-yyyy")</f>
        <v>Dec-2020</v>
      </c>
      <c r="M398">
        <v>5</v>
      </c>
      <c r="N398">
        <f>YEAR(Table1[[#This Row],[Join_Date]])</f>
        <v>2020</v>
      </c>
      <c r="O398" s="1">
        <v>44176</v>
      </c>
      <c r="P398" s="1"/>
    </row>
    <row r="399" spans="1:16" x14ac:dyDescent="0.25">
      <c r="A399" t="s">
        <v>829</v>
      </c>
      <c r="B399" t="s">
        <v>830</v>
      </c>
      <c r="C399" t="s">
        <v>22</v>
      </c>
      <c r="D399" t="s">
        <v>37</v>
      </c>
      <c r="E399">
        <v>18</v>
      </c>
      <c r="F399" t="s">
        <v>24</v>
      </c>
      <c r="G399" t="s">
        <v>29</v>
      </c>
      <c r="H399" t="str" cm="1">
        <f t="array" ref="H399">_xlfn.IFS(I399&lt;30000,"Low",I399&lt;60000,"Medium",I399&lt;100000,"High",TRUE,"Premium")</f>
        <v>High</v>
      </c>
      <c r="I399" s="2">
        <v>62229</v>
      </c>
      <c r="J399" t="s">
        <v>26</v>
      </c>
      <c r="K399" t="str" cm="1">
        <f t="array" ref="K399">_xlfn.IFS(Table1[[#This Row],[tenure]]&lt;=2,"New",Table1[[#This Row],[tenure]]&lt;=5,"Emerging",Table1[[#This Row],[tenure]]&lt;=8,"Loyal",Table1[[#This Row],[tenure]]&lt;=10,"Legacy")</f>
        <v>New</v>
      </c>
      <c r="L399" t="str">
        <f>TEXT(Table1[[#This Row],[Join_Date]],"mmm-yyyy")</f>
        <v>Aug-2023</v>
      </c>
      <c r="M399">
        <v>2</v>
      </c>
      <c r="N399">
        <f>YEAR(Table1[[#This Row],[Join_Date]])</f>
        <v>2023</v>
      </c>
      <c r="O399" s="1">
        <v>45160</v>
      </c>
      <c r="P399" s="1"/>
    </row>
    <row r="400" spans="1:16" x14ac:dyDescent="0.25">
      <c r="A400" t="s">
        <v>831</v>
      </c>
      <c r="B400" t="s">
        <v>832</v>
      </c>
      <c r="C400" t="s">
        <v>22</v>
      </c>
      <c r="D400" t="s">
        <v>54</v>
      </c>
      <c r="E400">
        <v>70</v>
      </c>
      <c r="F400" t="s">
        <v>38</v>
      </c>
      <c r="G400" t="s">
        <v>51</v>
      </c>
      <c r="H400" t="str" cm="1">
        <f t="array" ref="H400">_xlfn.IFS(I400&lt;30000,"Low",I400&lt;60000,"Medium",I400&lt;100000,"High",TRUE,"Premium")</f>
        <v>Premium</v>
      </c>
      <c r="I400" s="2">
        <v>106652</v>
      </c>
      <c r="J400" t="s">
        <v>18</v>
      </c>
      <c r="K400" t="str" cm="1">
        <f t="array" ref="K400">_xlfn.IFS(Table1[[#This Row],[tenure]]&lt;=2,"New",Table1[[#This Row],[tenure]]&lt;=5,"Emerging",Table1[[#This Row],[tenure]]&lt;=8,"Loyal",Table1[[#This Row],[tenure]]&lt;=10,"Legacy")</f>
        <v>New</v>
      </c>
      <c r="L400" t="str">
        <f>TEXT(Table1[[#This Row],[Join_Date]],"mmm-yyyy")</f>
        <v>Feb-2025</v>
      </c>
      <c r="M400">
        <v>1</v>
      </c>
      <c r="N400">
        <f>YEAR(Table1[[#This Row],[Join_Date]])</f>
        <v>2025</v>
      </c>
      <c r="O400" s="1">
        <v>45702</v>
      </c>
      <c r="P400" s="1"/>
    </row>
    <row r="401" spans="1:16" x14ac:dyDescent="0.25">
      <c r="A401" t="s">
        <v>833</v>
      </c>
      <c r="B401" t="s">
        <v>834</v>
      </c>
      <c r="C401" t="s">
        <v>14</v>
      </c>
      <c r="D401" t="s">
        <v>54</v>
      </c>
      <c r="E401">
        <v>71</v>
      </c>
      <c r="F401" t="s">
        <v>42</v>
      </c>
      <c r="G401" t="s">
        <v>46</v>
      </c>
      <c r="H401" t="str" cm="1">
        <f t="array" ref="H401">_xlfn.IFS(I401&lt;30000,"Low",I401&lt;60000,"Medium",I401&lt;100000,"High",TRUE,"Premium")</f>
        <v>Premium</v>
      </c>
      <c r="I401" s="2">
        <v>148267</v>
      </c>
      <c r="J401" t="s">
        <v>18</v>
      </c>
      <c r="K401" t="str" cm="1">
        <f t="array" ref="K401">_xlfn.IFS(Table1[[#This Row],[tenure]]&lt;=2,"New",Table1[[#This Row],[tenure]]&lt;=5,"Emerging",Table1[[#This Row],[tenure]]&lt;=8,"Loyal",Table1[[#This Row],[tenure]]&lt;=10,"Legacy")</f>
        <v>Legacy</v>
      </c>
      <c r="L401" t="str">
        <f>TEXT(Table1[[#This Row],[Join_Date]],"mmm-yyyy")</f>
        <v>Feb-2017</v>
      </c>
      <c r="M401">
        <v>9</v>
      </c>
      <c r="N401">
        <f>YEAR(Table1[[#This Row],[Join_Date]])</f>
        <v>2017</v>
      </c>
      <c r="O401" s="1">
        <v>42789</v>
      </c>
      <c r="P401" s="1"/>
    </row>
    <row r="402" spans="1:16" x14ac:dyDescent="0.25">
      <c r="A402" t="s">
        <v>835</v>
      </c>
      <c r="B402" t="s">
        <v>836</v>
      </c>
      <c r="C402" t="s">
        <v>22</v>
      </c>
      <c r="D402" t="s">
        <v>54</v>
      </c>
      <c r="E402">
        <v>71</v>
      </c>
      <c r="F402" t="s">
        <v>38</v>
      </c>
      <c r="G402" t="s">
        <v>51</v>
      </c>
      <c r="H402" t="str" cm="1">
        <f t="array" ref="H402">_xlfn.IFS(I402&lt;30000,"Low",I402&lt;60000,"Medium",I402&lt;100000,"High",TRUE,"Premium")</f>
        <v>Premium</v>
      </c>
      <c r="I402" s="2">
        <v>199436</v>
      </c>
      <c r="J402" t="s">
        <v>30</v>
      </c>
      <c r="K402" t="str" cm="1">
        <f t="array" ref="K402">_xlfn.IFS(Table1[[#This Row],[tenure]]&lt;=2,"New",Table1[[#This Row],[tenure]]&lt;=5,"Emerging",Table1[[#This Row],[tenure]]&lt;=8,"Loyal",Table1[[#This Row],[tenure]]&lt;=10,"Legacy")</f>
        <v>Emerging</v>
      </c>
      <c r="L402" t="str">
        <f>TEXT(Table1[[#This Row],[Join_Date]],"mmm-yyyy")</f>
        <v>Sep-2020</v>
      </c>
      <c r="M402">
        <v>5</v>
      </c>
      <c r="N402">
        <f>YEAR(Table1[[#This Row],[Join_Date]])</f>
        <v>2020</v>
      </c>
      <c r="O402" s="1">
        <v>44100</v>
      </c>
      <c r="P402" s="1"/>
    </row>
    <row r="403" spans="1:16" x14ac:dyDescent="0.25">
      <c r="A403" t="s">
        <v>837</v>
      </c>
      <c r="B403" t="s">
        <v>838</v>
      </c>
      <c r="C403" t="s">
        <v>22</v>
      </c>
      <c r="D403" t="s">
        <v>37</v>
      </c>
      <c r="E403">
        <v>20</v>
      </c>
      <c r="F403" t="s">
        <v>24</v>
      </c>
      <c r="G403" t="s">
        <v>29</v>
      </c>
      <c r="H403" t="str" cm="1">
        <f t="array" ref="H403">_xlfn.IFS(I403&lt;30000,"Low",I403&lt;60000,"Medium",I403&lt;100000,"High",TRUE,"Premium")</f>
        <v>Premium</v>
      </c>
      <c r="I403" s="2">
        <v>146503</v>
      </c>
      <c r="J403" t="s">
        <v>18</v>
      </c>
      <c r="K403" t="str" cm="1">
        <f t="array" ref="K403">_xlfn.IFS(Table1[[#This Row],[tenure]]&lt;=2,"New",Table1[[#This Row],[tenure]]&lt;=5,"Emerging",Table1[[#This Row],[tenure]]&lt;=8,"Loyal",Table1[[#This Row],[tenure]]&lt;=10,"Legacy")</f>
        <v>Emerging</v>
      </c>
      <c r="L403" t="str">
        <f>TEXT(Table1[[#This Row],[Join_Date]],"mmm-yyyy")</f>
        <v>Apr-2021</v>
      </c>
      <c r="M403">
        <v>4</v>
      </c>
      <c r="N403">
        <f>YEAR(Table1[[#This Row],[Join_Date]])</f>
        <v>2021</v>
      </c>
      <c r="O403" s="1">
        <v>44310</v>
      </c>
      <c r="P403" s="1"/>
    </row>
    <row r="404" spans="1:16" x14ac:dyDescent="0.25">
      <c r="A404" t="s">
        <v>839</v>
      </c>
      <c r="B404" t="s">
        <v>840</v>
      </c>
      <c r="C404" t="s">
        <v>14</v>
      </c>
      <c r="D404" t="s">
        <v>15</v>
      </c>
      <c r="E404">
        <v>33</v>
      </c>
      <c r="F404" t="s">
        <v>16</v>
      </c>
      <c r="G404" t="s">
        <v>34</v>
      </c>
      <c r="H404" t="str" cm="1">
        <f t="array" ref="H404">_xlfn.IFS(I404&lt;30000,"Low",I404&lt;60000,"Medium",I404&lt;100000,"High",TRUE,"Premium")</f>
        <v>Premium</v>
      </c>
      <c r="I404" s="2">
        <v>104878</v>
      </c>
      <c r="J404" t="s">
        <v>18</v>
      </c>
      <c r="K404" t="str" cm="1">
        <f t="array" ref="K404">_xlfn.IFS(Table1[[#This Row],[tenure]]&lt;=2,"New",Table1[[#This Row],[tenure]]&lt;=5,"Emerging",Table1[[#This Row],[tenure]]&lt;=8,"Loyal",Table1[[#This Row],[tenure]]&lt;=10,"Legacy")</f>
        <v>Loyal</v>
      </c>
      <c r="L404" t="str">
        <f>TEXT(Table1[[#This Row],[Join_Date]],"mmm-yyyy")</f>
        <v>Feb-2019</v>
      </c>
      <c r="M404">
        <v>7</v>
      </c>
      <c r="N404">
        <f>YEAR(Table1[[#This Row],[Join_Date]])</f>
        <v>2019</v>
      </c>
      <c r="O404" s="1">
        <v>43523</v>
      </c>
      <c r="P404" s="1"/>
    </row>
    <row r="405" spans="1:16" x14ac:dyDescent="0.25">
      <c r="A405" t="s">
        <v>841</v>
      </c>
      <c r="B405" t="s">
        <v>842</v>
      </c>
      <c r="C405" t="s">
        <v>14</v>
      </c>
      <c r="D405" t="s">
        <v>15</v>
      </c>
      <c r="E405">
        <v>40</v>
      </c>
      <c r="F405" t="s">
        <v>42</v>
      </c>
      <c r="G405" t="s">
        <v>39</v>
      </c>
      <c r="H405" t="str" cm="1">
        <f t="array" ref="H405">_xlfn.IFS(I405&lt;30000,"Low",I405&lt;60000,"Medium",I405&lt;100000,"High",TRUE,"Premium")</f>
        <v>High</v>
      </c>
      <c r="I405" s="2">
        <v>77056</v>
      </c>
      <c r="J405" t="s">
        <v>18</v>
      </c>
      <c r="K405" t="str" cm="1">
        <f t="array" ref="K405">_xlfn.IFS(Table1[[#This Row],[tenure]]&lt;=2,"New",Table1[[#This Row],[tenure]]&lt;=5,"Emerging",Table1[[#This Row],[tenure]]&lt;=8,"Loyal",Table1[[#This Row],[tenure]]&lt;=10,"Legacy")</f>
        <v>Emerging</v>
      </c>
      <c r="L405" t="str">
        <f>TEXT(Table1[[#This Row],[Join_Date]],"mmm-yyyy")</f>
        <v>Mar-2021</v>
      </c>
      <c r="M405">
        <v>5</v>
      </c>
      <c r="N405">
        <f>YEAR(Table1[[#This Row],[Join_Date]])</f>
        <v>2021</v>
      </c>
      <c r="O405" s="1">
        <v>44268</v>
      </c>
      <c r="P405" s="1"/>
    </row>
    <row r="406" spans="1:16" x14ac:dyDescent="0.25">
      <c r="A406" t="s">
        <v>843</v>
      </c>
      <c r="B406" t="s">
        <v>844</v>
      </c>
      <c r="C406" t="s">
        <v>22</v>
      </c>
      <c r="D406" t="s">
        <v>54</v>
      </c>
      <c r="E406">
        <v>74</v>
      </c>
      <c r="F406" t="s">
        <v>16</v>
      </c>
      <c r="G406" t="s">
        <v>29</v>
      </c>
      <c r="H406" t="str" cm="1">
        <f t="array" ref="H406">_xlfn.IFS(I406&lt;30000,"Low",I406&lt;60000,"Medium",I406&lt;100000,"High",TRUE,"Premium")</f>
        <v>Premium</v>
      </c>
      <c r="I406" s="2">
        <v>178562</v>
      </c>
      <c r="J406" t="s">
        <v>18</v>
      </c>
      <c r="K406" t="str" cm="1">
        <f t="array" ref="K406">_xlfn.IFS(Table1[[#This Row],[tenure]]&lt;=2,"New",Table1[[#This Row],[tenure]]&lt;=5,"Emerging",Table1[[#This Row],[tenure]]&lt;=8,"Loyal",Table1[[#This Row],[tenure]]&lt;=10,"Legacy")</f>
        <v>New</v>
      </c>
      <c r="L406" t="str">
        <f>TEXT(Table1[[#This Row],[Join_Date]],"mmm-yyyy")</f>
        <v>Nov-2023</v>
      </c>
      <c r="M406">
        <v>2</v>
      </c>
      <c r="N406">
        <f>YEAR(Table1[[#This Row],[Join_Date]])</f>
        <v>2023</v>
      </c>
      <c r="O406" s="1">
        <v>45246</v>
      </c>
      <c r="P406" s="1"/>
    </row>
    <row r="407" spans="1:16" x14ac:dyDescent="0.25">
      <c r="A407" t="s">
        <v>845</v>
      </c>
      <c r="B407" t="s">
        <v>846</v>
      </c>
      <c r="C407" t="s">
        <v>22</v>
      </c>
      <c r="D407" t="s">
        <v>37</v>
      </c>
      <c r="E407">
        <v>28</v>
      </c>
      <c r="F407" t="s">
        <v>24</v>
      </c>
      <c r="G407" t="s">
        <v>51</v>
      </c>
      <c r="H407" t="str" cm="1">
        <f t="array" ref="H407">_xlfn.IFS(I407&lt;30000,"Low",I407&lt;60000,"Medium",I407&lt;100000,"High",TRUE,"Premium")</f>
        <v>Medium</v>
      </c>
      <c r="I407" s="2">
        <v>39975</v>
      </c>
      <c r="J407" t="s">
        <v>26</v>
      </c>
      <c r="K407" t="str" cm="1">
        <f t="array" ref="K407">_xlfn.IFS(Table1[[#This Row],[tenure]]&lt;=2,"New",Table1[[#This Row],[tenure]]&lt;=5,"Emerging",Table1[[#This Row],[tenure]]&lt;=8,"Loyal",Table1[[#This Row],[tenure]]&lt;=10,"Legacy")</f>
        <v>Emerging</v>
      </c>
      <c r="L407" t="str">
        <f>TEXT(Table1[[#This Row],[Join_Date]],"mmm-yyyy")</f>
        <v>Dec-2022</v>
      </c>
      <c r="M407">
        <v>3</v>
      </c>
      <c r="N407">
        <f>YEAR(Table1[[#This Row],[Join_Date]])</f>
        <v>2022</v>
      </c>
      <c r="O407" s="1">
        <v>44902</v>
      </c>
      <c r="P407" s="1"/>
    </row>
    <row r="408" spans="1:16" x14ac:dyDescent="0.25">
      <c r="A408" t="s">
        <v>847</v>
      </c>
      <c r="B408" t="s">
        <v>848</v>
      </c>
      <c r="C408" t="s">
        <v>22</v>
      </c>
      <c r="D408" t="s">
        <v>15</v>
      </c>
      <c r="E408">
        <v>29</v>
      </c>
      <c r="F408" t="s">
        <v>24</v>
      </c>
      <c r="G408" t="s">
        <v>39</v>
      </c>
      <c r="H408" t="str" cm="1">
        <f t="array" ref="H408">_xlfn.IFS(I408&lt;30000,"Low",I408&lt;60000,"Medium",I408&lt;100000,"High",TRUE,"Premium")</f>
        <v>Premium</v>
      </c>
      <c r="I408" s="2">
        <v>177795</v>
      </c>
      <c r="J408" t="s">
        <v>30</v>
      </c>
      <c r="K408" t="str" cm="1">
        <f t="array" ref="K408">_xlfn.IFS(Table1[[#This Row],[tenure]]&lt;=2,"New",Table1[[#This Row],[tenure]]&lt;=5,"Emerging",Table1[[#This Row],[tenure]]&lt;=8,"Loyal",Table1[[#This Row],[tenure]]&lt;=10,"Legacy")</f>
        <v>Loyal</v>
      </c>
      <c r="L408" t="str">
        <f>TEXT(Table1[[#This Row],[Join_Date]],"mmm-yyyy")</f>
        <v>Dec-2017</v>
      </c>
      <c r="M408">
        <v>8</v>
      </c>
      <c r="N408">
        <f>YEAR(Table1[[#This Row],[Join_Date]])</f>
        <v>2017</v>
      </c>
      <c r="O408" s="1">
        <v>43097</v>
      </c>
      <c r="P408" s="1"/>
    </row>
    <row r="409" spans="1:16" x14ac:dyDescent="0.25">
      <c r="A409" t="s">
        <v>849</v>
      </c>
      <c r="B409" t="s">
        <v>850</v>
      </c>
      <c r="C409" t="s">
        <v>22</v>
      </c>
      <c r="D409" t="s">
        <v>37</v>
      </c>
      <c r="E409">
        <v>27</v>
      </c>
      <c r="F409" t="s">
        <v>24</v>
      </c>
      <c r="G409" t="s">
        <v>51</v>
      </c>
      <c r="H409" t="str" cm="1">
        <f t="array" ref="H409">_xlfn.IFS(I409&lt;30000,"Low",I409&lt;60000,"Medium",I409&lt;100000,"High",TRUE,"Premium")</f>
        <v>Premium</v>
      </c>
      <c r="I409" s="2">
        <v>174351</v>
      </c>
      <c r="J409" t="s">
        <v>18</v>
      </c>
      <c r="K409" t="str" cm="1">
        <f t="array" ref="K409">_xlfn.IFS(Table1[[#This Row],[tenure]]&lt;=2,"New",Table1[[#This Row],[tenure]]&lt;=5,"Emerging",Table1[[#This Row],[tenure]]&lt;=8,"Loyal",Table1[[#This Row],[tenure]]&lt;=10,"Legacy")</f>
        <v>Legacy</v>
      </c>
      <c r="L409" t="str">
        <f>TEXT(Table1[[#This Row],[Join_Date]],"mmm-yyyy")</f>
        <v>Jul-2016</v>
      </c>
      <c r="M409">
        <v>9</v>
      </c>
      <c r="N409">
        <f>YEAR(Table1[[#This Row],[Join_Date]])</f>
        <v>2016</v>
      </c>
      <c r="O409" s="1">
        <v>42571</v>
      </c>
      <c r="P409" s="1"/>
    </row>
    <row r="410" spans="1:16" x14ac:dyDescent="0.25">
      <c r="A410" t="s">
        <v>851</v>
      </c>
      <c r="B410" t="s">
        <v>852</v>
      </c>
      <c r="C410" t="s">
        <v>22</v>
      </c>
      <c r="D410" t="s">
        <v>23</v>
      </c>
      <c r="E410">
        <v>49</v>
      </c>
      <c r="F410" t="s">
        <v>16</v>
      </c>
      <c r="G410" t="s">
        <v>34</v>
      </c>
      <c r="H410" t="str" cm="1">
        <f t="array" ref="H410">_xlfn.IFS(I410&lt;30000,"Low",I410&lt;60000,"Medium",I410&lt;100000,"High",TRUE,"Premium")</f>
        <v>Premium</v>
      </c>
      <c r="I410" s="2">
        <v>162633</v>
      </c>
      <c r="J410" t="s">
        <v>18</v>
      </c>
      <c r="K410" t="str" cm="1">
        <f t="array" ref="K410">_xlfn.IFS(Table1[[#This Row],[tenure]]&lt;=2,"New",Table1[[#This Row],[tenure]]&lt;=5,"Emerging",Table1[[#This Row],[tenure]]&lt;=8,"Loyal",Table1[[#This Row],[tenure]]&lt;=10,"Legacy")</f>
        <v>Loyal</v>
      </c>
      <c r="L410" t="str">
        <f>TEXT(Table1[[#This Row],[Join_Date]],"mmm-yyyy")</f>
        <v>Sep-2019</v>
      </c>
      <c r="M410">
        <v>6</v>
      </c>
      <c r="N410">
        <f>YEAR(Table1[[#This Row],[Join_Date]])</f>
        <v>2019</v>
      </c>
      <c r="O410" s="1">
        <v>43721</v>
      </c>
      <c r="P410" s="1"/>
    </row>
    <row r="411" spans="1:16" x14ac:dyDescent="0.25">
      <c r="A411" t="s">
        <v>853</v>
      </c>
      <c r="B411" t="s">
        <v>854</v>
      </c>
      <c r="C411" t="s">
        <v>22</v>
      </c>
      <c r="D411" t="s">
        <v>15</v>
      </c>
      <c r="E411">
        <v>33</v>
      </c>
      <c r="F411" t="s">
        <v>16</v>
      </c>
      <c r="G411" t="s">
        <v>51</v>
      </c>
      <c r="H411" t="str" cm="1">
        <f t="array" ref="H411">_xlfn.IFS(I411&lt;30000,"Low",I411&lt;60000,"Medium",I411&lt;100000,"High",TRUE,"Premium")</f>
        <v>Premium</v>
      </c>
      <c r="I411" s="2">
        <v>108397</v>
      </c>
      <c r="J411" t="s">
        <v>18</v>
      </c>
      <c r="K411" t="str" cm="1">
        <f t="array" ref="K411">_xlfn.IFS(Table1[[#This Row],[tenure]]&lt;=2,"New",Table1[[#This Row],[tenure]]&lt;=5,"Emerging",Table1[[#This Row],[tenure]]&lt;=8,"Loyal",Table1[[#This Row],[tenure]]&lt;=10,"Legacy")</f>
        <v>Legacy</v>
      </c>
      <c r="L411" t="str">
        <f>TEXT(Table1[[#This Row],[Join_Date]],"mmm-yyyy")</f>
        <v>Aug-2016</v>
      </c>
      <c r="M411">
        <v>9</v>
      </c>
      <c r="N411">
        <f>YEAR(Table1[[#This Row],[Join_Date]])</f>
        <v>2016</v>
      </c>
      <c r="O411" s="1">
        <v>42587</v>
      </c>
      <c r="P411" s="1"/>
    </row>
    <row r="412" spans="1:16" x14ac:dyDescent="0.25">
      <c r="A412" t="s">
        <v>855</v>
      </c>
      <c r="B412" t="s">
        <v>856</v>
      </c>
      <c r="C412" t="s">
        <v>14</v>
      </c>
      <c r="D412" t="s">
        <v>37</v>
      </c>
      <c r="E412">
        <v>25</v>
      </c>
      <c r="F412" t="s">
        <v>16</v>
      </c>
      <c r="G412" t="s">
        <v>46</v>
      </c>
      <c r="H412" t="str" cm="1">
        <f t="array" ref="H412">_xlfn.IFS(I412&lt;30000,"Low",I412&lt;60000,"Medium",I412&lt;100000,"High",TRUE,"Premium")</f>
        <v>Medium</v>
      </c>
      <c r="I412" s="2">
        <v>53142</v>
      </c>
      <c r="J412" t="s">
        <v>26</v>
      </c>
      <c r="K412" t="str" cm="1">
        <f t="array" ref="K412">_xlfn.IFS(Table1[[#This Row],[tenure]]&lt;=2,"New",Table1[[#This Row],[tenure]]&lt;=5,"Emerging",Table1[[#This Row],[tenure]]&lt;=8,"Loyal",Table1[[#This Row],[tenure]]&lt;=10,"Legacy")</f>
        <v>Loyal</v>
      </c>
      <c r="L412" t="str">
        <f>TEXT(Table1[[#This Row],[Join_Date]],"mmm-yyyy")</f>
        <v>Nov-2018</v>
      </c>
      <c r="M412">
        <v>7</v>
      </c>
      <c r="N412">
        <f>YEAR(Table1[[#This Row],[Join_Date]])</f>
        <v>2018</v>
      </c>
      <c r="O412" s="1">
        <v>43411</v>
      </c>
      <c r="P412" s="1"/>
    </row>
    <row r="413" spans="1:16" x14ac:dyDescent="0.25">
      <c r="A413" t="s">
        <v>857</v>
      </c>
      <c r="B413" t="s">
        <v>858</v>
      </c>
      <c r="C413" t="s">
        <v>22</v>
      </c>
      <c r="D413" t="s">
        <v>23</v>
      </c>
      <c r="E413">
        <v>55</v>
      </c>
      <c r="F413" t="s">
        <v>16</v>
      </c>
      <c r="G413" t="s">
        <v>17</v>
      </c>
      <c r="H413" t="str" cm="1">
        <f t="array" ref="H413">_xlfn.IFS(I413&lt;30000,"Low",I413&lt;60000,"Medium",I413&lt;100000,"High",TRUE,"Premium")</f>
        <v>Medium</v>
      </c>
      <c r="I413" s="2">
        <v>46916</v>
      </c>
      <c r="J413" t="s">
        <v>26</v>
      </c>
      <c r="K413" t="str" cm="1">
        <f t="array" ref="K413">_xlfn.IFS(Table1[[#This Row],[tenure]]&lt;=2,"New",Table1[[#This Row],[tenure]]&lt;=5,"Emerging",Table1[[#This Row],[tenure]]&lt;=8,"Loyal",Table1[[#This Row],[tenure]]&lt;=10,"Legacy")</f>
        <v>New</v>
      </c>
      <c r="L413" t="str">
        <f>TEXT(Table1[[#This Row],[Join_Date]],"mmm-yyyy")</f>
        <v>Nov-2024</v>
      </c>
      <c r="M413">
        <v>1</v>
      </c>
      <c r="N413">
        <f>YEAR(Table1[[#This Row],[Join_Date]])</f>
        <v>2024</v>
      </c>
      <c r="O413" s="1">
        <v>45608</v>
      </c>
      <c r="P413" s="1"/>
    </row>
    <row r="414" spans="1:16" x14ac:dyDescent="0.25">
      <c r="A414" t="s">
        <v>859</v>
      </c>
      <c r="B414" t="s">
        <v>860</v>
      </c>
      <c r="C414" t="s">
        <v>22</v>
      </c>
      <c r="D414" t="s">
        <v>15</v>
      </c>
      <c r="E414">
        <v>29</v>
      </c>
      <c r="F414" t="s">
        <v>24</v>
      </c>
      <c r="G414" t="s">
        <v>29</v>
      </c>
      <c r="H414" t="str" cm="1">
        <f t="array" ref="H414">_xlfn.IFS(I414&lt;30000,"Low",I414&lt;60000,"Medium",I414&lt;100000,"High",TRUE,"Premium")</f>
        <v>High</v>
      </c>
      <c r="I414" s="2">
        <v>84324</v>
      </c>
      <c r="J414" t="s">
        <v>18</v>
      </c>
      <c r="K414" t="str" cm="1">
        <f t="array" ref="K414">_xlfn.IFS(Table1[[#This Row],[tenure]]&lt;=2,"New",Table1[[#This Row],[tenure]]&lt;=5,"Emerging",Table1[[#This Row],[tenure]]&lt;=8,"Loyal",Table1[[#This Row],[tenure]]&lt;=10,"Legacy")</f>
        <v>Emerging</v>
      </c>
      <c r="L414" t="str">
        <f>TEXT(Table1[[#This Row],[Join_Date]],"mmm-yyyy")</f>
        <v>Feb-2023</v>
      </c>
      <c r="M414">
        <v>3</v>
      </c>
      <c r="N414">
        <f>YEAR(Table1[[#This Row],[Join_Date]])</f>
        <v>2023</v>
      </c>
      <c r="O414" s="1">
        <v>44965</v>
      </c>
      <c r="P414" s="1"/>
    </row>
    <row r="415" spans="1:16" x14ac:dyDescent="0.25">
      <c r="A415" t="s">
        <v>861</v>
      </c>
      <c r="B415" t="s">
        <v>862</v>
      </c>
      <c r="C415" t="s">
        <v>14</v>
      </c>
      <c r="D415" t="s">
        <v>15</v>
      </c>
      <c r="E415">
        <v>41</v>
      </c>
      <c r="F415" t="s">
        <v>24</v>
      </c>
      <c r="G415" t="s">
        <v>17</v>
      </c>
      <c r="H415" t="str" cm="1">
        <f t="array" ref="H415">_xlfn.IFS(I415&lt;30000,"Low",I415&lt;60000,"Medium",I415&lt;100000,"High",TRUE,"Premium")</f>
        <v>Premium</v>
      </c>
      <c r="I415" s="2">
        <v>196037</v>
      </c>
      <c r="J415" t="s">
        <v>26</v>
      </c>
      <c r="K415" t="str" cm="1">
        <f t="array" ref="K415">_xlfn.IFS(Table1[[#This Row],[tenure]]&lt;=2,"New",Table1[[#This Row],[tenure]]&lt;=5,"Emerging",Table1[[#This Row],[tenure]]&lt;=8,"Loyal",Table1[[#This Row],[tenure]]&lt;=10,"Legacy")</f>
        <v>Legacy</v>
      </c>
      <c r="L415" t="str">
        <f>TEXT(Table1[[#This Row],[Join_Date]],"mmm-yyyy")</f>
        <v>Mar-2016</v>
      </c>
      <c r="M415">
        <v>9</v>
      </c>
      <c r="N415">
        <f>YEAR(Table1[[#This Row],[Join_Date]])</f>
        <v>2016</v>
      </c>
      <c r="O415" s="1">
        <v>42457</v>
      </c>
      <c r="P415" s="1"/>
    </row>
    <row r="416" spans="1:16" x14ac:dyDescent="0.25">
      <c r="A416" t="s">
        <v>863</v>
      </c>
      <c r="B416" t="s">
        <v>864</v>
      </c>
      <c r="C416" t="s">
        <v>14</v>
      </c>
      <c r="D416" t="s">
        <v>23</v>
      </c>
      <c r="E416">
        <v>45</v>
      </c>
      <c r="F416" t="s">
        <v>42</v>
      </c>
      <c r="G416" t="s">
        <v>51</v>
      </c>
      <c r="H416" t="str" cm="1">
        <f t="array" ref="H416">_xlfn.IFS(I416&lt;30000,"Low",I416&lt;60000,"Medium",I416&lt;100000,"High",TRUE,"Premium")</f>
        <v>Premium</v>
      </c>
      <c r="I416" s="2">
        <v>145932</v>
      </c>
      <c r="J416" t="s">
        <v>26</v>
      </c>
      <c r="K416" t="str" cm="1">
        <f t="array" ref="K416">_xlfn.IFS(Table1[[#This Row],[tenure]]&lt;=2,"New",Table1[[#This Row],[tenure]]&lt;=5,"Emerging",Table1[[#This Row],[tenure]]&lt;=8,"Loyal",Table1[[#This Row],[tenure]]&lt;=10,"Legacy")</f>
        <v>New</v>
      </c>
      <c r="L416" t="str">
        <f>TEXT(Table1[[#This Row],[Join_Date]],"mmm-yyyy")</f>
        <v>Aug-2025</v>
      </c>
      <c r="M416">
        <v>0</v>
      </c>
      <c r="N416">
        <f>YEAR(Table1[[#This Row],[Join_Date]])</f>
        <v>2025</v>
      </c>
      <c r="O416" s="1">
        <v>45884</v>
      </c>
      <c r="P416" s="1"/>
    </row>
    <row r="417" spans="1:16" x14ac:dyDescent="0.25">
      <c r="A417" t="s">
        <v>865</v>
      </c>
      <c r="B417" t="s">
        <v>866</v>
      </c>
      <c r="C417" t="s">
        <v>14</v>
      </c>
      <c r="D417" t="s">
        <v>54</v>
      </c>
      <c r="E417">
        <v>70</v>
      </c>
      <c r="F417" t="s">
        <v>42</v>
      </c>
      <c r="G417" t="s">
        <v>34</v>
      </c>
      <c r="H417" t="str" cm="1">
        <f t="array" ref="H417">_xlfn.IFS(I417&lt;30000,"Low",I417&lt;60000,"Medium",I417&lt;100000,"High",TRUE,"Premium")</f>
        <v>Premium</v>
      </c>
      <c r="I417" s="2">
        <v>155720</v>
      </c>
      <c r="J417" t="s">
        <v>26</v>
      </c>
      <c r="K417" t="str" cm="1">
        <f t="array" ref="K417">_xlfn.IFS(Table1[[#This Row],[tenure]]&lt;=2,"New",Table1[[#This Row],[tenure]]&lt;=5,"Emerging",Table1[[#This Row],[tenure]]&lt;=8,"Loyal",Table1[[#This Row],[tenure]]&lt;=10,"Legacy")</f>
        <v>Loyal</v>
      </c>
      <c r="L417" t="str">
        <f>TEXT(Table1[[#This Row],[Join_Date]],"mmm-yyyy")</f>
        <v>Oct-2017</v>
      </c>
      <c r="M417">
        <v>8</v>
      </c>
      <c r="N417">
        <f>YEAR(Table1[[#This Row],[Join_Date]])</f>
        <v>2017</v>
      </c>
      <c r="O417" s="1">
        <v>43022</v>
      </c>
      <c r="P417" s="1"/>
    </row>
    <row r="418" spans="1:16" x14ac:dyDescent="0.25">
      <c r="A418" t="s">
        <v>867</v>
      </c>
      <c r="B418" t="s">
        <v>868</v>
      </c>
      <c r="C418" t="s">
        <v>14</v>
      </c>
      <c r="D418" t="s">
        <v>37</v>
      </c>
      <c r="E418">
        <v>25</v>
      </c>
      <c r="F418" t="s">
        <v>16</v>
      </c>
      <c r="G418" t="s">
        <v>29</v>
      </c>
      <c r="H418" t="str" cm="1">
        <f t="array" ref="H418">_xlfn.IFS(I418&lt;30000,"Low",I418&lt;60000,"Medium",I418&lt;100000,"High",TRUE,"Premium")</f>
        <v>Premium</v>
      </c>
      <c r="I418" s="2">
        <v>186205</v>
      </c>
      <c r="J418" t="s">
        <v>30</v>
      </c>
      <c r="K418" t="str" cm="1">
        <f t="array" ref="K418">_xlfn.IFS(Table1[[#This Row],[tenure]]&lt;=2,"New",Table1[[#This Row],[tenure]]&lt;=5,"Emerging",Table1[[#This Row],[tenure]]&lt;=8,"Loyal",Table1[[#This Row],[tenure]]&lt;=10,"Legacy")</f>
        <v>New</v>
      </c>
      <c r="L418" t="str">
        <f>TEXT(Table1[[#This Row],[Join_Date]],"mmm-yyyy")</f>
        <v>Oct-2024</v>
      </c>
      <c r="M418">
        <v>1</v>
      </c>
      <c r="N418">
        <f>YEAR(Table1[[#This Row],[Join_Date]])</f>
        <v>2024</v>
      </c>
      <c r="O418" s="1">
        <v>45595</v>
      </c>
      <c r="P418" s="1"/>
    </row>
    <row r="419" spans="1:16" x14ac:dyDescent="0.25">
      <c r="A419" t="s">
        <v>869</v>
      </c>
      <c r="B419" t="s">
        <v>870</v>
      </c>
      <c r="C419" t="s">
        <v>22</v>
      </c>
      <c r="D419" t="s">
        <v>23</v>
      </c>
      <c r="E419">
        <v>45</v>
      </c>
      <c r="F419" t="s">
        <v>38</v>
      </c>
      <c r="G419" t="s">
        <v>51</v>
      </c>
      <c r="H419" t="str" cm="1">
        <f t="array" ref="H419">_xlfn.IFS(I419&lt;30000,"Low",I419&lt;60000,"Medium",I419&lt;100000,"High",TRUE,"Premium")</f>
        <v>Premium</v>
      </c>
      <c r="I419" s="2">
        <v>116059</v>
      </c>
      <c r="J419" t="s">
        <v>18</v>
      </c>
      <c r="K419" t="str" cm="1">
        <f t="array" ref="K419">_xlfn.IFS(Table1[[#This Row],[tenure]]&lt;=2,"New",Table1[[#This Row],[tenure]]&lt;=5,"Emerging",Table1[[#This Row],[tenure]]&lt;=8,"Loyal",Table1[[#This Row],[tenure]]&lt;=10,"Legacy")</f>
        <v>Loyal</v>
      </c>
      <c r="L419" t="str">
        <f>TEXT(Table1[[#This Row],[Join_Date]],"mmm-yyyy")</f>
        <v>Nov-2018</v>
      </c>
      <c r="M419">
        <v>7</v>
      </c>
      <c r="N419">
        <f>YEAR(Table1[[#This Row],[Join_Date]])</f>
        <v>2018</v>
      </c>
      <c r="O419" s="1">
        <v>43432</v>
      </c>
      <c r="P419" s="1"/>
    </row>
    <row r="420" spans="1:16" x14ac:dyDescent="0.25">
      <c r="A420" t="s">
        <v>871</v>
      </c>
      <c r="B420" t="s">
        <v>872</v>
      </c>
      <c r="C420" t="s">
        <v>22</v>
      </c>
      <c r="D420" t="s">
        <v>23</v>
      </c>
      <c r="E420">
        <v>53</v>
      </c>
      <c r="F420" t="s">
        <v>38</v>
      </c>
      <c r="G420" t="s">
        <v>39</v>
      </c>
      <c r="H420" t="str" cm="1">
        <f t="array" ref="H420">_xlfn.IFS(I420&lt;30000,"Low",I420&lt;60000,"Medium",I420&lt;100000,"High",TRUE,"Premium")</f>
        <v>Premium</v>
      </c>
      <c r="I420" s="2">
        <v>118317</v>
      </c>
      <c r="J420" t="s">
        <v>26</v>
      </c>
      <c r="K420" t="str" cm="1">
        <f t="array" ref="K420">_xlfn.IFS(Table1[[#This Row],[tenure]]&lt;=2,"New",Table1[[#This Row],[tenure]]&lt;=5,"Emerging",Table1[[#This Row],[tenure]]&lt;=8,"Loyal",Table1[[#This Row],[tenure]]&lt;=10,"Legacy")</f>
        <v>Legacy</v>
      </c>
      <c r="L420" t="str">
        <f>TEXT(Table1[[#This Row],[Join_Date]],"mmm-yyyy")</f>
        <v>Mar-2017</v>
      </c>
      <c r="M420">
        <v>9</v>
      </c>
      <c r="N420">
        <f>YEAR(Table1[[#This Row],[Join_Date]])</f>
        <v>2017</v>
      </c>
      <c r="O420" s="1">
        <v>42802</v>
      </c>
      <c r="P420" s="1"/>
    </row>
    <row r="421" spans="1:16" x14ac:dyDescent="0.25">
      <c r="A421" t="s">
        <v>873</v>
      </c>
      <c r="B421" t="s">
        <v>874</v>
      </c>
      <c r="C421" t="s">
        <v>22</v>
      </c>
      <c r="D421" t="s">
        <v>15</v>
      </c>
      <c r="E421">
        <v>43</v>
      </c>
      <c r="F421" t="s">
        <v>24</v>
      </c>
      <c r="G421" t="s">
        <v>25</v>
      </c>
      <c r="H421" t="str" cm="1">
        <f t="array" ref="H421">_xlfn.IFS(I421&lt;30000,"Low",I421&lt;60000,"Medium",I421&lt;100000,"High",TRUE,"Premium")</f>
        <v>Medium</v>
      </c>
      <c r="I421" s="2">
        <v>55046</v>
      </c>
      <c r="J421" t="s">
        <v>18</v>
      </c>
      <c r="K421" t="str" cm="1">
        <f t="array" ref="K421">_xlfn.IFS(Table1[[#This Row],[tenure]]&lt;=2,"New",Table1[[#This Row],[tenure]]&lt;=5,"Emerging",Table1[[#This Row],[tenure]]&lt;=8,"Loyal",Table1[[#This Row],[tenure]]&lt;=10,"Legacy")</f>
        <v>Emerging</v>
      </c>
      <c r="L421" t="str">
        <f>TEXT(Table1[[#This Row],[Join_Date]],"mmm-yyyy")</f>
        <v>Apr-2021</v>
      </c>
      <c r="M421">
        <v>4</v>
      </c>
      <c r="N421">
        <f>YEAR(Table1[[#This Row],[Join_Date]])</f>
        <v>2021</v>
      </c>
      <c r="O421" s="1">
        <v>44313</v>
      </c>
      <c r="P421" s="1"/>
    </row>
    <row r="422" spans="1:16" x14ac:dyDescent="0.25">
      <c r="A422" t="s">
        <v>875</v>
      </c>
      <c r="B422" t="s">
        <v>876</v>
      </c>
      <c r="C422" t="s">
        <v>22</v>
      </c>
      <c r="D422" t="s">
        <v>37</v>
      </c>
      <c r="E422">
        <v>25</v>
      </c>
      <c r="F422" t="s">
        <v>24</v>
      </c>
      <c r="G422" t="s">
        <v>51</v>
      </c>
      <c r="H422" t="str" cm="1">
        <f t="array" ref="H422">_xlfn.IFS(I422&lt;30000,"Low",I422&lt;60000,"Medium",I422&lt;100000,"High",TRUE,"Premium")</f>
        <v>Premium</v>
      </c>
      <c r="I422" s="2">
        <v>198136</v>
      </c>
      <c r="J422" t="s">
        <v>26</v>
      </c>
      <c r="K422" t="str" cm="1">
        <f t="array" ref="K422">_xlfn.IFS(Table1[[#This Row],[tenure]]&lt;=2,"New",Table1[[#This Row],[tenure]]&lt;=5,"Emerging",Table1[[#This Row],[tenure]]&lt;=8,"Loyal",Table1[[#This Row],[tenure]]&lt;=10,"Legacy")</f>
        <v>Legacy</v>
      </c>
      <c r="L422" t="str">
        <f>TEXT(Table1[[#This Row],[Join_Date]],"mmm-yyyy")</f>
        <v>Jul-2016</v>
      </c>
      <c r="M422">
        <v>9</v>
      </c>
      <c r="N422">
        <f>YEAR(Table1[[#This Row],[Join_Date]])</f>
        <v>2016</v>
      </c>
      <c r="O422" s="1">
        <v>42565</v>
      </c>
      <c r="P422" s="1"/>
    </row>
    <row r="423" spans="1:16" x14ac:dyDescent="0.25">
      <c r="A423" t="s">
        <v>877</v>
      </c>
      <c r="B423" t="s">
        <v>878</v>
      </c>
      <c r="C423" t="s">
        <v>22</v>
      </c>
      <c r="D423" t="s">
        <v>54</v>
      </c>
      <c r="E423">
        <v>67</v>
      </c>
      <c r="F423" t="s">
        <v>24</v>
      </c>
      <c r="G423" t="s">
        <v>17</v>
      </c>
      <c r="H423" t="str" cm="1">
        <f t="array" ref="H423">_xlfn.IFS(I423&lt;30000,"Low",I423&lt;60000,"Medium",I423&lt;100000,"High",TRUE,"Premium")</f>
        <v>Premium</v>
      </c>
      <c r="I423" s="2">
        <v>121459</v>
      </c>
      <c r="J423" t="s">
        <v>26</v>
      </c>
      <c r="K423" t="str" cm="1">
        <f t="array" ref="K423">_xlfn.IFS(Table1[[#This Row],[tenure]]&lt;=2,"New",Table1[[#This Row],[tenure]]&lt;=5,"Emerging",Table1[[#This Row],[tenure]]&lt;=8,"Loyal",Table1[[#This Row],[tenure]]&lt;=10,"Legacy")</f>
        <v>Emerging</v>
      </c>
      <c r="L423" t="str">
        <f>TEXT(Table1[[#This Row],[Join_Date]],"mmm-yyyy")</f>
        <v>Nov-2021</v>
      </c>
      <c r="M423">
        <v>4</v>
      </c>
      <c r="N423">
        <f>YEAR(Table1[[#This Row],[Join_Date]])</f>
        <v>2021</v>
      </c>
      <c r="O423" s="1">
        <v>44523</v>
      </c>
      <c r="P423" s="1"/>
    </row>
    <row r="424" spans="1:16" x14ac:dyDescent="0.25">
      <c r="A424" t="s">
        <v>879</v>
      </c>
      <c r="B424" t="s">
        <v>880</v>
      </c>
      <c r="C424" t="s">
        <v>22</v>
      </c>
      <c r="D424" t="s">
        <v>23</v>
      </c>
      <c r="E424">
        <v>45</v>
      </c>
      <c r="F424" t="s">
        <v>42</v>
      </c>
      <c r="G424" t="s">
        <v>29</v>
      </c>
      <c r="H424" t="str" cm="1">
        <f t="array" ref="H424">_xlfn.IFS(I424&lt;30000,"Low",I424&lt;60000,"Medium",I424&lt;100000,"High",TRUE,"Premium")</f>
        <v>High</v>
      </c>
      <c r="I424" s="2">
        <v>65893</v>
      </c>
      <c r="J424" t="s">
        <v>26</v>
      </c>
      <c r="K424" t="str" cm="1">
        <f t="array" ref="K424">_xlfn.IFS(Table1[[#This Row],[tenure]]&lt;=2,"New",Table1[[#This Row],[tenure]]&lt;=5,"Emerging",Table1[[#This Row],[tenure]]&lt;=8,"Loyal",Table1[[#This Row],[tenure]]&lt;=10,"Legacy")</f>
        <v>Emerging</v>
      </c>
      <c r="L424" t="str">
        <f>TEXT(Table1[[#This Row],[Join_Date]],"mmm-yyyy")</f>
        <v>Nov-2021</v>
      </c>
      <c r="M424">
        <v>4</v>
      </c>
      <c r="N424">
        <f>YEAR(Table1[[#This Row],[Join_Date]])</f>
        <v>2021</v>
      </c>
      <c r="O424" s="1">
        <v>44513</v>
      </c>
      <c r="P424" s="1"/>
    </row>
    <row r="425" spans="1:16" x14ac:dyDescent="0.25">
      <c r="A425" t="s">
        <v>881</v>
      </c>
      <c r="B425" t="s">
        <v>880</v>
      </c>
      <c r="C425" t="s">
        <v>14</v>
      </c>
      <c r="D425" t="s">
        <v>23</v>
      </c>
      <c r="E425">
        <v>45</v>
      </c>
      <c r="F425" t="s">
        <v>42</v>
      </c>
      <c r="G425" t="s">
        <v>17</v>
      </c>
      <c r="H425" t="str" cm="1">
        <f t="array" ref="H425">_xlfn.IFS(I425&lt;30000,"Low",I425&lt;60000,"Medium",I425&lt;100000,"High",TRUE,"Premium")</f>
        <v>Premium</v>
      </c>
      <c r="I425" s="2">
        <v>121520</v>
      </c>
      <c r="J425" t="s">
        <v>26</v>
      </c>
      <c r="K425" t="str" cm="1">
        <f t="array" ref="K425">_xlfn.IFS(Table1[[#This Row],[tenure]]&lt;=2,"New",Table1[[#This Row],[tenure]]&lt;=5,"Emerging",Table1[[#This Row],[tenure]]&lt;=8,"Loyal",Table1[[#This Row],[tenure]]&lt;=10,"Legacy")</f>
        <v>Emerging</v>
      </c>
      <c r="L425" t="str">
        <f>TEXT(Table1[[#This Row],[Join_Date]],"mmm-yyyy")</f>
        <v>Oct-2020</v>
      </c>
      <c r="M425">
        <v>5</v>
      </c>
      <c r="N425">
        <f>YEAR(Table1[[#This Row],[Join_Date]])</f>
        <v>2020</v>
      </c>
      <c r="O425" s="1">
        <v>44111</v>
      </c>
      <c r="P425" s="1"/>
    </row>
    <row r="426" spans="1:16" x14ac:dyDescent="0.25">
      <c r="A426" t="s">
        <v>882</v>
      </c>
      <c r="B426" t="s">
        <v>883</v>
      </c>
      <c r="C426" t="s">
        <v>22</v>
      </c>
      <c r="D426" t="s">
        <v>23</v>
      </c>
      <c r="E426">
        <v>54</v>
      </c>
      <c r="F426" t="s">
        <v>24</v>
      </c>
      <c r="G426" t="s">
        <v>29</v>
      </c>
      <c r="H426" t="str" cm="1">
        <f t="array" ref="H426">_xlfn.IFS(I426&lt;30000,"Low",I426&lt;60000,"Medium",I426&lt;100000,"High",TRUE,"Premium")</f>
        <v>Premium</v>
      </c>
      <c r="I426" s="2">
        <v>145818</v>
      </c>
      <c r="J426" t="s">
        <v>18</v>
      </c>
      <c r="K426" t="str" cm="1">
        <f t="array" ref="K426">_xlfn.IFS(Table1[[#This Row],[tenure]]&lt;=2,"New",Table1[[#This Row],[tenure]]&lt;=5,"Emerging",Table1[[#This Row],[tenure]]&lt;=8,"Loyal",Table1[[#This Row],[tenure]]&lt;=10,"Legacy")</f>
        <v>Loyal</v>
      </c>
      <c r="L426" t="str">
        <f>TEXT(Table1[[#This Row],[Join_Date]],"mmm-yyyy")</f>
        <v>Jul-2017</v>
      </c>
      <c r="M426">
        <v>8</v>
      </c>
      <c r="N426">
        <f>YEAR(Table1[[#This Row],[Join_Date]])</f>
        <v>2017</v>
      </c>
      <c r="O426" s="1">
        <v>42917</v>
      </c>
      <c r="P426" s="1"/>
    </row>
    <row r="427" spans="1:16" x14ac:dyDescent="0.25">
      <c r="A427" t="s">
        <v>884</v>
      </c>
      <c r="B427" t="s">
        <v>885</v>
      </c>
      <c r="C427" t="s">
        <v>14</v>
      </c>
      <c r="D427" t="s">
        <v>23</v>
      </c>
      <c r="E427">
        <v>58</v>
      </c>
      <c r="F427" t="s">
        <v>24</v>
      </c>
      <c r="G427" t="s">
        <v>51</v>
      </c>
      <c r="H427" t="str" cm="1">
        <f t="array" ref="H427">_xlfn.IFS(I427&lt;30000,"Low",I427&lt;60000,"Medium",I427&lt;100000,"High",TRUE,"Premium")</f>
        <v>High</v>
      </c>
      <c r="I427" s="2">
        <v>81272</v>
      </c>
      <c r="J427" t="s">
        <v>18</v>
      </c>
      <c r="K427" t="str" cm="1">
        <f t="array" ref="K427">_xlfn.IFS(Table1[[#This Row],[tenure]]&lt;=2,"New",Table1[[#This Row],[tenure]]&lt;=5,"Emerging",Table1[[#This Row],[tenure]]&lt;=8,"Loyal",Table1[[#This Row],[tenure]]&lt;=10,"Legacy")</f>
        <v>Legacy</v>
      </c>
      <c r="L427" t="str">
        <f>TEXT(Table1[[#This Row],[Join_Date]],"mmm-yyyy")</f>
        <v>Jan-2017</v>
      </c>
      <c r="M427">
        <v>9</v>
      </c>
      <c r="N427">
        <f>YEAR(Table1[[#This Row],[Join_Date]])</f>
        <v>2017</v>
      </c>
      <c r="O427" s="1">
        <v>42747</v>
      </c>
      <c r="P427" s="1"/>
    </row>
    <row r="428" spans="1:16" x14ac:dyDescent="0.25">
      <c r="A428" t="s">
        <v>886</v>
      </c>
      <c r="B428" t="s">
        <v>887</v>
      </c>
      <c r="C428" t="s">
        <v>14</v>
      </c>
      <c r="D428" t="s">
        <v>23</v>
      </c>
      <c r="E428">
        <v>53</v>
      </c>
      <c r="F428" t="s">
        <v>24</v>
      </c>
      <c r="G428" t="s">
        <v>46</v>
      </c>
      <c r="H428" t="str" cm="1">
        <f t="array" ref="H428">_xlfn.IFS(I428&lt;30000,"Low",I428&lt;60000,"Medium",I428&lt;100000,"High",TRUE,"Premium")</f>
        <v>High</v>
      </c>
      <c r="I428" s="2">
        <v>87649</v>
      </c>
      <c r="J428" t="s">
        <v>30</v>
      </c>
      <c r="K428" t="str" cm="1">
        <f t="array" ref="K428">_xlfn.IFS(Table1[[#This Row],[tenure]]&lt;=2,"New",Table1[[#This Row],[tenure]]&lt;=5,"Emerging",Table1[[#This Row],[tenure]]&lt;=8,"Loyal",Table1[[#This Row],[tenure]]&lt;=10,"Legacy")</f>
        <v>New</v>
      </c>
      <c r="L428" t="str">
        <f>TEXT(Table1[[#This Row],[Join_Date]],"mmm-yyyy")</f>
        <v>May-2023</v>
      </c>
      <c r="M428">
        <v>2</v>
      </c>
      <c r="N428">
        <f>YEAR(Table1[[#This Row],[Join_Date]])</f>
        <v>2023</v>
      </c>
      <c r="O428" s="1">
        <v>45052</v>
      </c>
      <c r="P428" s="1"/>
    </row>
    <row r="429" spans="1:16" x14ac:dyDescent="0.25">
      <c r="A429" t="s">
        <v>888</v>
      </c>
      <c r="B429" t="s">
        <v>889</v>
      </c>
      <c r="C429" t="s">
        <v>22</v>
      </c>
      <c r="D429" t="s">
        <v>15</v>
      </c>
      <c r="E429">
        <v>44</v>
      </c>
      <c r="F429" t="s">
        <v>38</v>
      </c>
      <c r="G429" t="s">
        <v>39</v>
      </c>
      <c r="H429" t="str" cm="1">
        <f t="array" ref="H429">_xlfn.IFS(I429&lt;30000,"Low",I429&lt;60000,"Medium",I429&lt;100000,"High",TRUE,"Premium")</f>
        <v>High</v>
      </c>
      <c r="I429" s="2">
        <v>84674</v>
      </c>
      <c r="J429" t="s">
        <v>30</v>
      </c>
      <c r="K429" t="str" cm="1">
        <f t="array" ref="K429">_xlfn.IFS(Table1[[#This Row],[tenure]]&lt;=2,"New",Table1[[#This Row],[tenure]]&lt;=5,"Emerging",Table1[[#This Row],[tenure]]&lt;=8,"Loyal",Table1[[#This Row],[tenure]]&lt;=10,"Legacy")</f>
        <v>Loyal</v>
      </c>
      <c r="L429" t="str">
        <f>TEXT(Table1[[#This Row],[Join_Date]],"mmm-yyyy")</f>
        <v>Jun-2019</v>
      </c>
      <c r="M429">
        <v>6</v>
      </c>
      <c r="N429">
        <f>YEAR(Table1[[#This Row],[Join_Date]])</f>
        <v>2019</v>
      </c>
      <c r="O429" s="1">
        <v>43617</v>
      </c>
      <c r="P429" s="1"/>
    </row>
    <row r="430" spans="1:16" x14ac:dyDescent="0.25">
      <c r="A430" t="s">
        <v>890</v>
      </c>
      <c r="B430" t="s">
        <v>891</v>
      </c>
      <c r="C430" t="s">
        <v>14</v>
      </c>
      <c r="D430" t="s">
        <v>54</v>
      </c>
      <c r="E430">
        <v>71</v>
      </c>
      <c r="F430" t="s">
        <v>42</v>
      </c>
      <c r="G430" t="s">
        <v>51</v>
      </c>
      <c r="H430" t="str" cm="1">
        <f t="array" ref="H430">_xlfn.IFS(I430&lt;30000,"Low",I430&lt;60000,"Medium",I430&lt;100000,"High",TRUE,"Premium")</f>
        <v>Premium</v>
      </c>
      <c r="I430" s="2">
        <v>164832</v>
      </c>
      <c r="J430" t="s">
        <v>18</v>
      </c>
      <c r="K430" t="str" cm="1">
        <f t="array" ref="K430">_xlfn.IFS(Table1[[#This Row],[tenure]]&lt;=2,"New",Table1[[#This Row],[tenure]]&lt;=5,"Emerging",Table1[[#This Row],[tenure]]&lt;=8,"Loyal",Table1[[#This Row],[tenure]]&lt;=10,"Legacy")</f>
        <v>Loyal</v>
      </c>
      <c r="L430" t="str">
        <f>TEXT(Table1[[#This Row],[Join_Date]],"mmm-yyyy")</f>
        <v>Aug-2017</v>
      </c>
      <c r="M430">
        <v>8</v>
      </c>
      <c r="N430">
        <f>YEAR(Table1[[#This Row],[Join_Date]])</f>
        <v>2017</v>
      </c>
      <c r="O430" s="1">
        <v>42971</v>
      </c>
      <c r="P430" s="1"/>
    </row>
    <row r="431" spans="1:16" x14ac:dyDescent="0.25">
      <c r="A431" t="s">
        <v>892</v>
      </c>
      <c r="B431" t="s">
        <v>893</v>
      </c>
      <c r="C431" t="s">
        <v>22</v>
      </c>
      <c r="D431" t="s">
        <v>15</v>
      </c>
      <c r="E431">
        <v>34</v>
      </c>
      <c r="F431" t="s">
        <v>38</v>
      </c>
      <c r="G431" t="s">
        <v>17</v>
      </c>
      <c r="H431" t="str" cm="1">
        <f t="array" ref="H431">_xlfn.IFS(I431&lt;30000,"Low",I431&lt;60000,"Medium",I431&lt;100000,"High",TRUE,"Premium")</f>
        <v>Premium</v>
      </c>
      <c r="I431" s="2">
        <v>172999</v>
      </c>
      <c r="J431" t="s">
        <v>18</v>
      </c>
      <c r="K431" t="str" cm="1">
        <f t="array" ref="K431">_xlfn.IFS(Table1[[#This Row],[tenure]]&lt;=2,"New",Table1[[#This Row],[tenure]]&lt;=5,"Emerging",Table1[[#This Row],[tenure]]&lt;=8,"Loyal",Table1[[#This Row],[tenure]]&lt;=10,"Legacy")</f>
        <v>Loyal</v>
      </c>
      <c r="L431" t="str">
        <f>TEXT(Table1[[#This Row],[Join_Date]],"mmm-yyyy")</f>
        <v>Jun-2017</v>
      </c>
      <c r="M431">
        <v>8</v>
      </c>
      <c r="N431">
        <f>YEAR(Table1[[#This Row],[Join_Date]])</f>
        <v>2017</v>
      </c>
      <c r="O431" s="1">
        <v>42894</v>
      </c>
      <c r="P431" s="1"/>
    </row>
    <row r="432" spans="1:16" x14ac:dyDescent="0.25">
      <c r="A432" t="s">
        <v>894</v>
      </c>
      <c r="B432" t="s">
        <v>895</v>
      </c>
      <c r="C432" t="s">
        <v>14</v>
      </c>
      <c r="D432" t="s">
        <v>37</v>
      </c>
      <c r="E432">
        <v>26</v>
      </c>
      <c r="F432" t="s">
        <v>38</v>
      </c>
      <c r="G432" t="s">
        <v>25</v>
      </c>
      <c r="H432" t="str" cm="1">
        <f t="array" ref="H432">_xlfn.IFS(I432&lt;30000,"Low",I432&lt;60000,"Medium",I432&lt;100000,"High",TRUE,"Premium")</f>
        <v>Premium</v>
      </c>
      <c r="I432" s="2">
        <v>106475</v>
      </c>
      <c r="J432" t="s">
        <v>18</v>
      </c>
      <c r="K432" t="str" cm="1">
        <f t="array" ref="K432">_xlfn.IFS(Table1[[#This Row],[tenure]]&lt;=2,"New",Table1[[#This Row],[tenure]]&lt;=5,"Emerging",Table1[[#This Row],[tenure]]&lt;=8,"Loyal",Table1[[#This Row],[tenure]]&lt;=10,"Legacy")</f>
        <v>New</v>
      </c>
      <c r="L432" t="str">
        <f>TEXT(Table1[[#This Row],[Join_Date]],"mmm-yyyy")</f>
        <v>Jul-2023</v>
      </c>
      <c r="M432">
        <v>2</v>
      </c>
      <c r="N432">
        <f>YEAR(Table1[[#This Row],[Join_Date]])</f>
        <v>2023</v>
      </c>
      <c r="O432" s="1">
        <v>45133</v>
      </c>
      <c r="P432" s="1"/>
    </row>
    <row r="433" spans="1:16" x14ac:dyDescent="0.25">
      <c r="A433" t="s">
        <v>896</v>
      </c>
      <c r="B433" t="s">
        <v>897</v>
      </c>
      <c r="C433" t="s">
        <v>22</v>
      </c>
      <c r="D433" t="s">
        <v>23</v>
      </c>
      <c r="E433">
        <v>50</v>
      </c>
      <c r="F433" t="s">
        <v>24</v>
      </c>
      <c r="G433" t="s">
        <v>25</v>
      </c>
      <c r="H433" t="str" cm="1">
        <f t="array" ref="H433">_xlfn.IFS(I433&lt;30000,"Low",I433&lt;60000,"Medium",I433&lt;100000,"High",TRUE,"Premium")</f>
        <v>High</v>
      </c>
      <c r="I433" s="2">
        <v>81367</v>
      </c>
      <c r="J433" t="s">
        <v>26</v>
      </c>
      <c r="K433" t="str" cm="1">
        <f t="array" ref="K433">_xlfn.IFS(Table1[[#This Row],[tenure]]&lt;=2,"New",Table1[[#This Row],[tenure]]&lt;=5,"Emerging",Table1[[#This Row],[tenure]]&lt;=8,"Loyal",Table1[[#This Row],[tenure]]&lt;=10,"Legacy")</f>
        <v>Loyal</v>
      </c>
      <c r="L433" t="str">
        <f>TEXT(Table1[[#This Row],[Join_Date]],"mmm-yyyy")</f>
        <v>Jun-2017</v>
      </c>
      <c r="M433">
        <v>8</v>
      </c>
      <c r="N433">
        <f>YEAR(Table1[[#This Row],[Join_Date]])</f>
        <v>2017</v>
      </c>
      <c r="O433" s="1">
        <v>42887</v>
      </c>
      <c r="P433" s="1"/>
    </row>
    <row r="434" spans="1:16" x14ac:dyDescent="0.25">
      <c r="A434" t="s">
        <v>898</v>
      </c>
      <c r="B434" t="s">
        <v>899</v>
      </c>
      <c r="C434" t="s">
        <v>14</v>
      </c>
      <c r="D434" t="s">
        <v>54</v>
      </c>
      <c r="E434">
        <v>70</v>
      </c>
      <c r="F434" t="s">
        <v>24</v>
      </c>
      <c r="G434" t="s">
        <v>34</v>
      </c>
      <c r="H434" t="str" cm="1">
        <f t="array" ref="H434">_xlfn.IFS(I434&lt;30000,"Low",I434&lt;60000,"Medium",I434&lt;100000,"High",TRUE,"Premium")</f>
        <v>Premium</v>
      </c>
      <c r="I434" s="2">
        <v>163660</v>
      </c>
      <c r="J434" t="s">
        <v>26</v>
      </c>
      <c r="K434" t="str" cm="1">
        <f t="array" ref="K434">_xlfn.IFS(Table1[[#This Row],[tenure]]&lt;=2,"New",Table1[[#This Row],[tenure]]&lt;=5,"Emerging",Table1[[#This Row],[tenure]]&lt;=8,"Loyal",Table1[[#This Row],[tenure]]&lt;=10,"Legacy")</f>
        <v>Loyal</v>
      </c>
      <c r="L434" t="str">
        <f>TEXT(Table1[[#This Row],[Join_Date]],"mmm-yyyy")</f>
        <v>Nov-2019</v>
      </c>
      <c r="M434">
        <v>6</v>
      </c>
      <c r="N434">
        <f>YEAR(Table1[[#This Row],[Join_Date]])</f>
        <v>2019</v>
      </c>
      <c r="O434" s="1">
        <v>43774</v>
      </c>
      <c r="P434" s="1"/>
    </row>
    <row r="435" spans="1:16" x14ac:dyDescent="0.25">
      <c r="A435" t="s">
        <v>900</v>
      </c>
      <c r="B435" t="s">
        <v>901</v>
      </c>
      <c r="C435" t="s">
        <v>22</v>
      </c>
      <c r="D435" t="s">
        <v>15</v>
      </c>
      <c r="E435">
        <v>37</v>
      </c>
      <c r="F435" t="s">
        <v>16</v>
      </c>
      <c r="G435" t="s">
        <v>29</v>
      </c>
      <c r="H435" t="str" cm="1">
        <f t="array" ref="H435">_xlfn.IFS(I435&lt;30000,"Low",I435&lt;60000,"Medium",I435&lt;100000,"High",TRUE,"Premium")</f>
        <v>Premium</v>
      </c>
      <c r="I435" s="2">
        <v>141750</v>
      </c>
      <c r="J435" t="s">
        <v>18</v>
      </c>
      <c r="K435" t="str" cm="1">
        <f t="array" ref="K435">_xlfn.IFS(Table1[[#This Row],[tenure]]&lt;=2,"New",Table1[[#This Row],[tenure]]&lt;=5,"Emerging",Table1[[#This Row],[tenure]]&lt;=8,"Loyal",Table1[[#This Row],[tenure]]&lt;=10,"Legacy")</f>
        <v>Loyal</v>
      </c>
      <c r="L435" t="str">
        <f>TEXT(Table1[[#This Row],[Join_Date]],"mmm-yyyy")</f>
        <v>May-2019</v>
      </c>
      <c r="M435">
        <v>6</v>
      </c>
      <c r="N435">
        <f>YEAR(Table1[[#This Row],[Join_Date]])</f>
        <v>2019</v>
      </c>
      <c r="O435" s="1">
        <v>43599</v>
      </c>
      <c r="P435" s="1"/>
    </row>
    <row r="436" spans="1:16" x14ac:dyDescent="0.25">
      <c r="A436" t="s">
        <v>902</v>
      </c>
      <c r="B436" t="s">
        <v>903</v>
      </c>
      <c r="C436" t="s">
        <v>22</v>
      </c>
      <c r="D436" t="s">
        <v>15</v>
      </c>
      <c r="E436">
        <v>30</v>
      </c>
      <c r="F436" t="s">
        <v>16</v>
      </c>
      <c r="G436" t="s">
        <v>17</v>
      </c>
      <c r="H436" t="str" cm="1">
        <f t="array" ref="H436">_xlfn.IFS(I436&lt;30000,"Low",I436&lt;60000,"Medium",I436&lt;100000,"High",TRUE,"Premium")</f>
        <v>Premium</v>
      </c>
      <c r="I436" s="2">
        <v>138154</v>
      </c>
      <c r="J436" t="s">
        <v>18</v>
      </c>
      <c r="K436" t="str" cm="1">
        <f t="array" ref="K436">_xlfn.IFS(Table1[[#This Row],[tenure]]&lt;=2,"New",Table1[[#This Row],[tenure]]&lt;=5,"Emerging",Table1[[#This Row],[tenure]]&lt;=8,"Loyal",Table1[[#This Row],[tenure]]&lt;=10,"Legacy")</f>
        <v>Emerging</v>
      </c>
      <c r="L436" t="str">
        <f>TEXT(Table1[[#This Row],[Join_Date]],"mmm-yyyy")</f>
        <v>Dec-2022</v>
      </c>
      <c r="M436">
        <v>3</v>
      </c>
      <c r="N436">
        <f>YEAR(Table1[[#This Row],[Join_Date]])</f>
        <v>2022</v>
      </c>
      <c r="O436" s="1">
        <v>44896</v>
      </c>
      <c r="P436" s="1"/>
    </row>
    <row r="437" spans="1:16" x14ac:dyDescent="0.25">
      <c r="A437" t="s">
        <v>904</v>
      </c>
      <c r="B437" t="s">
        <v>905</v>
      </c>
      <c r="C437" t="s">
        <v>22</v>
      </c>
      <c r="D437" t="s">
        <v>23</v>
      </c>
      <c r="E437">
        <v>45</v>
      </c>
      <c r="F437" t="s">
        <v>38</v>
      </c>
      <c r="G437" t="s">
        <v>34</v>
      </c>
      <c r="H437" t="str" cm="1">
        <f t="array" ref="H437">_xlfn.IFS(I437&lt;30000,"Low",I437&lt;60000,"Medium",I437&lt;100000,"High",TRUE,"Premium")</f>
        <v>High</v>
      </c>
      <c r="I437" s="2">
        <v>64738</v>
      </c>
      <c r="J437" t="s">
        <v>26</v>
      </c>
      <c r="K437" t="str" cm="1">
        <f t="array" ref="K437">_xlfn.IFS(Table1[[#This Row],[tenure]]&lt;=2,"New",Table1[[#This Row],[tenure]]&lt;=5,"Emerging",Table1[[#This Row],[tenure]]&lt;=8,"Loyal",Table1[[#This Row],[tenure]]&lt;=10,"Legacy")</f>
        <v>Loyal</v>
      </c>
      <c r="L437" t="str">
        <f>TEXT(Table1[[#This Row],[Join_Date]],"mmm-yyyy")</f>
        <v>Oct-2019</v>
      </c>
      <c r="M437">
        <v>6</v>
      </c>
      <c r="N437">
        <f>YEAR(Table1[[#This Row],[Join_Date]])</f>
        <v>2019</v>
      </c>
      <c r="O437" s="1">
        <v>43760</v>
      </c>
      <c r="P437" s="1"/>
    </row>
    <row r="438" spans="1:16" x14ac:dyDescent="0.25">
      <c r="A438" t="s">
        <v>906</v>
      </c>
      <c r="B438" t="s">
        <v>907</v>
      </c>
      <c r="C438" t="s">
        <v>22</v>
      </c>
      <c r="D438" t="s">
        <v>54</v>
      </c>
      <c r="E438">
        <v>65</v>
      </c>
      <c r="F438" t="s">
        <v>42</v>
      </c>
      <c r="G438" t="s">
        <v>17</v>
      </c>
      <c r="H438" t="str" cm="1">
        <f t="array" ref="H438">_xlfn.IFS(I438&lt;30000,"Low",I438&lt;60000,"Medium",I438&lt;100000,"High",TRUE,"Premium")</f>
        <v>Medium</v>
      </c>
      <c r="I438" s="2">
        <v>53397</v>
      </c>
      <c r="J438" t="s">
        <v>26</v>
      </c>
      <c r="K438" t="str" cm="1">
        <f t="array" ref="K438">_xlfn.IFS(Table1[[#This Row],[tenure]]&lt;=2,"New",Table1[[#This Row],[tenure]]&lt;=5,"Emerging",Table1[[#This Row],[tenure]]&lt;=8,"Loyal",Table1[[#This Row],[tenure]]&lt;=10,"Legacy")</f>
        <v>New</v>
      </c>
      <c r="L438" t="str">
        <f>TEXT(Table1[[#This Row],[Join_Date]],"mmm-yyyy")</f>
        <v>Dec-2023</v>
      </c>
      <c r="M438">
        <v>2</v>
      </c>
      <c r="N438">
        <f>YEAR(Table1[[#This Row],[Join_Date]])</f>
        <v>2023</v>
      </c>
      <c r="O438" s="1">
        <v>45281</v>
      </c>
      <c r="P438" s="1"/>
    </row>
    <row r="439" spans="1:16" x14ac:dyDescent="0.25">
      <c r="A439" t="s">
        <v>908</v>
      </c>
      <c r="B439" t="s">
        <v>909</v>
      </c>
      <c r="C439" t="s">
        <v>22</v>
      </c>
      <c r="D439" t="s">
        <v>23</v>
      </c>
      <c r="E439">
        <v>46</v>
      </c>
      <c r="F439" t="s">
        <v>24</v>
      </c>
      <c r="G439" t="s">
        <v>29</v>
      </c>
      <c r="H439" t="str" cm="1">
        <f t="array" ref="H439">_xlfn.IFS(I439&lt;30000,"Low",I439&lt;60000,"Medium",I439&lt;100000,"High",TRUE,"Premium")</f>
        <v>Premium</v>
      </c>
      <c r="I439" s="2">
        <v>102189</v>
      </c>
      <c r="J439" t="s">
        <v>18</v>
      </c>
      <c r="K439" t="str" cm="1">
        <f t="array" ref="K439">_xlfn.IFS(Table1[[#This Row],[tenure]]&lt;=2,"New",Table1[[#This Row],[tenure]]&lt;=5,"Emerging",Table1[[#This Row],[tenure]]&lt;=8,"Loyal",Table1[[#This Row],[tenure]]&lt;=10,"Legacy")</f>
        <v>New</v>
      </c>
      <c r="L439" t="str">
        <f>TEXT(Table1[[#This Row],[Join_Date]],"mmm-yyyy")</f>
        <v>Apr-2023</v>
      </c>
      <c r="M439">
        <v>2</v>
      </c>
      <c r="N439">
        <f>YEAR(Table1[[#This Row],[Join_Date]])</f>
        <v>2023</v>
      </c>
      <c r="O439" s="1">
        <v>45037</v>
      </c>
      <c r="P439" s="1"/>
    </row>
    <row r="440" spans="1:16" x14ac:dyDescent="0.25">
      <c r="A440" t="s">
        <v>910</v>
      </c>
      <c r="B440" t="s">
        <v>911</v>
      </c>
      <c r="C440" t="s">
        <v>14</v>
      </c>
      <c r="D440" t="s">
        <v>15</v>
      </c>
      <c r="E440">
        <v>30</v>
      </c>
      <c r="F440" t="s">
        <v>24</v>
      </c>
      <c r="G440" t="s">
        <v>51</v>
      </c>
      <c r="H440" t="str" cm="1">
        <f t="array" ref="H440">_xlfn.IFS(I440&lt;30000,"Low",I440&lt;60000,"Medium",I440&lt;100000,"High",TRUE,"Premium")</f>
        <v>High</v>
      </c>
      <c r="I440" s="2">
        <v>96367</v>
      </c>
      <c r="J440" t="s">
        <v>18</v>
      </c>
      <c r="K440" t="str" cm="1">
        <f t="array" ref="K440">_xlfn.IFS(Table1[[#This Row],[tenure]]&lt;=2,"New",Table1[[#This Row],[tenure]]&lt;=5,"Emerging",Table1[[#This Row],[tenure]]&lt;=8,"Loyal",Table1[[#This Row],[tenure]]&lt;=10,"Legacy")</f>
        <v>New</v>
      </c>
      <c r="L440" t="str">
        <f>TEXT(Table1[[#This Row],[Join_Date]],"mmm-yyyy")</f>
        <v>Feb-2024</v>
      </c>
      <c r="M440">
        <v>2</v>
      </c>
      <c r="N440">
        <f>YEAR(Table1[[#This Row],[Join_Date]])</f>
        <v>2024</v>
      </c>
      <c r="O440" s="1">
        <v>45328</v>
      </c>
      <c r="P440" s="1"/>
    </row>
    <row r="441" spans="1:16" x14ac:dyDescent="0.25">
      <c r="A441" t="s">
        <v>912</v>
      </c>
      <c r="B441" t="s">
        <v>913</v>
      </c>
      <c r="C441" t="s">
        <v>14</v>
      </c>
      <c r="D441" t="s">
        <v>54</v>
      </c>
      <c r="E441">
        <v>63</v>
      </c>
      <c r="F441" t="s">
        <v>38</v>
      </c>
      <c r="G441" t="s">
        <v>51</v>
      </c>
      <c r="H441" t="str" cm="1">
        <f t="array" ref="H441">_xlfn.IFS(I441&lt;30000,"Low",I441&lt;60000,"Medium",I441&lt;100000,"High",TRUE,"Premium")</f>
        <v>Premium</v>
      </c>
      <c r="I441" s="2">
        <v>140585</v>
      </c>
      <c r="J441" t="s">
        <v>18</v>
      </c>
      <c r="K441" t="str" cm="1">
        <f t="array" ref="K441">_xlfn.IFS(Table1[[#This Row],[tenure]]&lt;=2,"New",Table1[[#This Row],[tenure]]&lt;=5,"Emerging",Table1[[#This Row],[tenure]]&lt;=8,"Loyal",Table1[[#This Row],[tenure]]&lt;=10,"Legacy")</f>
        <v>Loyal</v>
      </c>
      <c r="L441" t="str">
        <f>TEXT(Table1[[#This Row],[Join_Date]],"mmm-yyyy")</f>
        <v>Jun-2018</v>
      </c>
      <c r="M441">
        <v>7</v>
      </c>
      <c r="N441">
        <f>YEAR(Table1[[#This Row],[Join_Date]])</f>
        <v>2018</v>
      </c>
      <c r="O441" s="1">
        <v>43274</v>
      </c>
      <c r="P441" s="1"/>
    </row>
    <row r="442" spans="1:16" x14ac:dyDescent="0.25">
      <c r="A442" t="s">
        <v>914</v>
      </c>
      <c r="B442" t="s">
        <v>915</v>
      </c>
      <c r="C442" t="s">
        <v>14</v>
      </c>
      <c r="D442" t="s">
        <v>23</v>
      </c>
      <c r="E442">
        <v>52</v>
      </c>
      <c r="F442" t="s">
        <v>16</v>
      </c>
      <c r="G442" t="s">
        <v>25</v>
      </c>
      <c r="H442" t="str" cm="1">
        <f t="array" ref="H442">_xlfn.IFS(I442&lt;30000,"Low",I442&lt;60000,"Medium",I442&lt;100000,"High",TRUE,"Premium")</f>
        <v>High</v>
      </c>
      <c r="I442" s="2">
        <v>96619</v>
      </c>
      <c r="J442" t="s">
        <v>18</v>
      </c>
      <c r="K442" t="str" cm="1">
        <f t="array" ref="K442">_xlfn.IFS(Table1[[#This Row],[tenure]]&lt;=2,"New",Table1[[#This Row],[tenure]]&lt;=5,"Emerging",Table1[[#This Row],[tenure]]&lt;=8,"Loyal",Table1[[#This Row],[tenure]]&lt;=10,"Legacy")</f>
        <v>Emerging</v>
      </c>
      <c r="L442" t="str">
        <f>TEXT(Table1[[#This Row],[Join_Date]],"mmm-yyyy")</f>
        <v>Feb-2023</v>
      </c>
      <c r="M442">
        <v>3</v>
      </c>
      <c r="N442">
        <f>YEAR(Table1[[#This Row],[Join_Date]])</f>
        <v>2023</v>
      </c>
      <c r="O442" s="1">
        <v>44964</v>
      </c>
      <c r="P442" s="1"/>
    </row>
    <row r="443" spans="1:16" x14ac:dyDescent="0.25">
      <c r="A443" t="s">
        <v>916</v>
      </c>
      <c r="B443" t="s">
        <v>917</v>
      </c>
      <c r="C443" t="s">
        <v>22</v>
      </c>
      <c r="D443" t="s">
        <v>37</v>
      </c>
      <c r="E443">
        <v>23</v>
      </c>
      <c r="F443" t="s">
        <v>42</v>
      </c>
      <c r="G443" t="s">
        <v>51</v>
      </c>
      <c r="H443" t="str" cm="1">
        <f t="array" ref="H443">_xlfn.IFS(I443&lt;30000,"Low",I443&lt;60000,"Medium",I443&lt;100000,"High",TRUE,"Premium")</f>
        <v>Premium</v>
      </c>
      <c r="I443" s="2">
        <v>131453</v>
      </c>
      <c r="J443" t="s">
        <v>18</v>
      </c>
      <c r="K443" t="str" cm="1">
        <f t="array" ref="K443">_xlfn.IFS(Table1[[#This Row],[tenure]]&lt;=2,"New",Table1[[#This Row],[tenure]]&lt;=5,"Emerging",Table1[[#This Row],[tenure]]&lt;=8,"Loyal",Table1[[#This Row],[tenure]]&lt;=10,"Legacy")</f>
        <v>Emerging</v>
      </c>
      <c r="L443" t="str">
        <f>TEXT(Table1[[#This Row],[Join_Date]],"mmm-yyyy")</f>
        <v>May-2022</v>
      </c>
      <c r="M443">
        <v>3</v>
      </c>
      <c r="N443">
        <f>YEAR(Table1[[#This Row],[Join_Date]])</f>
        <v>2022</v>
      </c>
      <c r="O443" s="1">
        <v>44692</v>
      </c>
      <c r="P443" s="1"/>
    </row>
    <row r="444" spans="1:16" x14ac:dyDescent="0.25">
      <c r="A444" t="s">
        <v>918</v>
      </c>
      <c r="B444" t="s">
        <v>919</v>
      </c>
      <c r="C444" t="s">
        <v>14</v>
      </c>
      <c r="D444" t="s">
        <v>15</v>
      </c>
      <c r="E444">
        <v>35</v>
      </c>
      <c r="F444" t="s">
        <v>16</v>
      </c>
      <c r="G444" t="s">
        <v>51</v>
      </c>
      <c r="H444" t="str" cm="1">
        <f t="array" ref="H444">_xlfn.IFS(I444&lt;30000,"Low",I444&lt;60000,"Medium",I444&lt;100000,"High",TRUE,"Premium")</f>
        <v>Medium</v>
      </c>
      <c r="I444" s="2">
        <v>39816</v>
      </c>
      <c r="J444" t="s">
        <v>26</v>
      </c>
      <c r="K444" t="str" cm="1">
        <f t="array" ref="K444">_xlfn.IFS(Table1[[#This Row],[tenure]]&lt;=2,"New",Table1[[#This Row],[tenure]]&lt;=5,"Emerging",Table1[[#This Row],[tenure]]&lt;=8,"Loyal",Table1[[#This Row],[tenure]]&lt;=10,"Legacy")</f>
        <v>Loyal</v>
      </c>
      <c r="L444" t="str">
        <f>TEXT(Table1[[#This Row],[Join_Date]],"mmm-yyyy")</f>
        <v>Jul-2018</v>
      </c>
      <c r="M444">
        <v>7</v>
      </c>
      <c r="N444">
        <f>YEAR(Table1[[#This Row],[Join_Date]])</f>
        <v>2018</v>
      </c>
      <c r="O444" s="1">
        <v>43285</v>
      </c>
      <c r="P444" s="1"/>
    </row>
    <row r="445" spans="1:16" x14ac:dyDescent="0.25">
      <c r="A445" t="s">
        <v>920</v>
      </c>
      <c r="B445" t="s">
        <v>921</v>
      </c>
      <c r="C445" t="s">
        <v>22</v>
      </c>
      <c r="D445" t="s">
        <v>54</v>
      </c>
      <c r="E445">
        <v>68</v>
      </c>
      <c r="F445" t="s">
        <v>16</v>
      </c>
      <c r="G445" t="s">
        <v>46</v>
      </c>
      <c r="H445" t="str" cm="1">
        <f t="array" ref="H445">_xlfn.IFS(I445&lt;30000,"Low",I445&lt;60000,"Medium",I445&lt;100000,"High",TRUE,"Premium")</f>
        <v>Premium</v>
      </c>
      <c r="I445" s="2">
        <v>193312</v>
      </c>
      <c r="J445" t="s">
        <v>26</v>
      </c>
      <c r="K445" t="str" cm="1">
        <f t="array" ref="K445">_xlfn.IFS(Table1[[#This Row],[tenure]]&lt;=2,"New",Table1[[#This Row],[tenure]]&lt;=5,"Emerging",Table1[[#This Row],[tenure]]&lt;=8,"Loyal",Table1[[#This Row],[tenure]]&lt;=10,"Legacy")</f>
        <v>Loyal</v>
      </c>
      <c r="L445" t="str">
        <f>TEXT(Table1[[#This Row],[Join_Date]],"mmm-yyyy")</f>
        <v>Dec-2017</v>
      </c>
      <c r="M445">
        <v>8</v>
      </c>
      <c r="N445">
        <f>YEAR(Table1[[#This Row],[Join_Date]])</f>
        <v>2017</v>
      </c>
      <c r="O445" s="1">
        <v>43074</v>
      </c>
      <c r="P445" s="1"/>
    </row>
    <row r="446" spans="1:16" x14ac:dyDescent="0.25">
      <c r="A446" t="s">
        <v>922</v>
      </c>
      <c r="B446" t="s">
        <v>923</v>
      </c>
      <c r="C446" t="s">
        <v>22</v>
      </c>
      <c r="D446" t="s">
        <v>37</v>
      </c>
      <c r="E446">
        <v>22</v>
      </c>
      <c r="F446" t="s">
        <v>16</v>
      </c>
      <c r="G446" t="s">
        <v>25</v>
      </c>
      <c r="H446" t="str" cm="1">
        <f t="array" ref="H446">_xlfn.IFS(I446&lt;30000,"Low",I446&lt;60000,"Medium",I446&lt;100000,"High",TRUE,"Premium")</f>
        <v>Premium</v>
      </c>
      <c r="I446" s="2">
        <v>157348</v>
      </c>
      <c r="J446" t="s">
        <v>26</v>
      </c>
      <c r="K446" t="str" cm="1">
        <f t="array" ref="K446">_xlfn.IFS(Table1[[#This Row],[tenure]]&lt;=2,"New",Table1[[#This Row],[tenure]]&lt;=5,"Emerging",Table1[[#This Row],[tenure]]&lt;=8,"Loyal",Table1[[#This Row],[tenure]]&lt;=10,"Legacy")</f>
        <v>Emerging</v>
      </c>
      <c r="L446" t="str">
        <f>TEXT(Table1[[#This Row],[Join_Date]],"mmm-yyyy")</f>
        <v>Apr-2022</v>
      </c>
      <c r="M446">
        <v>3</v>
      </c>
      <c r="N446">
        <f>YEAR(Table1[[#This Row],[Join_Date]])</f>
        <v>2022</v>
      </c>
      <c r="O446" s="1">
        <v>44666</v>
      </c>
      <c r="P446" s="1"/>
    </row>
    <row r="447" spans="1:16" x14ac:dyDescent="0.25">
      <c r="A447" t="s">
        <v>924</v>
      </c>
      <c r="B447" t="s">
        <v>925</v>
      </c>
      <c r="C447" t="s">
        <v>14</v>
      </c>
      <c r="D447" t="s">
        <v>54</v>
      </c>
      <c r="E447">
        <v>64</v>
      </c>
      <c r="F447" t="s">
        <v>16</v>
      </c>
      <c r="G447" t="s">
        <v>34</v>
      </c>
      <c r="H447" t="str" cm="1">
        <f t="array" ref="H447">_xlfn.IFS(I447&lt;30000,"Low",I447&lt;60000,"Medium",I447&lt;100000,"High",TRUE,"Premium")</f>
        <v>High</v>
      </c>
      <c r="I447" s="2">
        <v>99530</v>
      </c>
      <c r="J447" t="s">
        <v>26</v>
      </c>
      <c r="K447" t="str" cm="1">
        <f t="array" ref="K447">_xlfn.IFS(Table1[[#This Row],[tenure]]&lt;=2,"New",Table1[[#This Row],[tenure]]&lt;=5,"Emerging",Table1[[#This Row],[tenure]]&lt;=8,"Loyal",Table1[[#This Row],[tenure]]&lt;=10,"Legacy")</f>
        <v>Emerging</v>
      </c>
      <c r="L447" t="str">
        <f>TEXT(Table1[[#This Row],[Join_Date]],"mmm-yyyy")</f>
        <v>Sep-2021</v>
      </c>
      <c r="M447">
        <v>4</v>
      </c>
      <c r="N447">
        <f>YEAR(Table1[[#This Row],[Join_Date]])</f>
        <v>2021</v>
      </c>
      <c r="O447" s="1">
        <v>44459</v>
      </c>
      <c r="P447" s="1"/>
    </row>
    <row r="448" spans="1:16" x14ac:dyDescent="0.25">
      <c r="A448" t="s">
        <v>926</v>
      </c>
      <c r="B448" t="s">
        <v>927</v>
      </c>
      <c r="C448" t="s">
        <v>14</v>
      </c>
      <c r="D448" t="s">
        <v>15</v>
      </c>
      <c r="E448">
        <v>42</v>
      </c>
      <c r="F448" t="s">
        <v>24</v>
      </c>
      <c r="G448" t="s">
        <v>39</v>
      </c>
      <c r="H448" t="str" cm="1">
        <f t="array" ref="H448">_xlfn.IFS(I448&lt;30000,"Low",I448&lt;60000,"Medium",I448&lt;100000,"High",TRUE,"Premium")</f>
        <v>Premium</v>
      </c>
      <c r="I448" s="2">
        <v>174571</v>
      </c>
      <c r="J448" t="s">
        <v>18</v>
      </c>
      <c r="K448" t="str" cm="1">
        <f t="array" ref="K448">_xlfn.IFS(Table1[[#This Row],[tenure]]&lt;=2,"New",Table1[[#This Row],[tenure]]&lt;=5,"Emerging",Table1[[#This Row],[tenure]]&lt;=8,"Loyal",Table1[[#This Row],[tenure]]&lt;=10,"Legacy")</f>
        <v>Emerging</v>
      </c>
      <c r="L448" t="str">
        <f>TEXT(Table1[[#This Row],[Join_Date]],"mmm-yyyy")</f>
        <v>Mar-2023</v>
      </c>
      <c r="M448">
        <v>3</v>
      </c>
      <c r="N448">
        <f>YEAR(Table1[[#This Row],[Join_Date]])</f>
        <v>2023</v>
      </c>
      <c r="O448" s="1">
        <v>44994</v>
      </c>
      <c r="P448" s="1"/>
    </row>
    <row r="449" spans="1:16" x14ac:dyDescent="0.25">
      <c r="A449" t="s">
        <v>928</v>
      </c>
      <c r="B449" t="s">
        <v>929</v>
      </c>
      <c r="C449" t="s">
        <v>22</v>
      </c>
      <c r="D449" t="s">
        <v>37</v>
      </c>
      <c r="E449">
        <v>19</v>
      </c>
      <c r="F449" t="s">
        <v>24</v>
      </c>
      <c r="G449" t="s">
        <v>46</v>
      </c>
      <c r="H449" t="str" cm="1">
        <f t="array" ref="H449">_xlfn.IFS(I449&lt;30000,"Low",I449&lt;60000,"Medium",I449&lt;100000,"High",TRUE,"Premium")</f>
        <v>Premium</v>
      </c>
      <c r="I449" s="2">
        <v>128856</v>
      </c>
      <c r="J449" t="s">
        <v>18</v>
      </c>
      <c r="K449" t="str" cm="1">
        <f t="array" ref="K449">_xlfn.IFS(Table1[[#This Row],[tenure]]&lt;=2,"New",Table1[[#This Row],[tenure]]&lt;=5,"Emerging",Table1[[#This Row],[tenure]]&lt;=8,"Loyal",Table1[[#This Row],[tenure]]&lt;=10,"Legacy")</f>
        <v>Emerging</v>
      </c>
      <c r="L449" t="str">
        <f>TEXT(Table1[[#This Row],[Join_Date]],"mmm-yyyy")</f>
        <v>Oct-2021</v>
      </c>
      <c r="M449">
        <v>4</v>
      </c>
      <c r="N449">
        <f>YEAR(Table1[[#This Row],[Join_Date]])</f>
        <v>2021</v>
      </c>
      <c r="O449" s="1">
        <v>44493</v>
      </c>
      <c r="P449" s="1"/>
    </row>
    <row r="450" spans="1:16" x14ac:dyDescent="0.25">
      <c r="A450" t="s">
        <v>930</v>
      </c>
      <c r="B450" t="s">
        <v>931</v>
      </c>
      <c r="C450" t="s">
        <v>14</v>
      </c>
      <c r="D450" t="s">
        <v>37</v>
      </c>
      <c r="E450">
        <v>27</v>
      </c>
      <c r="F450" t="s">
        <v>16</v>
      </c>
      <c r="G450" t="s">
        <v>34</v>
      </c>
      <c r="H450" t="str" cm="1">
        <f t="array" ref="H450">_xlfn.IFS(I450&lt;30000,"Low",I450&lt;60000,"Medium",I450&lt;100000,"High",TRUE,"Premium")</f>
        <v>High</v>
      </c>
      <c r="I450" s="2">
        <v>91635</v>
      </c>
      <c r="J450" t="s">
        <v>18</v>
      </c>
      <c r="K450" t="str" cm="1">
        <f t="array" ref="K450">_xlfn.IFS(Table1[[#This Row],[tenure]]&lt;=2,"New",Table1[[#This Row],[tenure]]&lt;=5,"Emerging",Table1[[#This Row],[tenure]]&lt;=8,"Loyal",Table1[[#This Row],[tenure]]&lt;=10,"Legacy")</f>
        <v>Emerging</v>
      </c>
      <c r="L450" t="str">
        <f>TEXT(Table1[[#This Row],[Join_Date]],"mmm-yyyy")</f>
        <v>Jul-2020</v>
      </c>
      <c r="M450">
        <v>5</v>
      </c>
      <c r="N450">
        <f>YEAR(Table1[[#This Row],[Join_Date]])</f>
        <v>2020</v>
      </c>
      <c r="O450" s="1">
        <v>44032</v>
      </c>
      <c r="P450" s="1"/>
    </row>
    <row r="451" spans="1:16" x14ac:dyDescent="0.25">
      <c r="A451" t="s">
        <v>932</v>
      </c>
      <c r="B451" t="s">
        <v>933</v>
      </c>
      <c r="C451" t="s">
        <v>22</v>
      </c>
      <c r="D451" t="s">
        <v>54</v>
      </c>
      <c r="E451">
        <v>73</v>
      </c>
      <c r="F451" t="s">
        <v>42</v>
      </c>
      <c r="G451" t="s">
        <v>29</v>
      </c>
      <c r="H451" t="str" cm="1">
        <f t="array" ref="H451">_xlfn.IFS(I451&lt;30000,"Low",I451&lt;60000,"Medium",I451&lt;100000,"High",TRUE,"Premium")</f>
        <v>Premium</v>
      </c>
      <c r="I451" s="2">
        <v>127803</v>
      </c>
      <c r="J451" t="s">
        <v>18</v>
      </c>
      <c r="K451" t="str" cm="1">
        <f t="array" ref="K451">_xlfn.IFS(Table1[[#This Row],[tenure]]&lt;=2,"New",Table1[[#This Row],[tenure]]&lt;=5,"Emerging",Table1[[#This Row],[tenure]]&lt;=8,"Loyal",Table1[[#This Row],[tenure]]&lt;=10,"Legacy")</f>
        <v>New</v>
      </c>
      <c r="L451" t="str">
        <f>TEXT(Table1[[#This Row],[Join_Date]],"mmm-yyyy")</f>
        <v>Jul-2024</v>
      </c>
      <c r="M451">
        <v>1</v>
      </c>
      <c r="N451">
        <f>YEAR(Table1[[#This Row],[Join_Date]])</f>
        <v>2024</v>
      </c>
      <c r="O451" s="1">
        <v>45486</v>
      </c>
      <c r="P451" s="1"/>
    </row>
    <row r="452" spans="1:16" x14ac:dyDescent="0.25">
      <c r="A452" t="s">
        <v>934</v>
      </c>
      <c r="B452" t="s">
        <v>935</v>
      </c>
      <c r="C452" t="s">
        <v>22</v>
      </c>
      <c r="D452" t="s">
        <v>23</v>
      </c>
      <c r="E452">
        <v>47</v>
      </c>
      <c r="F452" t="s">
        <v>38</v>
      </c>
      <c r="G452" t="s">
        <v>46</v>
      </c>
      <c r="H452" t="str" cm="1">
        <f t="array" ref="H452">_xlfn.IFS(I452&lt;30000,"Low",I452&lt;60000,"Medium",I452&lt;100000,"High",TRUE,"Premium")</f>
        <v>Medium</v>
      </c>
      <c r="I452" s="2">
        <v>55946</v>
      </c>
      <c r="J452" t="s">
        <v>26</v>
      </c>
      <c r="K452" t="str" cm="1">
        <f t="array" ref="K452">_xlfn.IFS(Table1[[#This Row],[tenure]]&lt;=2,"New",Table1[[#This Row],[tenure]]&lt;=5,"Emerging",Table1[[#This Row],[tenure]]&lt;=8,"Loyal",Table1[[#This Row],[tenure]]&lt;=10,"Legacy")</f>
        <v>Legacy</v>
      </c>
      <c r="L452" t="str">
        <f>TEXT(Table1[[#This Row],[Join_Date]],"mmm-yyyy")</f>
        <v>Jul-2016</v>
      </c>
      <c r="M452">
        <v>9</v>
      </c>
      <c r="N452">
        <f>YEAR(Table1[[#This Row],[Join_Date]])</f>
        <v>2016</v>
      </c>
      <c r="O452" s="1">
        <v>42580</v>
      </c>
      <c r="P452" s="1"/>
    </row>
    <row r="453" spans="1:16" x14ac:dyDescent="0.25">
      <c r="A453" t="s">
        <v>936</v>
      </c>
      <c r="B453" t="s">
        <v>937</v>
      </c>
      <c r="C453" t="s">
        <v>22</v>
      </c>
      <c r="D453" t="s">
        <v>54</v>
      </c>
      <c r="E453">
        <v>67</v>
      </c>
      <c r="F453" t="s">
        <v>42</v>
      </c>
      <c r="G453" t="s">
        <v>34</v>
      </c>
      <c r="H453" t="str" cm="1">
        <f t="array" ref="H453">_xlfn.IFS(I453&lt;30000,"Low",I453&lt;60000,"Medium",I453&lt;100000,"High",TRUE,"Premium")</f>
        <v>High</v>
      </c>
      <c r="I453" s="2">
        <v>75204</v>
      </c>
      <c r="J453" t="s">
        <v>30</v>
      </c>
      <c r="K453" t="str" cm="1">
        <f t="array" ref="K453">_xlfn.IFS(Table1[[#This Row],[tenure]]&lt;=2,"New",Table1[[#This Row],[tenure]]&lt;=5,"Emerging",Table1[[#This Row],[tenure]]&lt;=8,"Loyal",Table1[[#This Row],[tenure]]&lt;=10,"Legacy")</f>
        <v>New</v>
      </c>
      <c r="L453" t="str">
        <f>TEXT(Table1[[#This Row],[Join_Date]],"mmm-yyyy")</f>
        <v>Apr-2024</v>
      </c>
      <c r="M453">
        <v>1</v>
      </c>
      <c r="N453">
        <f>YEAR(Table1[[#This Row],[Join_Date]])</f>
        <v>2024</v>
      </c>
      <c r="O453" s="1">
        <v>45412</v>
      </c>
      <c r="P453" s="1"/>
    </row>
    <row r="454" spans="1:16" x14ac:dyDescent="0.25">
      <c r="A454" t="s">
        <v>938</v>
      </c>
      <c r="B454" t="s">
        <v>939</v>
      </c>
      <c r="C454" t="s">
        <v>22</v>
      </c>
      <c r="D454" t="s">
        <v>54</v>
      </c>
      <c r="E454">
        <v>62</v>
      </c>
      <c r="F454" t="s">
        <v>42</v>
      </c>
      <c r="G454" t="s">
        <v>29</v>
      </c>
      <c r="H454" t="str" cm="1">
        <f t="array" ref="H454">_xlfn.IFS(I454&lt;30000,"Low",I454&lt;60000,"Medium",I454&lt;100000,"High",TRUE,"Premium")</f>
        <v>Medium</v>
      </c>
      <c r="I454" s="2">
        <v>35563</v>
      </c>
      <c r="J454" t="s">
        <v>18</v>
      </c>
      <c r="K454" t="str" cm="1">
        <f t="array" ref="K454">_xlfn.IFS(Table1[[#This Row],[tenure]]&lt;=2,"New",Table1[[#This Row],[tenure]]&lt;=5,"Emerging",Table1[[#This Row],[tenure]]&lt;=8,"Loyal",Table1[[#This Row],[tenure]]&lt;=10,"Legacy")</f>
        <v>Loyal</v>
      </c>
      <c r="L454" t="str">
        <f>TEXT(Table1[[#This Row],[Join_Date]],"mmm-yyyy")</f>
        <v>Jul-2019</v>
      </c>
      <c r="M454">
        <v>6</v>
      </c>
      <c r="N454">
        <f>YEAR(Table1[[#This Row],[Join_Date]])</f>
        <v>2019</v>
      </c>
      <c r="O454" s="1">
        <v>43669</v>
      </c>
      <c r="P454" s="1"/>
    </row>
    <row r="455" spans="1:16" x14ac:dyDescent="0.25">
      <c r="A455" t="s">
        <v>940</v>
      </c>
      <c r="B455" t="s">
        <v>941</v>
      </c>
      <c r="C455" t="s">
        <v>22</v>
      </c>
      <c r="D455" t="s">
        <v>37</v>
      </c>
      <c r="E455">
        <v>22</v>
      </c>
      <c r="F455" t="s">
        <v>42</v>
      </c>
      <c r="G455" t="s">
        <v>25</v>
      </c>
      <c r="H455" t="str" cm="1">
        <f t="array" ref="H455">_xlfn.IFS(I455&lt;30000,"Low",I455&lt;60000,"Medium",I455&lt;100000,"High",TRUE,"Premium")</f>
        <v>Premium</v>
      </c>
      <c r="I455" s="2">
        <v>112324</v>
      </c>
      <c r="J455" t="s">
        <v>18</v>
      </c>
      <c r="K455" t="str" cm="1">
        <f t="array" ref="K455">_xlfn.IFS(Table1[[#This Row],[tenure]]&lt;=2,"New",Table1[[#This Row],[tenure]]&lt;=5,"Emerging",Table1[[#This Row],[tenure]]&lt;=8,"Loyal",Table1[[#This Row],[tenure]]&lt;=10,"Legacy")</f>
        <v>Loyal</v>
      </c>
      <c r="L455" t="str">
        <f>TEXT(Table1[[#This Row],[Join_Date]],"mmm-yyyy")</f>
        <v>Dec-2017</v>
      </c>
      <c r="M455">
        <v>8</v>
      </c>
      <c r="N455">
        <f>YEAR(Table1[[#This Row],[Join_Date]])</f>
        <v>2017</v>
      </c>
      <c r="O455" s="1">
        <v>43074</v>
      </c>
      <c r="P455" s="1"/>
    </row>
    <row r="456" spans="1:16" x14ac:dyDescent="0.25">
      <c r="A456" t="s">
        <v>942</v>
      </c>
      <c r="B456" t="s">
        <v>943</v>
      </c>
      <c r="C456" t="s">
        <v>14</v>
      </c>
      <c r="D456" t="s">
        <v>54</v>
      </c>
      <c r="E456">
        <v>72</v>
      </c>
      <c r="F456" t="s">
        <v>16</v>
      </c>
      <c r="G456" t="s">
        <v>39</v>
      </c>
      <c r="H456" t="str" cm="1">
        <f t="array" ref="H456">_xlfn.IFS(I456&lt;30000,"Low",I456&lt;60000,"Medium",I456&lt;100000,"High",TRUE,"Premium")</f>
        <v>Low</v>
      </c>
      <c r="I456" s="2">
        <v>29847</v>
      </c>
      <c r="J456" t="s">
        <v>26</v>
      </c>
      <c r="K456" t="str" cm="1">
        <f t="array" ref="K456">_xlfn.IFS(Table1[[#This Row],[tenure]]&lt;=2,"New",Table1[[#This Row],[tenure]]&lt;=5,"Emerging",Table1[[#This Row],[tenure]]&lt;=8,"Loyal",Table1[[#This Row],[tenure]]&lt;=10,"Legacy")</f>
        <v>Emerging</v>
      </c>
      <c r="L456" t="str">
        <f>TEXT(Table1[[#This Row],[Join_Date]],"mmm-yyyy")</f>
        <v>Dec-2021</v>
      </c>
      <c r="M456">
        <v>4</v>
      </c>
      <c r="N456">
        <f>YEAR(Table1[[#This Row],[Join_Date]])</f>
        <v>2021</v>
      </c>
      <c r="O456" s="1">
        <v>44557</v>
      </c>
      <c r="P456" s="1"/>
    </row>
    <row r="457" spans="1:16" x14ac:dyDescent="0.25">
      <c r="A457" t="s">
        <v>944</v>
      </c>
      <c r="B457" t="s">
        <v>945</v>
      </c>
      <c r="C457" t="s">
        <v>14</v>
      </c>
      <c r="D457" t="s">
        <v>54</v>
      </c>
      <c r="E457">
        <v>73</v>
      </c>
      <c r="F457" t="s">
        <v>24</v>
      </c>
      <c r="G457" t="s">
        <v>29</v>
      </c>
      <c r="H457" t="str" cm="1">
        <f t="array" ref="H457">_xlfn.IFS(I457&lt;30000,"Low",I457&lt;60000,"Medium",I457&lt;100000,"High",TRUE,"Premium")</f>
        <v>Medium</v>
      </c>
      <c r="I457" s="2">
        <v>46155</v>
      </c>
      <c r="J457" t="s">
        <v>18</v>
      </c>
      <c r="K457" t="str" cm="1">
        <f t="array" ref="K457">_xlfn.IFS(Table1[[#This Row],[tenure]]&lt;=2,"New",Table1[[#This Row],[tenure]]&lt;=5,"Emerging",Table1[[#This Row],[tenure]]&lt;=8,"Loyal",Table1[[#This Row],[tenure]]&lt;=10,"Legacy")</f>
        <v>Legacy</v>
      </c>
      <c r="L457" t="str">
        <f>TEXT(Table1[[#This Row],[Join_Date]],"mmm-yyyy")</f>
        <v>Jan-2016</v>
      </c>
      <c r="M457">
        <v>10</v>
      </c>
      <c r="N457">
        <f>YEAR(Table1[[#This Row],[Join_Date]])</f>
        <v>2016</v>
      </c>
      <c r="O457" s="1">
        <v>42386</v>
      </c>
      <c r="P457" s="1"/>
    </row>
    <row r="458" spans="1:16" x14ac:dyDescent="0.25">
      <c r="A458" t="s">
        <v>946</v>
      </c>
      <c r="B458" t="s">
        <v>947</v>
      </c>
      <c r="C458" t="s">
        <v>22</v>
      </c>
      <c r="D458" t="s">
        <v>23</v>
      </c>
      <c r="E458">
        <v>50</v>
      </c>
      <c r="F458" t="s">
        <v>42</v>
      </c>
      <c r="G458" t="s">
        <v>51</v>
      </c>
      <c r="H458" t="str" cm="1">
        <f t="array" ref="H458">_xlfn.IFS(I458&lt;30000,"Low",I458&lt;60000,"Medium",I458&lt;100000,"High",TRUE,"Premium")</f>
        <v>High</v>
      </c>
      <c r="I458" s="2">
        <v>99671</v>
      </c>
      <c r="J458" t="s">
        <v>18</v>
      </c>
      <c r="K458" t="str" cm="1">
        <f t="array" ref="K458">_xlfn.IFS(Table1[[#This Row],[tenure]]&lt;=2,"New",Table1[[#This Row],[tenure]]&lt;=5,"Emerging",Table1[[#This Row],[tenure]]&lt;=8,"Loyal",Table1[[#This Row],[tenure]]&lt;=10,"Legacy")</f>
        <v>Legacy</v>
      </c>
      <c r="L458" t="str">
        <f>TEXT(Table1[[#This Row],[Join_Date]],"mmm-yyyy")</f>
        <v>Feb-2016</v>
      </c>
      <c r="M458">
        <v>10</v>
      </c>
      <c r="N458">
        <f>YEAR(Table1[[#This Row],[Join_Date]])</f>
        <v>2016</v>
      </c>
      <c r="O458" s="1">
        <v>42416</v>
      </c>
      <c r="P458" s="1"/>
    </row>
    <row r="459" spans="1:16" x14ac:dyDescent="0.25">
      <c r="A459" t="s">
        <v>948</v>
      </c>
      <c r="B459" t="s">
        <v>949</v>
      </c>
      <c r="C459" t="s">
        <v>22</v>
      </c>
      <c r="D459" t="s">
        <v>54</v>
      </c>
      <c r="E459">
        <v>71</v>
      </c>
      <c r="F459" t="s">
        <v>16</v>
      </c>
      <c r="G459" t="s">
        <v>17</v>
      </c>
      <c r="H459" t="str" cm="1">
        <f t="array" ref="H459">_xlfn.IFS(I459&lt;30000,"Low",I459&lt;60000,"Medium",I459&lt;100000,"High",TRUE,"Premium")</f>
        <v>Premium</v>
      </c>
      <c r="I459" s="2">
        <v>136891</v>
      </c>
      <c r="J459" t="s">
        <v>26</v>
      </c>
      <c r="K459" t="str" cm="1">
        <f t="array" ref="K459">_xlfn.IFS(Table1[[#This Row],[tenure]]&lt;=2,"New",Table1[[#This Row],[tenure]]&lt;=5,"Emerging",Table1[[#This Row],[tenure]]&lt;=8,"Loyal",Table1[[#This Row],[tenure]]&lt;=10,"Legacy")</f>
        <v>New</v>
      </c>
      <c r="L459" t="str">
        <f>TEXT(Table1[[#This Row],[Join_Date]],"mmm-yyyy")</f>
        <v>Jun-2024</v>
      </c>
      <c r="M459">
        <v>1</v>
      </c>
      <c r="N459">
        <f>YEAR(Table1[[#This Row],[Join_Date]])</f>
        <v>2024</v>
      </c>
      <c r="O459" s="1">
        <v>45469</v>
      </c>
      <c r="P459" s="1"/>
    </row>
    <row r="460" spans="1:16" x14ac:dyDescent="0.25">
      <c r="A460" t="s">
        <v>950</v>
      </c>
      <c r="B460" t="s">
        <v>951</v>
      </c>
      <c r="C460" t="s">
        <v>14</v>
      </c>
      <c r="D460" t="s">
        <v>37</v>
      </c>
      <c r="E460">
        <v>18</v>
      </c>
      <c r="F460" t="s">
        <v>42</v>
      </c>
      <c r="G460" t="s">
        <v>29</v>
      </c>
      <c r="H460" t="str" cm="1">
        <f t="array" ref="H460">_xlfn.IFS(I460&lt;30000,"Low",I460&lt;60000,"Medium",I460&lt;100000,"High",TRUE,"Premium")</f>
        <v>Premium</v>
      </c>
      <c r="I460" s="2">
        <v>103310</v>
      </c>
      <c r="J460" t="s">
        <v>26</v>
      </c>
      <c r="K460" t="str" cm="1">
        <f t="array" ref="K460">_xlfn.IFS(Table1[[#This Row],[tenure]]&lt;=2,"New",Table1[[#This Row],[tenure]]&lt;=5,"Emerging",Table1[[#This Row],[tenure]]&lt;=8,"Loyal",Table1[[#This Row],[tenure]]&lt;=10,"Legacy")</f>
        <v>Loyal</v>
      </c>
      <c r="L460" t="str">
        <f>TEXT(Table1[[#This Row],[Join_Date]],"mmm-yyyy")</f>
        <v>Jan-2020</v>
      </c>
      <c r="M460">
        <v>6</v>
      </c>
      <c r="N460">
        <f>YEAR(Table1[[#This Row],[Join_Date]])</f>
        <v>2020</v>
      </c>
      <c r="O460" s="1">
        <v>43849</v>
      </c>
      <c r="P460" s="1"/>
    </row>
    <row r="461" spans="1:16" x14ac:dyDescent="0.25">
      <c r="A461" t="s">
        <v>952</v>
      </c>
      <c r="B461" t="s">
        <v>953</v>
      </c>
      <c r="C461" t="s">
        <v>14</v>
      </c>
      <c r="D461" t="s">
        <v>15</v>
      </c>
      <c r="E461">
        <v>35</v>
      </c>
      <c r="F461" t="s">
        <v>42</v>
      </c>
      <c r="G461" t="s">
        <v>29</v>
      </c>
      <c r="H461" t="str" cm="1">
        <f t="array" ref="H461">_xlfn.IFS(I461&lt;30000,"Low",I461&lt;60000,"Medium",I461&lt;100000,"High",TRUE,"Premium")</f>
        <v>Premium</v>
      </c>
      <c r="I461" s="2">
        <v>169381</v>
      </c>
      <c r="J461" t="s">
        <v>18</v>
      </c>
      <c r="K461" t="str" cm="1">
        <f t="array" ref="K461">_xlfn.IFS(Table1[[#This Row],[tenure]]&lt;=2,"New",Table1[[#This Row],[tenure]]&lt;=5,"Emerging",Table1[[#This Row],[tenure]]&lt;=8,"Loyal",Table1[[#This Row],[tenure]]&lt;=10,"Legacy")</f>
        <v>Emerging</v>
      </c>
      <c r="L461" t="str">
        <f>TEXT(Table1[[#This Row],[Join_Date]],"mmm-yyyy")</f>
        <v>Jun-2021</v>
      </c>
      <c r="M461">
        <v>4</v>
      </c>
      <c r="N461">
        <f>YEAR(Table1[[#This Row],[Join_Date]])</f>
        <v>2021</v>
      </c>
      <c r="O461" s="1">
        <v>44357</v>
      </c>
      <c r="P461" s="1"/>
    </row>
    <row r="462" spans="1:16" x14ac:dyDescent="0.25">
      <c r="A462" t="s">
        <v>954</v>
      </c>
      <c r="B462" t="s">
        <v>955</v>
      </c>
      <c r="C462" t="s">
        <v>22</v>
      </c>
      <c r="D462" t="s">
        <v>23</v>
      </c>
      <c r="E462">
        <v>49</v>
      </c>
      <c r="F462" t="s">
        <v>16</v>
      </c>
      <c r="G462" t="s">
        <v>39</v>
      </c>
      <c r="H462" t="str" cm="1">
        <f t="array" ref="H462">_xlfn.IFS(I462&lt;30000,"Low",I462&lt;60000,"Medium",I462&lt;100000,"High",TRUE,"Premium")</f>
        <v>Premium</v>
      </c>
      <c r="I462" s="2">
        <v>151691</v>
      </c>
      <c r="J462" t="s">
        <v>18</v>
      </c>
      <c r="K462" t="str" cm="1">
        <f t="array" ref="K462">_xlfn.IFS(Table1[[#This Row],[tenure]]&lt;=2,"New",Table1[[#This Row],[tenure]]&lt;=5,"Emerging",Table1[[#This Row],[tenure]]&lt;=8,"Loyal",Table1[[#This Row],[tenure]]&lt;=10,"Legacy")</f>
        <v>Loyal</v>
      </c>
      <c r="L462" t="str">
        <f>TEXT(Table1[[#This Row],[Join_Date]],"mmm-yyyy")</f>
        <v>Oct-2018</v>
      </c>
      <c r="M462">
        <v>7</v>
      </c>
      <c r="N462">
        <f>YEAR(Table1[[#This Row],[Join_Date]])</f>
        <v>2018</v>
      </c>
      <c r="O462" s="1">
        <v>43401</v>
      </c>
      <c r="P462" s="1"/>
    </row>
    <row r="463" spans="1:16" x14ac:dyDescent="0.25">
      <c r="A463" t="s">
        <v>956</v>
      </c>
      <c r="B463" t="s">
        <v>957</v>
      </c>
      <c r="C463" t="s">
        <v>14</v>
      </c>
      <c r="D463" t="s">
        <v>54</v>
      </c>
      <c r="E463">
        <v>64</v>
      </c>
      <c r="F463" t="s">
        <v>24</v>
      </c>
      <c r="G463" t="s">
        <v>17</v>
      </c>
      <c r="H463" t="str" cm="1">
        <f t="array" ref="H463">_xlfn.IFS(I463&lt;30000,"Low",I463&lt;60000,"Medium",I463&lt;100000,"High",TRUE,"Premium")</f>
        <v>Medium</v>
      </c>
      <c r="I463" s="2">
        <v>54707</v>
      </c>
      <c r="J463" t="s">
        <v>26</v>
      </c>
      <c r="K463" t="str" cm="1">
        <f t="array" ref="K463">_xlfn.IFS(Table1[[#This Row],[tenure]]&lt;=2,"New",Table1[[#This Row],[tenure]]&lt;=5,"Emerging",Table1[[#This Row],[tenure]]&lt;=8,"Loyal",Table1[[#This Row],[tenure]]&lt;=10,"Legacy")</f>
        <v>Loyal</v>
      </c>
      <c r="L463" t="str">
        <f>TEXT(Table1[[#This Row],[Join_Date]],"mmm-yyyy")</f>
        <v>Sep-2019</v>
      </c>
      <c r="M463">
        <v>6</v>
      </c>
      <c r="N463">
        <f>YEAR(Table1[[#This Row],[Join_Date]])</f>
        <v>2019</v>
      </c>
      <c r="O463" s="1">
        <v>43726</v>
      </c>
      <c r="P463" s="1"/>
    </row>
    <row r="464" spans="1:16" x14ac:dyDescent="0.25">
      <c r="A464" t="s">
        <v>958</v>
      </c>
      <c r="B464" t="s">
        <v>959</v>
      </c>
      <c r="C464" t="s">
        <v>22</v>
      </c>
      <c r="D464" t="s">
        <v>54</v>
      </c>
      <c r="E464">
        <v>66</v>
      </c>
      <c r="F464" t="s">
        <v>24</v>
      </c>
      <c r="G464" t="s">
        <v>51</v>
      </c>
      <c r="H464" t="str" cm="1">
        <f t="array" ref="H464">_xlfn.IFS(I464&lt;30000,"Low",I464&lt;60000,"Medium",I464&lt;100000,"High",TRUE,"Premium")</f>
        <v>Premium</v>
      </c>
      <c r="I464" s="2">
        <v>171409</v>
      </c>
      <c r="J464" t="s">
        <v>18</v>
      </c>
      <c r="K464" t="str" cm="1">
        <f t="array" ref="K464">_xlfn.IFS(Table1[[#This Row],[tenure]]&lt;=2,"New",Table1[[#This Row],[tenure]]&lt;=5,"Emerging",Table1[[#This Row],[tenure]]&lt;=8,"Loyal",Table1[[#This Row],[tenure]]&lt;=10,"Legacy")</f>
        <v>New</v>
      </c>
      <c r="L464" t="str">
        <f>TEXT(Table1[[#This Row],[Join_Date]],"mmm-yyyy")</f>
        <v>Jul-2024</v>
      </c>
      <c r="M464">
        <v>1</v>
      </c>
      <c r="N464">
        <f>YEAR(Table1[[#This Row],[Join_Date]])</f>
        <v>2024</v>
      </c>
      <c r="O464" s="1">
        <v>45484</v>
      </c>
      <c r="P464" s="1"/>
    </row>
    <row r="465" spans="1:16" x14ac:dyDescent="0.25">
      <c r="A465" t="s">
        <v>960</v>
      </c>
      <c r="B465" t="s">
        <v>961</v>
      </c>
      <c r="C465" t="s">
        <v>14</v>
      </c>
      <c r="D465" t="s">
        <v>37</v>
      </c>
      <c r="E465">
        <v>28</v>
      </c>
      <c r="F465" t="s">
        <v>38</v>
      </c>
      <c r="G465" t="s">
        <v>34</v>
      </c>
      <c r="H465" t="str" cm="1">
        <f t="array" ref="H465">_xlfn.IFS(I465&lt;30000,"Low",I465&lt;60000,"Medium",I465&lt;100000,"High",TRUE,"Premium")</f>
        <v>Premium</v>
      </c>
      <c r="I465" s="2">
        <v>101537</v>
      </c>
      <c r="J465" t="s">
        <v>18</v>
      </c>
      <c r="K465" t="str" cm="1">
        <f t="array" ref="K465">_xlfn.IFS(Table1[[#This Row],[tenure]]&lt;=2,"New",Table1[[#This Row],[tenure]]&lt;=5,"Emerging",Table1[[#This Row],[tenure]]&lt;=8,"Loyal",Table1[[#This Row],[tenure]]&lt;=10,"Legacy")</f>
        <v>Loyal</v>
      </c>
      <c r="L465" t="str">
        <f>TEXT(Table1[[#This Row],[Join_Date]],"mmm-yyyy")</f>
        <v>Oct-2017</v>
      </c>
      <c r="M465">
        <v>8</v>
      </c>
      <c r="N465">
        <f>YEAR(Table1[[#This Row],[Join_Date]])</f>
        <v>2017</v>
      </c>
      <c r="O465" s="1">
        <v>43028</v>
      </c>
      <c r="P465" s="1"/>
    </row>
    <row r="466" spans="1:16" x14ac:dyDescent="0.25">
      <c r="A466" t="s">
        <v>962</v>
      </c>
      <c r="B466" t="s">
        <v>963</v>
      </c>
      <c r="C466" t="s">
        <v>22</v>
      </c>
      <c r="D466" t="s">
        <v>15</v>
      </c>
      <c r="E466">
        <v>38</v>
      </c>
      <c r="F466" t="s">
        <v>16</v>
      </c>
      <c r="G466" t="s">
        <v>34</v>
      </c>
      <c r="H466" t="str" cm="1">
        <f t="array" ref="H466">_xlfn.IFS(I466&lt;30000,"Low",I466&lt;60000,"Medium",I466&lt;100000,"High",TRUE,"Premium")</f>
        <v>Premium</v>
      </c>
      <c r="I466" s="2">
        <v>198686</v>
      </c>
      <c r="J466" t="s">
        <v>26</v>
      </c>
      <c r="K466" t="str" cm="1">
        <f t="array" ref="K466">_xlfn.IFS(Table1[[#This Row],[tenure]]&lt;=2,"New",Table1[[#This Row],[tenure]]&lt;=5,"Emerging",Table1[[#This Row],[tenure]]&lt;=8,"Loyal",Table1[[#This Row],[tenure]]&lt;=10,"Legacy")</f>
        <v>New</v>
      </c>
      <c r="L466" t="str">
        <f>TEXT(Table1[[#This Row],[Join_Date]],"mmm-yyyy")</f>
        <v>May-2025</v>
      </c>
      <c r="M466">
        <v>0</v>
      </c>
      <c r="N466">
        <f>YEAR(Table1[[#This Row],[Join_Date]])</f>
        <v>2025</v>
      </c>
      <c r="O466" s="1">
        <v>45801</v>
      </c>
      <c r="P466" s="1"/>
    </row>
    <row r="467" spans="1:16" x14ac:dyDescent="0.25">
      <c r="A467" t="s">
        <v>964</v>
      </c>
      <c r="B467" t="s">
        <v>965</v>
      </c>
      <c r="C467" t="s">
        <v>14</v>
      </c>
      <c r="D467" t="s">
        <v>15</v>
      </c>
      <c r="E467">
        <v>43</v>
      </c>
      <c r="F467" t="s">
        <v>38</v>
      </c>
      <c r="G467" t="s">
        <v>29</v>
      </c>
      <c r="H467" t="str" cm="1">
        <f t="array" ref="H467">_xlfn.IFS(I467&lt;30000,"Low",I467&lt;60000,"Medium",I467&lt;100000,"High",TRUE,"Premium")</f>
        <v>Premium</v>
      </c>
      <c r="I467" s="2">
        <v>111155</v>
      </c>
      <c r="J467" t="s">
        <v>18</v>
      </c>
      <c r="K467" t="str" cm="1">
        <f t="array" ref="K467">_xlfn.IFS(Table1[[#This Row],[tenure]]&lt;=2,"New",Table1[[#This Row],[tenure]]&lt;=5,"Emerging",Table1[[#This Row],[tenure]]&lt;=8,"Loyal",Table1[[#This Row],[tenure]]&lt;=10,"Legacy")</f>
        <v>Emerging</v>
      </c>
      <c r="L467" t="str">
        <f>TEXT(Table1[[#This Row],[Join_Date]],"mmm-yyyy")</f>
        <v>Jul-2022</v>
      </c>
      <c r="M467">
        <v>3</v>
      </c>
      <c r="N467">
        <f>YEAR(Table1[[#This Row],[Join_Date]])</f>
        <v>2022</v>
      </c>
      <c r="O467" s="1">
        <v>44745</v>
      </c>
      <c r="P467" s="1"/>
    </row>
    <row r="468" spans="1:16" x14ac:dyDescent="0.25">
      <c r="A468" t="s">
        <v>966</v>
      </c>
      <c r="B468" t="s">
        <v>967</v>
      </c>
      <c r="C468" t="s">
        <v>22</v>
      </c>
      <c r="D468" t="s">
        <v>15</v>
      </c>
      <c r="E468">
        <v>42</v>
      </c>
      <c r="F468" t="s">
        <v>38</v>
      </c>
      <c r="G468" t="s">
        <v>17</v>
      </c>
      <c r="H468" t="str" cm="1">
        <f t="array" ref="H468">_xlfn.IFS(I468&lt;30000,"Low",I468&lt;60000,"Medium",I468&lt;100000,"High",TRUE,"Premium")</f>
        <v>Low</v>
      </c>
      <c r="I468" s="2">
        <v>20281</v>
      </c>
      <c r="J468" t="s">
        <v>26</v>
      </c>
      <c r="K468" t="str" cm="1">
        <f t="array" ref="K468">_xlfn.IFS(Table1[[#This Row],[tenure]]&lt;=2,"New",Table1[[#This Row],[tenure]]&lt;=5,"Emerging",Table1[[#This Row],[tenure]]&lt;=8,"Loyal",Table1[[#This Row],[tenure]]&lt;=10,"Legacy")</f>
        <v>Emerging</v>
      </c>
      <c r="L468" t="str">
        <f>TEXT(Table1[[#This Row],[Join_Date]],"mmm-yyyy")</f>
        <v>Oct-2021</v>
      </c>
      <c r="M468">
        <v>4</v>
      </c>
      <c r="N468">
        <f>YEAR(Table1[[#This Row],[Join_Date]])</f>
        <v>2021</v>
      </c>
      <c r="O468" s="1">
        <v>44498</v>
      </c>
      <c r="P468" s="1"/>
    </row>
    <row r="469" spans="1:16" x14ac:dyDescent="0.25">
      <c r="A469" t="s">
        <v>968</v>
      </c>
      <c r="B469" t="s">
        <v>969</v>
      </c>
      <c r="C469" t="s">
        <v>14</v>
      </c>
      <c r="D469" t="s">
        <v>15</v>
      </c>
      <c r="E469">
        <v>39</v>
      </c>
      <c r="F469" t="s">
        <v>38</v>
      </c>
      <c r="G469" t="s">
        <v>17</v>
      </c>
      <c r="H469" t="str" cm="1">
        <f t="array" ref="H469">_xlfn.IFS(I469&lt;30000,"Low",I469&lt;60000,"Medium",I469&lt;100000,"High",TRUE,"Premium")</f>
        <v>Premium</v>
      </c>
      <c r="I469" s="2">
        <v>178492</v>
      </c>
      <c r="J469" t="s">
        <v>18</v>
      </c>
      <c r="K469" t="str" cm="1">
        <f t="array" ref="K469">_xlfn.IFS(Table1[[#This Row],[tenure]]&lt;=2,"New",Table1[[#This Row],[tenure]]&lt;=5,"Emerging",Table1[[#This Row],[tenure]]&lt;=8,"Loyal",Table1[[#This Row],[tenure]]&lt;=10,"Legacy")</f>
        <v>New</v>
      </c>
      <c r="L469" t="str">
        <f>TEXT(Table1[[#This Row],[Join_Date]],"mmm-yyyy")</f>
        <v>Jan-2024</v>
      </c>
      <c r="M469">
        <v>2</v>
      </c>
      <c r="N469">
        <f>YEAR(Table1[[#This Row],[Join_Date]])</f>
        <v>2024</v>
      </c>
      <c r="O469" s="1">
        <v>45319</v>
      </c>
      <c r="P469" s="1"/>
    </row>
    <row r="470" spans="1:16" x14ac:dyDescent="0.25">
      <c r="A470" t="s">
        <v>970</v>
      </c>
      <c r="B470" t="s">
        <v>971</v>
      </c>
      <c r="C470" t="s">
        <v>14</v>
      </c>
      <c r="D470" t="s">
        <v>15</v>
      </c>
      <c r="E470">
        <v>44</v>
      </c>
      <c r="F470" t="s">
        <v>24</v>
      </c>
      <c r="G470" t="s">
        <v>51</v>
      </c>
      <c r="H470" t="str" cm="1">
        <f t="array" ref="H470">_xlfn.IFS(I470&lt;30000,"Low",I470&lt;60000,"Medium",I470&lt;100000,"High",TRUE,"Premium")</f>
        <v>Premium</v>
      </c>
      <c r="I470" s="2">
        <v>190102</v>
      </c>
      <c r="J470" t="s">
        <v>30</v>
      </c>
      <c r="K470" t="str" cm="1">
        <f t="array" ref="K470">_xlfn.IFS(Table1[[#This Row],[tenure]]&lt;=2,"New",Table1[[#This Row],[tenure]]&lt;=5,"Emerging",Table1[[#This Row],[tenure]]&lt;=8,"Loyal",Table1[[#This Row],[tenure]]&lt;=10,"Legacy")</f>
        <v>Loyal</v>
      </c>
      <c r="L470" t="str">
        <f>TEXT(Table1[[#This Row],[Join_Date]],"mmm-yyyy")</f>
        <v>Aug-2017</v>
      </c>
      <c r="M470">
        <v>8</v>
      </c>
      <c r="N470">
        <f>YEAR(Table1[[#This Row],[Join_Date]])</f>
        <v>2017</v>
      </c>
      <c r="O470" s="1">
        <v>42954</v>
      </c>
      <c r="P470" s="1"/>
    </row>
    <row r="471" spans="1:16" x14ac:dyDescent="0.25">
      <c r="A471" t="s">
        <v>972</v>
      </c>
      <c r="B471" t="s">
        <v>973</v>
      </c>
      <c r="C471" t="s">
        <v>22</v>
      </c>
      <c r="D471" t="s">
        <v>54</v>
      </c>
      <c r="E471">
        <v>66</v>
      </c>
      <c r="F471" t="s">
        <v>16</v>
      </c>
      <c r="G471" t="s">
        <v>39</v>
      </c>
      <c r="H471" t="str" cm="1">
        <f t="array" ref="H471">_xlfn.IFS(I471&lt;30000,"Low",I471&lt;60000,"Medium",I471&lt;100000,"High",TRUE,"Premium")</f>
        <v>Premium</v>
      </c>
      <c r="I471" s="2">
        <v>152130</v>
      </c>
      <c r="J471" t="s">
        <v>18</v>
      </c>
      <c r="K471" t="str" cm="1">
        <f t="array" ref="K471">_xlfn.IFS(Table1[[#This Row],[tenure]]&lt;=2,"New",Table1[[#This Row],[tenure]]&lt;=5,"Emerging",Table1[[#This Row],[tenure]]&lt;=8,"Loyal",Table1[[#This Row],[tenure]]&lt;=10,"Legacy")</f>
        <v>Emerging</v>
      </c>
      <c r="L471" t="str">
        <f>TEXT(Table1[[#This Row],[Join_Date]],"mmm-yyyy")</f>
        <v>May-2021</v>
      </c>
      <c r="M471">
        <v>4</v>
      </c>
      <c r="N471">
        <f>YEAR(Table1[[#This Row],[Join_Date]])</f>
        <v>2021</v>
      </c>
      <c r="O471" s="1">
        <v>44345</v>
      </c>
      <c r="P471" s="1"/>
    </row>
    <row r="472" spans="1:16" x14ac:dyDescent="0.25">
      <c r="A472" t="s">
        <v>974</v>
      </c>
      <c r="B472" t="s">
        <v>975</v>
      </c>
      <c r="C472" t="s">
        <v>14</v>
      </c>
      <c r="D472" t="s">
        <v>15</v>
      </c>
      <c r="E472">
        <v>30</v>
      </c>
      <c r="F472" t="s">
        <v>38</v>
      </c>
      <c r="G472" t="s">
        <v>25</v>
      </c>
      <c r="H472" t="str" cm="1">
        <f t="array" ref="H472">_xlfn.IFS(I472&lt;30000,"Low",I472&lt;60000,"Medium",I472&lt;100000,"High",TRUE,"Premium")</f>
        <v>High</v>
      </c>
      <c r="I472" s="2">
        <v>96260</v>
      </c>
      <c r="J472" t="s">
        <v>18</v>
      </c>
      <c r="K472" t="str" cm="1">
        <f t="array" ref="K472">_xlfn.IFS(Table1[[#This Row],[tenure]]&lt;=2,"New",Table1[[#This Row],[tenure]]&lt;=5,"Emerging",Table1[[#This Row],[tenure]]&lt;=8,"Loyal",Table1[[#This Row],[tenure]]&lt;=10,"Legacy")</f>
        <v>New</v>
      </c>
      <c r="L472" t="str">
        <f>TEXT(Table1[[#This Row],[Join_Date]],"mmm-yyyy")</f>
        <v>Jan-2025</v>
      </c>
      <c r="M472">
        <v>1</v>
      </c>
      <c r="N472">
        <f>YEAR(Table1[[#This Row],[Join_Date]])</f>
        <v>2025</v>
      </c>
      <c r="O472" s="1">
        <v>45664</v>
      </c>
      <c r="P472" s="1"/>
    </row>
    <row r="473" spans="1:16" x14ac:dyDescent="0.25">
      <c r="A473" t="s">
        <v>976</v>
      </c>
      <c r="B473" t="s">
        <v>977</v>
      </c>
      <c r="C473" t="s">
        <v>22</v>
      </c>
      <c r="D473" t="s">
        <v>23</v>
      </c>
      <c r="E473">
        <v>50</v>
      </c>
      <c r="F473" t="s">
        <v>16</v>
      </c>
      <c r="G473" t="s">
        <v>34</v>
      </c>
      <c r="H473" t="str" cm="1">
        <f t="array" ref="H473">_xlfn.IFS(I473&lt;30000,"Low",I473&lt;60000,"Medium",I473&lt;100000,"High",TRUE,"Premium")</f>
        <v>Premium</v>
      </c>
      <c r="I473" s="2">
        <v>179476</v>
      </c>
      <c r="J473" t="s">
        <v>18</v>
      </c>
      <c r="K473" t="str" cm="1">
        <f t="array" ref="K473">_xlfn.IFS(Table1[[#This Row],[tenure]]&lt;=2,"New",Table1[[#This Row],[tenure]]&lt;=5,"Emerging",Table1[[#This Row],[tenure]]&lt;=8,"Loyal",Table1[[#This Row],[tenure]]&lt;=10,"Legacy")</f>
        <v>Loyal</v>
      </c>
      <c r="L473" t="str">
        <f>TEXT(Table1[[#This Row],[Join_Date]],"mmm-yyyy")</f>
        <v>Sep-2018</v>
      </c>
      <c r="M473">
        <v>7</v>
      </c>
      <c r="N473">
        <f>YEAR(Table1[[#This Row],[Join_Date]])</f>
        <v>2018</v>
      </c>
      <c r="O473" s="1">
        <v>43369</v>
      </c>
      <c r="P473" s="1"/>
    </row>
    <row r="474" spans="1:16" x14ac:dyDescent="0.25">
      <c r="A474" t="s">
        <v>978</v>
      </c>
      <c r="B474" t="s">
        <v>979</v>
      </c>
      <c r="C474" t="s">
        <v>14</v>
      </c>
      <c r="D474" t="s">
        <v>23</v>
      </c>
      <c r="E474">
        <v>51</v>
      </c>
      <c r="F474" t="s">
        <v>16</v>
      </c>
      <c r="G474" t="s">
        <v>39</v>
      </c>
      <c r="H474" t="str" cm="1">
        <f t="array" ref="H474">_xlfn.IFS(I474&lt;30000,"Low",I474&lt;60000,"Medium",I474&lt;100000,"High",TRUE,"Premium")</f>
        <v>Premium</v>
      </c>
      <c r="I474" s="2">
        <v>180928</v>
      </c>
      <c r="J474" t="s">
        <v>18</v>
      </c>
      <c r="K474" t="str" cm="1">
        <f t="array" ref="K474">_xlfn.IFS(Table1[[#This Row],[tenure]]&lt;=2,"New",Table1[[#This Row],[tenure]]&lt;=5,"Emerging",Table1[[#This Row],[tenure]]&lt;=8,"Loyal",Table1[[#This Row],[tenure]]&lt;=10,"Legacy")</f>
        <v>Emerging</v>
      </c>
      <c r="L474" t="str">
        <f>TEXT(Table1[[#This Row],[Join_Date]],"mmm-yyyy")</f>
        <v>Sep-2020</v>
      </c>
      <c r="M474">
        <v>5</v>
      </c>
      <c r="N474">
        <f>YEAR(Table1[[#This Row],[Join_Date]])</f>
        <v>2020</v>
      </c>
      <c r="O474" s="1">
        <v>44083</v>
      </c>
      <c r="P474" s="1"/>
    </row>
    <row r="475" spans="1:16" x14ac:dyDescent="0.25">
      <c r="A475" t="s">
        <v>980</v>
      </c>
      <c r="B475" t="s">
        <v>981</v>
      </c>
      <c r="C475" t="s">
        <v>22</v>
      </c>
      <c r="D475" t="s">
        <v>23</v>
      </c>
      <c r="E475">
        <v>58</v>
      </c>
      <c r="F475" t="s">
        <v>24</v>
      </c>
      <c r="G475" t="s">
        <v>46</v>
      </c>
      <c r="H475" t="str" cm="1">
        <f t="array" ref="H475">_xlfn.IFS(I475&lt;30000,"Low",I475&lt;60000,"Medium",I475&lt;100000,"High",TRUE,"Premium")</f>
        <v>Premium</v>
      </c>
      <c r="I475" s="2">
        <v>160272</v>
      </c>
      <c r="J475" t="s">
        <v>26</v>
      </c>
      <c r="K475" t="str" cm="1">
        <f t="array" ref="K475">_xlfn.IFS(Table1[[#This Row],[tenure]]&lt;=2,"New",Table1[[#This Row],[tenure]]&lt;=5,"Emerging",Table1[[#This Row],[tenure]]&lt;=8,"Loyal",Table1[[#This Row],[tenure]]&lt;=10,"Legacy")</f>
        <v>Loyal</v>
      </c>
      <c r="L475" t="str">
        <f>TEXT(Table1[[#This Row],[Join_Date]],"mmm-yyyy")</f>
        <v>Sep-2019</v>
      </c>
      <c r="M475">
        <v>6</v>
      </c>
      <c r="N475">
        <f>YEAR(Table1[[#This Row],[Join_Date]])</f>
        <v>2019</v>
      </c>
      <c r="O475" s="1">
        <v>43719</v>
      </c>
      <c r="P475" s="1"/>
    </row>
    <row r="476" spans="1:16" x14ac:dyDescent="0.25">
      <c r="A476" t="s">
        <v>982</v>
      </c>
      <c r="B476" t="s">
        <v>983</v>
      </c>
      <c r="C476" t="s">
        <v>14</v>
      </c>
      <c r="D476" t="s">
        <v>23</v>
      </c>
      <c r="E476">
        <v>52</v>
      </c>
      <c r="F476" t="s">
        <v>38</v>
      </c>
      <c r="G476" t="s">
        <v>34</v>
      </c>
      <c r="H476" t="str" cm="1">
        <f t="array" ref="H476">_xlfn.IFS(I476&lt;30000,"Low",I476&lt;60000,"Medium",I476&lt;100000,"High",TRUE,"Premium")</f>
        <v>High</v>
      </c>
      <c r="I476" s="2">
        <v>84178</v>
      </c>
      <c r="J476" t="s">
        <v>30</v>
      </c>
      <c r="K476" t="str" cm="1">
        <f t="array" ref="K476">_xlfn.IFS(Table1[[#This Row],[tenure]]&lt;=2,"New",Table1[[#This Row],[tenure]]&lt;=5,"Emerging",Table1[[#This Row],[tenure]]&lt;=8,"Loyal",Table1[[#This Row],[tenure]]&lt;=10,"Legacy")</f>
        <v>Emerging</v>
      </c>
      <c r="L476" t="str">
        <f>TEXT(Table1[[#This Row],[Join_Date]],"mmm-yyyy")</f>
        <v>Oct-2020</v>
      </c>
      <c r="M476">
        <v>5</v>
      </c>
      <c r="N476">
        <f>YEAR(Table1[[#This Row],[Join_Date]])</f>
        <v>2020</v>
      </c>
      <c r="O476" s="1">
        <v>44123</v>
      </c>
      <c r="P476" s="1"/>
    </row>
    <row r="477" spans="1:16" x14ac:dyDescent="0.25">
      <c r="A477" t="s">
        <v>984</v>
      </c>
      <c r="B477" t="s">
        <v>985</v>
      </c>
      <c r="C477" t="s">
        <v>22</v>
      </c>
      <c r="D477" t="s">
        <v>37</v>
      </c>
      <c r="E477">
        <v>18</v>
      </c>
      <c r="F477" t="s">
        <v>38</v>
      </c>
      <c r="G477" t="s">
        <v>39</v>
      </c>
      <c r="H477" t="str" cm="1">
        <f t="array" ref="H477">_xlfn.IFS(I477&lt;30000,"Low",I477&lt;60000,"Medium",I477&lt;100000,"High",TRUE,"Premium")</f>
        <v>Medium</v>
      </c>
      <c r="I477" s="2">
        <v>53997</v>
      </c>
      <c r="J477" t="s">
        <v>18</v>
      </c>
      <c r="K477" t="str" cm="1">
        <f t="array" ref="K477">_xlfn.IFS(Table1[[#This Row],[tenure]]&lt;=2,"New",Table1[[#This Row],[tenure]]&lt;=5,"Emerging",Table1[[#This Row],[tenure]]&lt;=8,"Loyal",Table1[[#This Row],[tenure]]&lt;=10,"Legacy")</f>
        <v>Loyal</v>
      </c>
      <c r="L477" t="str">
        <f>TEXT(Table1[[#This Row],[Join_Date]],"mmm-yyyy")</f>
        <v>Jan-2019</v>
      </c>
      <c r="M477">
        <v>7</v>
      </c>
      <c r="N477">
        <f>YEAR(Table1[[#This Row],[Join_Date]])</f>
        <v>2019</v>
      </c>
      <c r="O477" s="1">
        <v>43488</v>
      </c>
      <c r="P477" s="1"/>
    </row>
    <row r="478" spans="1:16" x14ac:dyDescent="0.25">
      <c r="A478" t="s">
        <v>986</v>
      </c>
      <c r="B478" t="s">
        <v>987</v>
      </c>
      <c r="C478" t="s">
        <v>14</v>
      </c>
      <c r="D478" t="s">
        <v>15</v>
      </c>
      <c r="E478">
        <v>38</v>
      </c>
      <c r="F478" t="s">
        <v>16</v>
      </c>
      <c r="G478" t="s">
        <v>34</v>
      </c>
      <c r="H478" t="str" cm="1">
        <f t="array" ref="H478">_xlfn.IFS(I478&lt;30000,"Low",I478&lt;60000,"Medium",I478&lt;100000,"High",TRUE,"Premium")</f>
        <v>Premium</v>
      </c>
      <c r="I478" s="2">
        <v>176683</v>
      </c>
      <c r="J478" t="s">
        <v>18</v>
      </c>
      <c r="K478" t="str" cm="1">
        <f t="array" ref="K478">_xlfn.IFS(Table1[[#This Row],[tenure]]&lt;=2,"New",Table1[[#This Row],[tenure]]&lt;=5,"Emerging",Table1[[#This Row],[tenure]]&lt;=8,"Loyal",Table1[[#This Row],[tenure]]&lt;=10,"Legacy")</f>
        <v>Legacy</v>
      </c>
      <c r="L478" t="str">
        <f>TEXT(Table1[[#This Row],[Join_Date]],"mmm-yyyy")</f>
        <v>Nov-2015</v>
      </c>
      <c r="M478">
        <v>10</v>
      </c>
      <c r="N478">
        <f>YEAR(Table1[[#This Row],[Join_Date]])</f>
        <v>2015</v>
      </c>
      <c r="O478" s="1">
        <v>42325</v>
      </c>
      <c r="P478" s="1"/>
    </row>
    <row r="479" spans="1:16" x14ac:dyDescent="0.25">
      <c r="A479" t="s">
        <v>988</v>
      </c>
      <c r="B479" t="s">
        <v>989</v>
      </c>
      <c r="C479" t="s">
        <v>22</v>
      </c>
      <c r="D479" t="s">
        <v>54</v>
      </c>
      <c r="E479">
        <v>65</v>
      </c>
      <c r="F479" t="s">
        <v>42</v>
      </c>
      <c r="G479" t="s">
        <v>25</v>
      </c>
      <c r="H479" t="str" cm="1">
        <f t="array" ref="H479">_xlfn.IFS(I479&lt;30000,"Low",I479&lt;60000,"Medium",I479&lt;100000,"High",TRUE,"Premium")</f>
        <v>Premium</v>
      </c>
      <c r="I479" s="2">
        <v>139273</v>
      </c>
      <c r="J479" t="s">
        <v>26</v>
      </c>
      <c r="K479" t="str" cm="1">
        <f t="array" ref="K479">_xlfn.IFS(Table1[[#This Row],[tenure]]&lt;=2,"New",Table1[[#This Row],[tenure]]&lt;=5,"Emerging",Table1[[#This Row],[tenure]]&lt;=8,"Loyal",Table1[[#This Row],[tenure]]&lt;=10,"Legacy")</f>
        <v>Legacy</v>
      </c>
      <c r="L479" t="str">
        <f>TEXT(Table1[[#This Row],[Join_Date]],"mmm-yyyy")</f>
        <v>Aug-2016</v>
      </c>
      <c r="M479">
        <v>9</v>
      </c>
      <c r="N479">
        <f>YEAR(Table1[[#This Row],[Join_Date]])</f>
        <v>2016</v>
      </c>
      <c r="O479" s="1">
        <v>42602</v>
      </c>
      <c r="P479" s="1"/>
    </row>
    <row r="480" spans="1:16" x14ac:dyDescent="0.25">
      <c r="A480" t="s">
        <v>990</v>
      </c>
      <c r="B480" t="s">
        <v>991</v>
      </c>
      <c r="C480" t="s">
        <v>14</v>
      </c>
      <c r="D480" t="s">
        <v>54</v>
      </c>
      <c r="E480">
        <v>72</v>
      </c>
      <c r="F480" t="s">
        <v>24</v>
      </c>
      <c r="G480" t="s">
        <v>46</v>
      </c>
      <c r="H480" t="str" cm="1">
        <f t="array" ref="H480">_xlfn.IFS(I480&lt;30000,"Low",I480&lt;60000,"Medium",I480&lt;100000,"High",TRUE,"Premium")</f>
        <v>Premium</v>
      </c>
      <c r="I480" s="2">
        <v>192307</v>
      </c>
      <c r="J480" t="s">
        <v>26</v>
      </c>
      <c r="K480" t="str" cm="1">
        <f t="array" ref="K480">_xlfn.IFS(Table1[[#This Row],[tenure]]&lt;=2,"New",Table1[[#This Row],[tenure]]&lt;=5,"Emerging",Table1[[#This Row],[tenure]]&lt;=8,"Loyal",Table1[[#This Row],[tenure]]&lt;=10,"Legacy")</f>
        <v>Emerging</v>
      </c>
      <c r="L480" t="str">
        <f>TEXT(Table1[[#This Row],[Join_Date]],"mmm-yyyy")</f>
        <v>Oct-2020</v>
      </c>
      <c r="M480">
        <v>5</v>
      </c>
      <c r="N480">
        <f>YEAR(Table1[[#This Row],[Join_Date]])</f>
        <v>2020</v>
      </c>
      <c r="O480" s="1">
        <v>44108</v>
      </c>
      <c r="P480" s="1"/>
    </row>
    <row r="481" spans="1:16" x14ac:dyDescent="0.25">
      <c r="A481" t="s">
        <v>992</v>
      </c>
      <c r="B481" t="s">
        <v>993</v>
      </c>
      <c r="C481" t="s">
        <v>22</v>
      </c>
      <c r="D481" t="s">
        <v>37</v>
      </c>
      <c r="E481">
        <v>23</v>
      </c>
      <c r="F481" t="s">
        <v>24</v>
      </c>
      <c r="G481" t="s">
        <v>25</v>
      </c>
      <c r="H481" t="str" cm="1">
        <f t="array" ref="H481">_xlfn.IFS(I481&lt;30000,"Low",I481&lt;60000,"Medium",I481&lt;100000,"High",TRUE,"Premium")</f>
        <v>Premium</v>
      </c>
      <c r="I481" s="2">
        <v>186129</v>
      </c>
      <c r="J481" t="s">
        <v>18</v>
      </c>
      <c r="K481" t="str" cm="1">
        <f t="array" ref="K481">_xlfn.IFS(Table1[[#This Row],[tenure]]&lt;=2,"New",Table1[[#This Row],[tenure]]&lt;=5,"Emerging",Table1[[#This Row],[tenure]]&lt;=8,"Loyal",Table1[[#This Row],[tenure]]&lt;=10,"Legacy")</f>
        <v>New</v>
      </c>
      <c r="L481" t="str">
        <f>TEXT(Table1[[#This Row],[Join_Date]],"mmm-yyyy")</f>
        <v>Jul-2024</v>
      </c>
      <c r="M481">
        <v>1</v>
      </c>
      <c r="N481">
        <f>YEAR(Table1[[#This Row],[Join_Date]])</f>
        <v>2024</v>
      </c>
      <c r="O481" s="1">
        <v>45476</v>
      </c>
      <c r="P481" s="1"/>
    </row>
    <row r="482" spans="1:16" x14ac:dyDescent="0.25">
      <c r="A482" t="s">
        <v>994</v>
      </c>
      <c r="B482" t="s">
        <v>995</v>
      </c>
      <c r="C482" t="s">
        <v>22</v>
      </c>
      <c r="D482" t="s">
        <v>23</v>
      </c>
      <c r="E482">
        <v>45</v>
      </c>
      <c r="F482" t="s">
        <v>24</v>
      </c>
      <c r="G482" t="s">
        <v>51</v>
      </c>
      <c r="H482" t="str" cm="1">
        <f t="array" ref="H482">_xlfn.IFS(I482&lt;30000,"Low",I482&lt;60000,"Medium",I482&lt;100000,"High",TRUE,"Premium")</f>
        <v>Premium</v>
      </c>
      <c r="I482" s="2">
        <v>152311</v>
      </c>
      <c r="J482" t="s">
        <v>18</v>
      </c>
      <c r="K482" t="str" cm="1">
        <f t="array" ref="K482">_xlfn.IFS(Table1[[#This Row],[tenure]]&lt;=2,"New",Table1[[#This Row],[tenure]]&lt;=5,"Emerging",Table1[[#This Row],[tenure]]&lt;=8,"Loyal",Table1[[#This Row],[tenure]]&lt;=10,"Legacy")</f>
        <v>Legacy</v>
      </c>
      <c r="L482" t="str">
        <f>TEXT(Table1[[#This Row],[Join_Date]],"mmm-yyyy")</f>
        <v>Feb-2016</v>
      </c>
      <c r="M482">
        <v>10</v>
      </c>
      <c r="N482">
        <f>YEAR(Table1[[#This Row],[Join_Date]])</f>
        <v>2016</v>
      </c>
      <c r="O482" s="1">
        <v>42411</v>
      </c>
      <c r="P482" s="1"/>
    </row>
    <row r="483" spans="1:16" x14ac:dyDescent="0.25">
      <c r="A483" t="s">
        <v>996</v>
      </c>
      <c r="B483" t="s">
        <v>997</v>
      </c>
      <c r="C483" t="s">
        <v>22</v>
      </c>
      <c r="D483" t="s">
        <v>15</v>
      </c>
      <c r="E483">
        <v>34</v>
      </c>
      <c r="F483" t="s">
        <v>24</v>
      </c>
      <c r="G483" t="s">
        <v>46</v>
      </c>
      <c r="H483" t="str" cm="1">
        <f t="array" ref="H483">_xlfn.IFS(I483&lt;30000,"Low",I483&lt;60000,"Medium",I483&lt;100000,"High",TRUE,"Premium")</f>
        <v>Premium</v>
      </c>
      <c r="I483" s="2">
        <v>146945</v>
      </c>
      <c r="J483" t="s">
        <v>18</v>
      </c>
      <c r="K483" t="str" cm="1">
        <f t="array" ref="K483">_xlfn.IFS(Table1[[#This Row],[tenure]]&lt;=2,"New",Table1[[#This Row],[tenure]]&lt;=5,"Emerging",Table1[[#This Row],[tenure]]&lt;=8,"Loyal",Table1[[#This Row],[tenure]]&lt;=10,"Legacy")</f>
        <v>Loyal</v>
      </c>
      <c r="L483" t="str">
        <f>TEXT(Table1[[#This Row],[Join_Date]],"mmm-yyyy")</f>
        <v>Mar-2019</v>
      </c>
      <c r="M483">
        <v>6</v>
      </c>
      <c r="N483">
        <f>YEAR(Table1[[#This Row],[Join_Date]])</f>
        <v>2019</v>
      </c>
      <c r="O483" s="1">
        <v>43553</v>
      </c>
      <c r="P483" s="1"/>
    </row>
    <row r="484" spans="1:16" x14ac:dyDescent="0.25">
      <c r="A484" t="s">
        <v>998</v>
      </c>
      <c r="B484" t="s">
        <v>999</v>
      </c>
      <c r="C484" t="s">
        <v>14</v>
      </c>
      <c r="D484" t="s">
        <v>37</v>
      </c>
      <c r="E484">
        <v>22</v>
      </c>
      <c r="F484" t="s">
        <v>38</v>
      </c>
      <c r="G484" t="s">
        <v>29</v>
      </c>
      <c r="H484" t="str" cm="1">
        <f t="array" ref="H484">_xlfn.IFS(I484&lt;30000,"Low",I484&lt;60000,"Medium",I484&lt;100000,"High",TRUE,"Premium")</f>
        <v>High</v>
      </c>
      <c r="I484" s="2">
        <v>65272</v>
      </c>
      <c r="J484" t="s">
        <v>26</v>
      </c>
      <c r="K484" t="str" cm="1">
        <f t="array" ref="K484">_xlfn.IFS(Table1[[#This Row],[tenure]]&lt;=2,"New",Table1[[#This Row],[tenure]]&lt;=5,"Emerging",Table1[[#This Row],[tenure]]&lt;=8,"Loyal",Table1[[#This Row],[tenure]]&lt;=10,"Legacy")</f>
        <v>New</v>
      </c>
      <c r="L484" t="str">
        <f>TEXT(Table1[[#This Row],[Join_Date]],"mmm-yyyy")</f>
        <v>Aug-2024</v>
      </c>
      <c r="M484">
        <v>1</v>
      </c>
      <c r="N484">
        <f>YEAR(Table1[[#This Row],[Join_Date]])</f>
        <v>2024</v>
      </c>
      <c r="O484" s="1">
        <v>45512</v>
      </c>
      <c r="P484" s="1"/>
    </row>
    <row r="485" spans="1:16" x14ac:dyDescent="0.25">
      <c r="A485" t="s">
        <v>1000</v>
      </c>
      <c r="B485" t="s">
        <v>1001</v>
      </c>
      <c r="C485" t="s">
        <v>22</v>
      </c>
      <c r="D485" t="s">
        <v>23</v>
      </c>
      <c r="E485">
        <v>48</v>
      </c>
      <c r="F485" t="s">
        <v>38</v>
      </c>
      <c r="G485" t="s">
        <v>39</v>
      </c>
      <c r="H485" t="str" cm="1">
        <f t="array" ref="H485">_xlfn.IFS(I485&lt;30000,"Low",I485&lt;60000,"Medium",I485&lt;100000,"High",TRUE,"Premium")</f>
        <v>Premium</v>
      </c>
      <c r="I485" s="2">
        <v>109393</v>
      </c>
      <c r="J485" t="s">
        <v>18</v>
      </c>
      <c r="K485" t="str" cm="1">
        <f t="array" ref="K485">_xlfn.IFS(Table1[[#This Row],[tenure]]&lt;=2,"New",Table1[[#This Row],[tenure]]&lt;=5,"Emerging",Table1[[#This Row],[tenure]]&lt;=8,"Loyal",Table1[[#This Row],[tenure]]&lt;=10,"Legacy")</f>
        <v>New</v>
      </c>
      <c r="L485" t="str">
        <f>TEXT(Table1[[#This Row],[Join_Date]],"mmm-yyyy")</f>
        <v>Jun-2023</v>
      </c>
      <c r="M485">
        <v>2</v>
      </c>
      <c r="N485">
        <f>YEAR(Table1[[#This Row],[Join_Date]])</f>
        <v>2023</v>
      </c>
      <c r="O485" s="1">
        <v>45087</v>
      </c>
      <c r="P485" s="1"/>
    </row>
    <row r="486" spans="1:16" x14ac:dyDescent="0.25">
      <c r="A486" t="s">
        <v>1002</v>
      </c>
      <c r="B486" t="s">
        <v>1003</v>
      </c>
      <c r="C486" t="s">
        <v>14</v>
      </c>
      <c r="D486" t="s">
        <v>37</v>
      </c>
      <c r="E486">
        <v>22</v>
      </c>
      <c r="F486" t="s">
        <v>42</v>
      </c>
      <c r="G486" t="s">
        <v>46</v>
      </c>
      <c r="H486" t="str" cm="1">
        <f t="array" ref="H486">_xlfn.IFS(I486&lt;30000,"Low",I486&lt;60000,"Medium",I486&lt;100000,"High",TRUE,"Premium")</f>
        <v>High</v>
      </c>
      <c r="I486" s="2">
        <v>81212</v>
      </c>
      <c r="J486" t="s">
        <v>26</v>
      </c>
      <c r="K486" t="str" cm="1">
        <f t="array" ref="K486">_xlfn.IFS(Table1[[#This Row],[tenure]]&lt;=2,"New",Table1[[#This Row],[tenure]]&lt;=5,"Emerging",Table1[[#This Row],[tenure]]&lt;=8,"Loyal",Table1[[#This Row],[tenure]]&lt;=10,"Legacy")</f>
        <v>Loyal</v>
      </c>
      <c r="L486" t="str">
        <f>TEXT(Table1[[#This Row],[Join_Date]],"mmm-yyyy")</f>
        <v>Sep-2018</v>
      </c>
      <c r="M486">
        <v>7</v>
      </c>
      <c r="N486">
        <f>YEAR(Table1[[#This Row],[Join_Date]])</f>
        <v>2018</v>
      </c>
      <c r="O486" s="1">
        <v>43346</v>
      </c>
      <c r="P486" s="1"/>
    </row>
    <row r="487" spans="1:16" x14ac:dyDescent="0.25">
      <c r="A487" t="s">
        <v>1004</v>
      </c>
      <c r="B487" t="s">
        <v>1005</v>
      </c>
      <c r="C487" t="s">
        <v>22</v>
      </c>
      <c r="D487" t="s">
        <v>23</v>
      </c>
      <c r="E487">
        <v>55</v>
      </c>
      <c r="F487" t="s">
        <v>24</v>
      </c>
      <c r="G487" t="s">
        <v>51</v>
      </c>
      <c r="H487" t="str" cm="1">
        <f t="array" ref="H487">_xlfn.IFS(I487&lt;30000,"Low",I487&lt;60000,"Medium",I487&lt;100000,"High",TRUE,"Premium")</f>
        <v>Premium</v>
      </c>
      <c r="I487" s="2">
        <v>166470</v>
      </c>
      <c r="J487" t="s">
        <v>18</v>
      </c>
      <c r="K487" t="str" cm="1">
        <f t="array" ref="K487">_xlfn.IFS(Table1[[#This Row],[tenure]]&lt;=2,"New",Table1[[#This Row],[tenure]]&lt;=5,"Emerging",Table1[[#This Row],[tenure]]&lt;=8,"Loyal",Table1[[#This Row],[tenure]]&lt;=10,"Legacy")</f>
        <v>New</v>
      </c>
      <c r="L487" t="str">
        <f>TEXT(Table1[[#This Row],[Join_Date]],"mmm-yyyy")</f>
        <v>Nov-2024</v>
      </c>
      <c r="M487">
        <v>1</v>
      </c>
      <c r="N487">
        <f>YEAR(Table1[[#This Row],[Join_Date]])</f>
        <v>2024</v>
      </c>
      <c r="O487" s="1">
        <v>45621</v>
      </c>
      <c r="P487" s="1"/>
    </row>
    <row r="488" spans="1:16" x14ac:dyDescent="0.25">
      <c r="A488" t="s">
        <v>1006</v>
      </c>
      <c r="B488" t="s">
        <v>1007</v>
      </c>
      <c r="C488" t="s">
        <v>14</v>
      </c>
      <c r="D488" t="s">
        <v>37</v>
      </c>
      <c r="E488">
        <v>20</v>
      </c>
      <c r="F488" t="s">
        <v>24</v>
      </c>
      <c r="G488" t="s">
        <v>51</v>
      </c>
      <c r="H488" t="str" cm="1">
        <f t="array" ref="H488">_xlfn.IFS(I488&lt;30000,"Low",I488&lt;60000,"Medium",I488&lt;100000,"High",TRUE,"Premium")</f>
        <v>Premium</v>
      </c>
      <c r="I488" s="2">
        <v>140030</v>
      </c>
      <c r="J488" t="s">
        <v>26</v>
      </c>
      <c r="K488" t="str" cm="1">
        <f t="array" ref="K488">_xlfn.IFS(Table1[[#This Row],[tenure]]&lt;=2,"New",Table1[[#This Row],[tenure]]&lt;=5,"Emerging",Table1[[#This Row],[tenure]]&lt;=8,"Loyal",Table1[[#This Row],[tenure]]&lt;=10,"Legacy")</f>
        <v>Emerging</v>
      </c>
      <c r="L488" t="str">
        <f>TEXT(Table1[[#This Row],[Join_Date]],"mmm-yyyy")</f>
        <v>Feb-2023</v>
      </c>
      <c r="M488">
        <v>3</v>
      </c>
      <c r="N488">
        <f>YEAR(Table1[[#This Row],[Join_Date]])</f>
        <v>2023</v>
      </c>
      <c r="O488" s="1">
        <v>44975</v>
      </c>
      <c r="P488" s="1"/>
    </row>
    <row r="489" spans="1:16" x14ac:dyDescent="0.25">
      <c r="A489" t="s">
        <v>1008</v>
      </c>
      <c r="B489" t="s">
        <v>1009</v>
      </c>
      <c r="C489" t="s">
        <v>22</v>
      </c>
      <c r="D489" t="s">
        <v>54</v>
      </c>
      <c r="E489">
        <v>70</v>
      </c>
      <c r="F489" t="s">
        <v>16</v>
      </c>
      <c r="G489" t="s">
        <v>25</v>
      </c>
      <c r="H489" t="str" cm="1">
        <f t="array" ref="H489">_xlfn.IFS(I489&lt;30000,"Low",I489&lt;60000,"Medium",I489&lt;100000,"High",TRUE,"Premium")</f>
        <v>High</v>
      </c>
      <c r="I489" s="2">
        <v>76503</v>
      </c>
      <c r="J489" t="s">
        <v>18</v>
      </c>
      <c r="K489" t="str" cm="1">
        <f t="array" ref="K489">_xlfn.IFS(Table1[[#This Row],[tenure]]&lt;=2,"New",Table1[[#This Row],[tenure]]&lt;=5,"Emerging",Table1[[#This Row],[tenure]]&lt;=8,"Loyal",Table1[[#This Row],[tenure]]&lt;=10,"Legacy")</f>
        <v>New</v>
      </c>
      <c r="L489" t="str">
        <f>TEXT(Table1[[#This Row],[Join_Date]],"mmm-yyyy")</f>
        <v>Jan-2025</v>
      </c>
      <c r="M489">
        <v>1</v>
      </c>
      <c r="N489">
        <f>YEAR(Table1[[#This Row],[Join_Date]])</f>
        <v>2025</v>
      </c>
      <c r="O489" s="1">
        <v>45681</v>
      </c>
      <c r="P489" s="1"/>
    </row>
    <row r="490" spans="1:16" x14ac:dyDescent="0.25">
      <c r="A490" t="s">
        <v>1010</v>
      </c>
      <c r="B490" t="s">
        <v>1011</v>
      </c>
      <c r="C490" t="s">
        <v>14</v>
      </c>
      <c r="D490" t="s">
        <v>15</v>
      </c>
      <c r="E490">
        <v>40</v>
      </c>
      <c r="F490" t="s">
        <v>38</v>
      </c>
      <c r="G490" t="s">
        <v>34</v>
      </c>
      <c r="H490" t="str" cm="1">
        <f t="array" ref="H490">_xlfn.IFS(I490&lt;30000,"Low",I490&lt;60000,"Medium",I490&lt;100000,"High",TRUE,"Premium")</f>
        <v>Premium</v>
      </c>
      <c r="I490" s="2">
        <v>157710</v>
      </c>
      <c r="J490" t="s">
        <v>18</v>
      </c>
      <c r="K490" t="str" cm="1">
        <f t="array" ref="K490">_xlfn.IFS(Table1[[#This Row],[tenure]]&lt;=2,"New",Table1[[#This Row],[tenure]]&lt;=5,"Emerging",Table1[[#This Row],[tenure]]&lt;=8,"Loyal",Table1[[#This Row],[tenure]]&lt;=10,"Legacy")</f>
        <v>New</v>
      </c>
      <c r="L490" t="str">
        <f>TEXT(Table1[[#This Row],[Join_Date]],"mmm-yyyy")</f>
        <v>Jun-2023</v>
      </c>
      <c r="M490">
        <v>2</v>
      </c>
      <c r="N490">
        <f>YEAR(Table1[[#This Row],[Join_Date]])</f>
        <v>2023</v>
      </c>
      <c r="O490" s="1">
        <v>45104</v>
      </c>
      <c r="P490" s="1"/>
    </row>
    <row r="491" spans="1:16" x14ac:dyDescent="0.25">
      <c r="A491" t="s">
        <v>1012</v>
      </c>
      <c r="B491" t="s">
        <v>1013</v>
      </c>
      <c r="C491" t="s">
        <v>14</v>
      </c>
      <c r="D491" t="s">
        <v>23</v>
      </c>
      <c r="E491">
        <v>54</v>
      </c>
      <c r="F491" t="s">
        <v>24</v>
      </c>
      <c r="G491" t="s">
        <v>46</v>
      </c>
      <c r="H491" t="str" cm="1">
        <f t="array" ref="H491">_xlfn.IFS(I491&lt;30000,"Low",I491&lt;60000,"Medium",I491&lt;100000,"High",TRUE,"Premium")</f>
        <v>Low</v>
      </c>
      <c r="I491" s="2">
        <v>26570</v>
      </c>
      <c r="J491" t="s">
        <v>18</v>
      </c>
      <c r="K491" t="str" cm="1">
        <f t="array" ref="K491">_xlfn.IFS(Table1[[#This Row],[tenure]]&lt;=2,"New",Table1[[#This Row],[tenure]]&lt;=5,"Emerging",Table1[[#This Row],[tenure]]&lt;=8,"Loyal",Table1[[#This Row],[tenure]]&lt;=10,"Legacy")</f>
        <v>Emerging</v>
      </c>
      <c r="L491" t="str">
        <f>TEXT(Table1[[#This Row],[Join_Date]],"mmm-yyyy")</f>
        <v>Aug-2022</v>
      </c>
      <c r="M491">
        <v>3</v>
      </c>
      <c r="N491">
        <f>YEAR(Table1[[#This Row],[Join_Date]])</f>
        <v>2022</v>
      </c>
      <c r="O491" s="1">
        <v>44800</v>
      </c>
      <c r="P491" s="1"/>
    </row>
    <row r="492" spans="1:16" x14ac:dyDescent="0.25">
      <c r="A492" t="s">
        <v>1014</v>
      </c>
      <c r="B492" t="s">
        <v>1015</v>
      </c>
      <c r="C492" t="s">
        <v>22</v>
      </c>
      <c r="D492" t="s">
        <v>54</v>
      </c>
      <c r="E492">
        <v>70</v>
      </c>
      <c r="F492" t="s">
        <v>42</v>
      </c>
      <c r="G492" t="s">
        <v>39</v>
      </c>
      <c r="H492" t="str" cm="1">
        <f t="array" ref="H492">_xlfn.IFS(I492&lt;30000,"Low",I492&lt;60000,"Medium",I492&lt;100000,"High",TRUE,"Premium")</f>
        <v>High</v>
      </c>
      <c r="I492" s="2">
        <v>88785</v>
      </c>
      <c r="J492" t="s">
        <v>26</v>
      </c>
      <c r="K492" t="str" cm="1">
        <f t="array" ref="K492">_xlfn.IFS(Table1[[#This Row],[tenure]]&lt;=2,"New",Table1[[#This Row],[tenure]]&lt;=5,"Emerging",Table1[[#This Row],[tenure]]&lt;=8,"Loyal",Table1[[#This Row],[tenure]]&lt;=10,"Legacy")</f>
        <v>Emerging</v>
      </c>
      <c r="L492" t="str">
        <f>TEXT(Table1[[#This Row],[Join_Date]],"mmm-yyyy")</f>
        <v>Aug-2022</v>
      </c>
      <c r="M492">
        <v>3</v>
      </c>
      <c r="N492">
        <f>YEAR(Table1[[#This Row],[Join_Date]])</f>
        <v>2022</v>
      </c>
      <c r="O492" s="1">
        <v>44778</v>
      </c>
      <c r="P492" s="1"/>
    </row>
    <row r="493" spans="1:16" x14ac:dyDescent="0.25">
      <c r="A493" t="s">
        <v>1016</v>
      </c>
      <c r="B493" t="s">
        <v>1017</v>
      </c>
      <c r="C493" t="s">
        <v>14</v>
      </c>
      <c r="D493" t="s">
        <v>23</v>
      </c>
      <c r="E493">
        <v>54</v>
      </c>
      <c r="F493" t="s">
        <v>42</v>
      </c>
      <c r="G493" t="s">
        <v>46</v>
      </c>
      <c r="H493" t="str" cm="1">
        <f t="array" ref="H493">_xlfn.IFS(I493&lt;30000,"Low",I493&lt;60000,"Medium",I493&lt;100000,"High",TRUE,"Premium")</f>
        <v>Low</v>
      </c>
      <c r="I493" s="2">
        <v>29110</v>
      </c>
      <c r="J493" t="s">
        <v>18</v>
      </c>
      <c r="K493" t="str" cm="1">
        <f t="array" ref="K493">_xlfn.IFS(Table1[[#This Row],[tenure]]&lt;=2,"New",Table1[[#This Row],[tenure]]&lt;=5,"Emerging",Table1[[#This Row],[tenure]]&lt;=8,"Loyal",Table1[[#This Row],[tenure]]&lt;=10,"Legacy")</f>
        <v>Emerging</v>
      </c>
      <c r="L493" t="str">
        <f>TEXT(Table1[[#This Row],[Join_Date]],"mmm-yyyy")</f>
        <v>Oct-2022</v>
      </c>
      <c r="M493">
        <v>3</v>
      </c>
      <c r="N493">
        <f>YEAR(Table1[[#This Row],[Join_Date]])</f>
        <v>2022</v>
      </c>
      <c r="O493" s="1">
        <v>44859</v>
      </c>
      <c r="P493" s="1"/>
    </row>
    <row r="494" spans="1:16" x14ac:dyDescent="0.25">
      <c r="A494" t="s">
        <v>1018</v>
      </c>
      <c r="B494" t="s">
        <v>1019</v>
      </c>
      <c r="C494" t="s">
        <v>14</v>
      </c>
      <c r="D494" t="s">
        <v>37</v>
      </c>
      <c r="E494">
        <v>27</v>
      </c>
      <c r="F494" t="s">
        <v>38</v>
      </c>
      <c r="G494" t="s">
        <v>17</v>
      </c>
      <c r="H494" t="str" cm="1">
        <f t="array" ref="H494">_xlfn.IFS(I494&lt;30000,"Low",I494&lt;60000,"Medium",I494&lt;100000,"High",TRUE,"Premium")</f>
        <v>High</v>
      </c>
      <c r="I494" s="2">
        <v>99141</v>
      </c>
      <c r="J494" t="s">
        <v>18</v>
      </c>
      <c r="K494" t="str" cm="1">
        <f t="array" ref="K494">_xlfn.IFS(Table1[[#This Row],[tenure]]&lt;=2,"New",Table1[[#This Row],[tenure]]&lt;=5,"Emerging",Table1[[#This Row],[tenure]]&lt;=8,"Loyal",Table1[[#This Row],[tenure]]&lt;=10,"Legacy")</f>
        <v>New</v>
      </c>
      <c r="L494" t="str">
        <f>TEXT(Table1[[#This Row],[Join_Date]],"mmm-yyyy")</f>
        <v>Apr-2024</v>
      </c>
      <c r="M494">
        <v>1</v>
      </c>
      <c r="N494">
        <f>YEAR(Table1[[#This Row],[Join_Date]])</f>
        <v>2024</v>
      </c>
      <c r="O494" s="1">
        <v>45393</v>
      </c>
      <c r="P494" s="1"/>
    </row>
    <row r="495" spans="1:16" x14ac:dyDescent="0.25">
      <c r="A495" t="s">
        <v>1020</v>
      </c>
      <c r="B495" t="s">
        <v>1021</v>
      </c>
      <c r="C495" t="s">
        <v>22</v>
      </c>
      <c r="D495" t="s">
        <v>37</v>
      </c>
      <c r="E495">
        <v>27</v>
      </c>
      <c r="F495" t="s">
        <v>42</v>
      </c>
      <c r="G495" t="s">
        <v>34</v>
      </c>
      <c r="H495" t="str" cm="1">
        <f t="array" ref="H495">_xlfn.IFS(I495&lt;30000,"Low",I495&lt;60000,"Medium",I495&lt;100000,"High",TRUE,"Premium")</f>
        <v>Medium</v>
      </c>
      <c r="I495" s="2">
        <v>32115</v>
      </c>
      <c r="J495" t="s">
        <v>18</v>
      </c>
      <c r="K495" t="str" cm="1">
        <f t="array" ref="K495">_xlfn.IFS(Table1[[#This Row],[tenure]]&lt;=2,"New",Table1[[#This Row],[tenure]]&lt;=5,"Emerging",Table1[[#This Row],[tenure]]&lt;=8,"Loyal",Table1[[#This Row],[tenure]]&lt;=10,"Legacy")</f>
        <v>Emerging</v>
      </c>
      <c r="L495" t="str">
        <f>TEXT(Table1[[#This Row],[Join_Date]],"mmm-yyyy")</f>
        <v>Mar-2021</v>
      </c>
      <c r="M495">
        <v>5</v>
      </c>
      <c r="N495">
        <f>YEAR(Table1[[#This Row],[Join_Date]])</f>
        <v>2021</v>
      </c>
      <c r="O495" s="1">
        <v>44267</v>
      </c>
      <c r="P495" s="1"/>
    </row>
    <row r="496" spans="1:16" x14ac:dyDescent="0.25">
      <c r="A496" t="s">
        <v>1022</v>
      </c>
      <c r="B496" t="s">
        <v>1023</v>
      </c>
      <c r="C496" t="s">
        <v>14</v>
      </c>
      <c r="D496" t="s">
        <v>15</v>
      </c>
      <c r="E496">
        <v>36</v>
      </c>
      <c r="F496" t="s">
        <v>42</v>
      </c>
      <c r="G496" t="s">
        <v>39</v>
      </c>
      <c r="H496" t="str" cm="1">
        <f t="array" ref="H496">_xlfn.IFS(I496&lt;30000,"Low",I496&lt;60000,"Medium",I496&lt;100000,"High",TRUE,"Premium")</f>
        <v>Medium</v>
      </c>
      <c r="I496" s="2">
        <v>59062</v>
      </c>
      <c r="J496" t="s">
        <v>18</v>
      </c>
      <c r="K496" t="str" cm="1">
        <f t="array" ref="K496">_xlfn.IFS(Table1[[#This Row],[tenure]]&lt;=2,"New",Table1[[#This Row],[tenure]]&lt;=5,"Emerging",Table1[[#This Row],[tenure]]&lt;=8,"Loyal",Table1[[#This Row],[tenure]]&lt;=10,"Legacy")</f>
        <v>Emerging</v>
      </c>
      <c r="L496" t="str">
        <f>TEXT(Table1[[#This Row],[Join_Date]],"mmm-yyyy")</f>
        <v>Jan-2022</v>
      </c>
      <c r="M496">
        <v>4</v>
      </c>
      <c r="N496">
        <f>YEAR(Table1[[#This Row],[Join_Date]])</f>
        <v>2022</v>
      </c>
      <c r="O496" s="1">
        <v>44585</v>
      </c>
      <c r="P496" s="1"/>
    </row>
    <row r="497" spans="1:16" x14ac:dyDescent="0.25">
      <c r="A497" t="s">
        <v>1024</v>
      </c>
      <c r="B497" t="s">
        <v>1025</v>
      </c>
      <c r="C497" t="s">
        <v>14</v>
      </c>
      <c r="D497" t="s">
        <v>15</v>
      </c>
      <c r="E497">
        <v>34</v>
      </c>
      <c r="F497" t="s">
        <v>38</v>
      </c>
      <c r="G497" t="s">
        <v>39</v>
      </c>
      <c r="H497" t="str" cm="1">
        <f t="array" ref="H497">_xlfn.IFS(I497&lt;30000,"Low",I497&lt;60000,"Medium",I497&lt;100000,"High",TRUE,"Premium")</f>
        <v>Medium</v>
      </c>
      <c r="I497" s="2">
        <v>42911</v>
      </c>
      <c r="J497" t="s">
        <v>26</v>
      </c>
      <c r="K497" t="str" cm="1">
        <f t="array" ref="K497">_xlfn.IFS(Table1[[#This Row],[tenure]]&lt;=2,"New",Table1[[#This Row],[tenure]]&lt;=5,"Emerging",Table1[[#This Row],[tenure]]&lt;=8,"Loyal",Table1[[#This Row],[tenure]]&lt;=10,"Legacy")</f>
        <v>Loyal</v>
      </c>
      <c r="L497" t="str">
        <f>TEXT(Table1[[#This Row],[Join_Date]],"mmm-yyyy")</f>
        <v>Jul-2017</v>
      </c>
      <c r="M497">
        <v>8</v>
      </c>
      <c r="N497">
        <f>YEAR(Table1[[#This Row],[Join_Date]])</f>
        <v>2017</v>
      </c>
      <c r="O497" s="1">
        <v>42920</v>
      </c>
      <c r="P497" s="1"/>
    </row>
    <row r="498" spans="1:16" x14ac:dyDescent="0.25">
      <c r="A498" t="s">
        <v>1026</v>
      </c>
      <c r="B498" t="s">
        <v>1027</v>
      </c>
      <c r="C498" t="s">
        <v>14</v>
      </c>
      <c r="D498" t="s">
        <v>15</v>
      </c>
      <c r="E498">
        <v>38</v>
      </c>
      <c r="F498" t="s">
        <v>24</v>
      </c>
      <c r="G498" t="s">
        <v>29</v>
      </c>
      <c r="H498" t="str" cm="1">
        <f t="array" ref="H498">_xlfn.IFS(I498&lt;30000,"Low",I498&lt;60000,"Medium",I498&lt;100000,"High",TRUE,"Premium")</f>
        <v>Premium</v>
      </c>
      <c r="I498" s="2">
        <v>124061</v>
      </c>
      <c r="J498" t="s">
        <v>26</v>
      </c>
      <c r="K498" t="str" cm="1">
        <f t="array" ref="K498">_xlfn.IFS(Table1[[#This Row],[tenure]]&lt;=2,"New",Table1[[#This Row],[tenure]]&lt;=5,"Emerging",Table1[[#This Row],[tenure]]&lt;=8,"Loyal",Table1[[#This Row],[tenure]]&lt;=10,"Legacy")</f>
        <v>New</v>
      </c>
      <c r="L498" t="str">
        <f>TEXT(Table1[[#This Row],[Join_Date]],"mmm-yyyy")</f>
        <v>Jun-2024</v>
      </c>
      <c r="M498">
        <v>1</v>
      </c>
      <c r="N498">
        <f>YEAR(Table1[[#This Row],[Join_Date]])</f>
        <v>2024</v>
      </c>
      <c r="O498" s="1">
        <v>45451</v>
      </c>
      <c r="P498" s="1"/>
    </row>
    <row r="499" spans="1:16" x14ac:dyDescent="0.25">
      <c r="A499" t="s">
        <v>1028</v>
      </c>
      <c r="B499" t="s">
        <v>1029</v>
      </c>
      <c r="C499" t="s">
        <v>22</v>
      </c>
      <c r="D499" t="s">
        <v>15</v>
      </c>
      <c r="E499">
        <v>31</v>
      </c>
      <c r="F499" t="s">
        <v>24</v>
      </c>
      <c r="G499" t="s">
        <v>25</v>
      </c>
      <c r="H499" t="str" cm="1">
        <f t="array" ref="H499">_xlfn.IFS(I499&lt;30000,"Low",I499&lt;60000,"Medium",I499&lt;100000,"High",TRUE,"Premium")</f>
        <v>Medium</v>
      </c>
      <c r="I499" s="2">
        <v>52556</v>
      </c>
      <c r="J499" t="s">
        <v>26</v>
      </c>
      <c r="K499" t="str" cm="1">
        <f t="array" ref="K499">_xlfn.IFS(Table1[[#This Row],[tenure]]&lt;=2,"New",Table1[[#This Row],[tenure]]&lt;=5,"Emerging",Table1[[#This Row],[tenure]]&lt;=8,"Loyal",Table1[[#This Row],[tenure]]&lt;=10,"Legacy")</f>
        <v>Legacy</v>
      </c>
      <c r="L499" t="str">
        <f>TEXT(Table1[[#This Row],[Join_Date]],"mmm-yyyy")</f>
        <v>Jul-2016</v>
      </c>
      <c r="M499">
        <v>9</v>
      </c>
      <c r="N499">
        <f>YEAR(Table1[[#This Row],[Join_Date]])</f>
        <v>2016</v>
      </c>
      <c r="O499" s="1">
        <v>42561</v>
      </c>
      <c r="P499" s="1"/>
    </row>
    <row r="500" spans="1:16" x14ac:dyDescent="0.25">
      <c r="A500" t="s">
        <v>1030</v>
      </c>
      <c r="B500" t="s">
        <v>1031</v>
      </c>
      <c r="C500" t="s">
        <v>14</v>
      </c>
      <c r="D500" t="s">
        <v>37</v>
      </c>
      <c r="E500">
        <v>26</v>
      </c>
      <c r="F500" t="s">
        <v>42</v>
      </c>
      <c r="G500" t="s">
        <v>29</v>
      </c>
      <c r="H500" t="str" cm="1">
        <f t="array" ref="H500">_xlfn.IFS(I500&lt;30000,"Low",I500&lt;60000,"Medium",I500&lt;100000,"High",TRUE,"Premium")</f>
        <v>Premium</v>
      </c>
      <c r="I500" s="2">
        <v>148335</v>
      </c>
      <c r="J500" t="s">
        <v>18</v>
      </c>
      <c r="K500" t="str" cm="1">
        <f t="array" ref="K500">_xlfn.IFS(Table1[[#This Row],[tenure]]&lt;=2,"New",Table1[[#This Row],[tenure]]&lt;=5,"Emerging",Table1[[#This Row],[tenure]]&lt;=8,"Loyal",Table1[[#This Row],[tenure]]&lt;=10,"Legacy")</f>
        <v>New</v>
      </c>
      <c r="L500" t="str">
        <f>TEXT(Table1[[#This Row],[Join_Date]],"mmm-yyyy")</f>
        <v>May-2024</v>
      </c>
      <c r="M500">
        <v>1</v>
      </c>
      <c r="N500">
        <f>YEAR(Table1[[#This Row],[Join_Date]])</f>
        <v>2024</v>
      </c>
      <c r="O500" s="1">
        <v>45443</v>
      </c>
      <c r="P500" s="1"/>
    </row>
    <row r="501" spans="1:16" x14ac:dyDescent="0.25">
      <c r="A501" t="s">
        <v>1032</v>
      </c>
      <c r="B501" t="s">
        <v>1033</v>
      </c>
      <c r="C501" t="s">
        <v>22</v>
      </c>
      <c r="D501" t="s">
        <v>54</v>
      </c>
      <c r="E501">
        <v>63</v>
      </c>
      <c r="F501" t="s">
        <v>42</v>
      </c>
      <c r="G501" t="s">
        <v>39</v>
      </c>
      <c r="H501" t="str" cm="1">
        <f t="array" ref="H501">_xlfn.IFS(I501&lt;30000,"Low",I501&lt;60000,"Medium",I501&lt;100000,"High",TRUE,"Premium")</f>
        <v>Low</v>
      </c>
      <c r="I501" s="2">
        <v>21969</v>
      </c>
      <c r="J501" t="s">
        <v>26</v>
      </c>
      <c r="K501" t="str" cm="1">
        <f t="array" ref="K501">_xlfn.IFS(Table1[[#This Row],[tenure]]&lt;=2,"New",Table1[[#This Row],[tenure]]&lt;=5,"Emerging",Table1[[#This Row],[tenure]]&lt;=8,"Loyal",Table1[[#This Row],[tenure]]&lt;=10,"Legacy")</f>
        <v>New</v>
      </c>
      <c r="L501" t="str">
        <f>TEXT(Table1[[#This Row],[Join_Date]],"mmm-yyyy")</f>
        <v>Jul-2024</v>
      </c>
      <c r="M501">
        <v>1</v>
      </c>
      <c r="N501">
        <f>YEAR(Table1[[#This Row],[Join_Date]])</f>
        <v>2024</v>
      </c>
      <c r="O501" s="1">
        <v>45488</v>
      </c>
      <c r="P501" s="1"/>
    </row>
  </sheetData>
  <phoneticPr fontId="2"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Props1.xml><?xml version="1.0" encoding="utf-8"?>
<ds:datastoreItem xmlns:ds="http://schemas.openxmlformats.org/officeDocument/2006/customXml" ds:itemID="{E7D151DF-EBEE-4E96-A660-8F36E2567AE1}">
  <ds:schemaRefs/>
</ds:datastoreItem>
</file>

<file path=customXml/itemProps2.xml><?xml version="1.0" encoding="utf-8"?>
<ds:datastoreItem xmlns:ds="http://schemas.openxmlformats.org/officeDocument/2006/customXml" ds:itemID="{4ADDA3AC-3DAD-440E-A97E-16D8C2EEC086}">
  <ds:schemaRefs/>
</ds:datastoreItem>
</file>

<file path=customXml/itemProps3.xml><?xml version="1.0" encoding="utf-8"?>
<ds:datastoreItem xmlns:ds="http://schemas.openxmlformats.org/officeDocument/2006/customXml" ds:itemID="{50F357A9-33EB-4105-80E1-E54D201BBA93}">
  <ds:schemaRefs/>
</ds:datastoreItem>
</file>

<file path=customXml/itemProps4.xml><?xml version="1.0" encoding="utf-8"?>
<ds:datastoreItem xmlns:ds="http://schemas.openxmlformats.org/officeDocument/2006/customXml" ds:itemID="{A17533C3-72CF-4E26-A1AB-6C174F0D01FA}">
  <ds:schemaRefs/>
</ds:datastoreItem>
</file>

<file path=customXml/itemProps5.xml><?xml version="1.0" encoding="utf-8"?>
<ds:datastoreItem xmlns:ds="http://schemas.openxmlformats.org/officeDocument/2006/customXml" ds:itemID="{DFEA742F-86DF-45A4-910A-0703C7A3F772}">
  <ds:schemaRefs/>
</ds:datastoreItem>
</file>

<file path=customXml/itemProps6.xml><?xml version="1.0" encoding="utf-8"?>
<ds:datastoreItem xmlns:ds="http://schemas.openxmlformats.org/officeDocument/2006/customXml" ds:itemID="{92927215-4C4F-4FEF-AF53-ECA33CD74564}">
  <ds:schemaRefs/>
</ds:datastoreItem>
</file>

<file path=customXml/itemProps7.xml><?xml version="1.0" encoding="utf-8"?>
<ds:datastoreItem xmlns:ds="http://schemas.openxmlformats.org/officeDocument/2006/customXml" ds:itemID="{9281CBF6-D1B4-4097-BB11-8D14E6E2CFC1}">
  <ds:schemaRefs/>
</ds:datastoreItem>
</file>

<file path=customXml/itemProps8.xml><?xml version="1.0" encoding="utf-8"?>
<ds:datastoreItem xmlns:ds="http://schemas.openxmlformats.org/officeDocument/2006/customXml" ds:itemID="{BF68D23E-DDCE-4580-A523-4BE7DD11F3BF}">
  <ds:schemaRefs/>
</ds:datastoreItem>
</file>

<file path=customXml/itemProps9.xml><?xml version="1.0" encoding="utf-8"?>
<ds:datastoreItem xmlns:ds="http://schemas.openxmlformats.org/officeDocument/2006/customXml" ds:itemID="{F13A32A1-1294-435F-BE97-B54E83701240}">
  <ds:schemaRefs/>
</ds:datastoreItem>
</file>

<file path=customXml/itemProps10.xml><?xml version="1.0" encoding="utf-8"?>
<ds:datastoreItem xmlns:ds="http://schemas.openxmlformats.org/officeDocument/2006/customXml" ds:itemID="{D0F43CAE-91BF-46CC-9372-D91C622BB8A1}">
  <ds:schemaRefs/>
</ds:datastoreItem>
</file>

<file path=customXml/itemProps11.xml><?xml version="1.0" encoding="utf-8"?>
<ds:datastoreItem xmlns:ds="http://schemas.openxmlformats.org/officeDocument/2006/customXml" ds:itemID="{855B106E-CA49-45BE-B27C-6D55D2DA7FED}">
  <ds:schemaRefs/>
</ds:datastoreItem>
</file>

<file path=customXml/itemProps12.xml><?xml version="1.0" encoding="utf-8"?>
<ds:datastoreItem xmlns:ds="http://schemas.openxmlformats.org/officeDocument/2006/customXml" ds:itemID="{8E4CEC35-A728-4510-BC11-FF3ADAC8A41C}">
  <ds:schemaRefs/>
</ds:datastoreItem>
</file>

<file path=customXml/itemProps13.xml><?xml version="1.0" encoding="utf-8"?>
<ds:datastoreItem xmlns:ds="http://schemas.openxmlformats.org/officeDocument/2006/customXml" ds:itemID="{82027276-C691-45BB-9D4E-44B75B8A77F3}">
  <ds:schemaRefs/>
</ds:datastoreItem>
</file>

<file path=customXml/itemProps14.xml><?xml version="1.0" encoding="utf-8"?>
<ds:datastoreItem xmlns:ds="http://schemas.openxmlformats.org/officeDocument/2006/customXml" ds:itemID="{C679560A-D387-4928-9B12-E8E62ED185C0}">
  <ds:schemaRefs/>
</ds:datastoreItem>
</file>

<file path=customXml/itemProps15.xml><?xml version="1.0" encoding="utf-8"?>
<ds:datastoreItem xmlns:ds="http://schemas.openxmlformats.org/officeDocument/2006/customXml" ds:itemID="{8BFA5334-5AB5-4532-8D56-E4A3E2D174C5}">
  <ds:schemaRefs/>
</ds:datastoreItem>
</file>

<file path=customXml/itemProps16.xml><?xml version="1.0" encoding="utf-8"?>
<ds:datastoreItem xmlns:ds="http://schemas.openxmlformats.org/officeDocument/2006/customXml" ds:itemID="{55F79C05-5FE4-450A-9453-562027358C3A}">
  <ds:schemaRefs/>
</ds:datastoreItem>
</file>

<file path=customXml/itemProps17.xml><?xml version="1.0" encoding="utf-8"?>
<ds:datastoreItem xmlns:ds="http://schemas.openxmlformats.org/officeDocument/2006/customXml" ds:itemID="{95775379-0B60-41A0-B46F-C4614D175A54}">
  <ds:schemaRefs/>
</ds:datastoreItem>
</file>

<file path=customXml/itemProps18.xml><?xml version="1.0" encoding="utf-8"?>
<ds:datastoreItem xmlns:ds="http://schemas.openxmlformats.org/officeDocument/2006/customXml" ds:itemID="{539B9C90-E84A-4D9D-947C-F145C824B5BA}">
  <ds:schemaRefs/>
</ds:datastoreItem>
</file>

<file path=customXml/itemProps19.xml><?xml version="1.0" encoding="utf-8"?>
<ds:datastoreItem xmlns:ds="http://schemas.openxmlformats.org/officeDocument/2006/customXml" ds:itemID="{555791B4-A1A9-4646-9624-C03B12DDE68A}">
  <ds:schemaRefs/>
</ds:datastoreItem>
</file>

<file path=customXml/itemProps20.xml><?xml version="1.0" encoding="utf-8"?>
<ds:datastoreItem xmlns:ds="http://schemas.openxmlformats.org/officeDocument/2006/customXml" ds:itemID="{46D0948C-727D-44B1-B056-9F2A0EF2D794}">
  <ds:schemaRefs/>
</ds:datastoreItem>
</file>

<file path=customXml/itemProps21.xml><?xml version="1.0" encoding="utf-8"?>
<ds:datastoreItem xmlns:ds="http://schemas.openxmlformats.org/officeDocument/2006/customXml" ds:itemID="{E02A96EA-4DAA-4C06-8065-1A49C8DAFD05}">
  <ds:schemaRefs/>
</ds:datastoreItem>
</file>

<file path=customXml/itemProps22.xml><?xml version="1.0" encoding="utf-8"?>
<ds:datastoreItem xmlns:ds="http://schemas.openxmlformats.org/officeDocument/2006/customXml" ds:itemID="{30EFD761-7F93-4A9B-9401-2EE8B7BA906E}">
  <ds:schemaRefs/>
</ds:datastoreItem>
</file>

<file path=customXml/itemProps23.xml><?xml version="1.0" encoding="utf-8"?>
<ds:datastoreItem xmlns:ds="http://schemas.openxmlformats.org/officeDocument/2006/customXml" ds:itemID="{F454787A-2068-4CC6-8036-6C5B8659D541}">
  <ds:schemaRefs/>
</ds:datastoreItem>
</file>

<file path=customXml/itemProps24.xml><?xml version="1.0" encoding="utf-8"?>
<ds:datastoreItem xmlns:ds="http://schemas.openxmlformats.org/officeDocument/2006/customXml" ds:itemID="{5D79A41B-8406-4ADE-9F0A-A7AEE5225B42}">
  <ds:schemaRefs/>
</ds:datastoreItem>
</file>

<file path=customXml/itemProps25.xml><?xml version="1.0" encoding="utf-8"?>
<ds:datastoreItem xmlns:ds="http://schemas.openxmlformats.org/officeDocument/2006/customXml" ds:itemID="{9A59FF3F-C349-4C0A-B28B-9EF666957757}">
  <ds:schemaRefs/>
</ds:datastoreItem>
</file>

<file path=customXml/itemProps26.xml><?xml version="1.0" encoding="utf-8"?>
<ds:datastoreItem xmlns:ds="http://schemas.openxmlformats.org/officeDocument/2006/customXml" ds:itemID="{7869E15C-A575-4F4D-9DDD-3FD0CA587ABA}">
  <ds:schemaRefs/>
</ds:datastoreItem>
</file>

<file path=customXml/itemProps27.xml><?xml version="1.0" encoding="utf-8"?>
<ds:datastoreItem xmlns:ds="http://schemas.openxmlformats.org/officeDocument/2006/customXml" ds:itemID="{BA50C7D7-5019-4716-BD10-29FFEFEE7C7A}">
  <ds:schemaRefs/>
</ds:datastoreItem>
</file>

<file path=customXml/itemProps28.xml><?xml version="1.0" encoding="utf-8"?>
<ds:datastoreItem xmlns:ds="http://schemas.openxmlformats.org/officeDocument/2006/customXml" ds:itemID="{7660741C-864C-474D-A150-CC2211B3FE60}">
  <ds:schemaRefs/>
</ds:datastoreItem>
</file>

<file path=customXml/itemProps29.xml><?xml version="1.0" encoding="utf-8"?>
<ds:datastoreItem xmlns:ds="http://schemas.openxmlformats.org/officeDocument/2006/customXml" ds:itemID="{789CA527-E1FD-41C2-AEF2-5E0CAA8EAE65}">
  <ds:schemaRefs/>
</ds:datastoreItem>
</file>

<file path=customXml/itemProps30.xml><?xml version="1.0" encoding="utf-8"?>
<ds:datastoreItem xmlns:ds="http://schemas.openxmlformats.org/officeDocument/2006/customXml" ds:itemID="{D506ED94-2DC6-45EC-B7DD-FA2C4852F12B}">
  <ds:schemaRefs/>
</ds:datastoreItem>
</file>

<file path=customXml/itemProps31.xml><?xml version="1.0" encoding="utf-8"?>
<ds:datastoreItem xmlns:ds="http://schemas.openxmlformats.org/officeDocument/2006/customXml" ds:itemID="{2145957A-DA9E-4444-B7EE-64F74218D4A7}">
  <ds:schemaRefs/>
</ds:datastoreItem>
</file>

<file path=customXml/itemProps32.xml><?xml version="1.0" encoding="utf-8"?>
<ds:datastoreItem xmlns:ds="http://schemas.openxmlformats.org/officeDocument/2006/customXml" ds:itemID="{1F0A2F1A-10FE-4A5B-A595-4267EE573B82}">
  <ds:schemaRefs/>
</ds:datastoreItem>
</file>

<file path=customXml/itemProps33.xml><?xml version="1.0" encoding="utf-8"?>
<ds:datastoreItem xmlns:ds="http://schemas.openxmlformats.org/officeDocument/2006/customXml" ds:itemID="{CC5AE200-FCF1-4F76-A352-56C3B1FB4260}">
  <ds:schemaRefs/>
</ds:datastoreItem>
</file>

<file path=customXml/itemProps34.xml><?xml version="1.0" encoding="utf-8"?>
<ds:datastoreItem xmlns:ds="http://schemas.openxmlformats.org/officeDocument/2006/customXml" ds:itemID="{E185858C-0C5F-40FA-B0E9-9C62D12E4C14}">
  <ds:schemaRefs/>
</ds:datastoreItem>
</file>

<file path=customXml/itemProps35.xml><?xml version="1.0" encoding="utf-8"?>
<ds:datastoreItem xmlns:ds="http://schemas.openxmlformats.org/officeDocument/2006/customXml" ds:itemID="{D57921D2-531F-4D79-AF88-96D5B6FA1DEE}">
  <ds:schemaRefs/>
</ds:datastoreItem>
</file>

<file path=customXml/itemProps36.xml><?xml version="1.0" encoding="utf-8"?>
<ds:datastoreItem xmlns:ds="http://schemas.openxmlformats.org/officeDocument/2006/customXml" ds:itemID="{6939275F-D48B-426C-A456-AAFA614E0126}">
  <ds:schemaRefs/>
</ds:datastoreItem>
</file>

<file path=customXml/itemProps37.xml><?xml version="1.0" encoding="utf-8"?>
<ds:datastoreItem xmlns:ds="http://schemas.openxmlformats.org/officeDocument/2006/customXml" ds:itemID="{102B6B8A-545D-4728-AD50-C057D2DF8480}">
  <ds:schemaRefs/>
</ds:datastoreItem>
</file>

<file path=customXml/itemProps38.xml><?xml version="1.0" encoding="utf-8"?>
<ds:datastoreItem xmlns:ds="http://schemas.openxmlformats.org/officeDocument/2006/customXml" ds:itemID="{0B35A566-483D-4665-8324-58CFEF558409}">
  <ds:schemaRefs/>
</ds:datastoreItem>
</file>

<file path=customXml/itemProps39.xml><?xml version="1.0" encoding="utf-8"?>
<ds:datastoreItem xmlns:ds="http://schemas.openxmlformats.org/officeDocument/2006/customXml" ds:itemID="{6D34C8D8-A40E-491B-9EDE-117440CA6B72}">
  <ds:schemaRefs/>
</ds:datastoreItem>
</file>

<file path=customXml/itemProps40.xml><?xml version="1.0" encoding="utf-8"?>
<ds:datastoreItem xmlns:ds="http://schemas.openxmlformats.org/officeDocument/2006/customXml" ds:itemID="{F9733EC1-BA62-47A8-8985-145296DFC60C}">
  <ds:schemaRefs/>
</ds:datastoreItem>
</file>

<file path=customXml/itemProps41.xml><?xml version="1.0" encoding="utf-8"?>
<ds:datastoreItem xmlns:ds="http://schemas.openxmlformats.org/officeDocument/2006/customXml" ds:itemID="{BF0DE800-1EDC-4522-8372-5C928F76679E}">
  <ds:schemaRefs/>
</ds:datastoreItem>
</file>

<file path=customXml/itemProps42.xml><?xml version="1.0" encoding="utf-8"?>
<ds:datastoreItem xmlns:ds="http://schemas.openxmlformats.org/officeDocument/2006/customXml" ds:itemID="{F1C1F744-FA88-4A24-BA7B-8FDD967B9C40}">
  <ds:schemaRefs/>
</ds:datastoreItem>
</file>

<file path=customXml/itemProps43.xml><?xml version="1.0" encoding="utf-8"?>
<ds:datastoreItem xmlns:ds="http://schemas.openxmlformats.org/officeDocument/2006/customXml" ds:itemID="{CB4E5B4B-3F0B-4A07-B228-40C59C705773}">
  <ds:schemaRefs/>
</ds:datastoreItem>
</file>

<file path=customXml/itemProps44.xml><?xml version="1.0" encoding="utf-8"?>
<ds:datastoreItem xmlns:ds="http://schemas.openxmlformats.org/officeDocument/2006/customXml" ds:itemID="{368F2B3C-9E4C-4035-A902-04E3DB084728}">
  <ds:schemaRefs/>
</ds:datastoreItem>
</file>

<file path=customXml/itemProps45.xml><?xml version="1.0" encoding="utf-8"?>
<ds:datastoreItem xmlns:ds="http://schemas.openxmlformats.org/officeDocument/2006/customXml" ds:itemID="{D457D3BD-877B-4672-B2D6-FB766E6C18EF}">
  <ds:schemaRefs/>
</ds:datastoreItem>
</file>

<file path=customXml/itemProps46.xml><?xml version="1.0" encoding="utf-8"?>
<ds:datastoreItem xmlns:ds="http://schemas.openxmlformats.org/officeDocument/2006/customXml" ds:itemID="{01960AC5-FD75-4394-AEAF-5CC25C532FEA}">
  <ds:schemaRefs/>
</ds:datastoreItem>
</file>

<file path=customXml/itemProps47.xml><?xml version="1.0" encoding="utf-8"?>
<ds:datastoreItem xmlns:ds="http://schemas.openxmlformats.org/officeDocument/2006/customXml" ds:itemID="{17D105D8-4F7C-46B1-9E59-E5775A66C96C}">
  <ds:schemaRefs/>
</ds:datastoreItem>
</file>

<file path=customXml/itemProps48.xml><?xml version="1.0" encoding="utf-8"?>
<ds:datastoreItem xmlns:ds="http://schemas.openxmlformats.org/officeDocument/2006/customXml" ds:itemID="{E6507DD0-C41B-47C4-8220-1B33DA189C0A}">
  <ds:schemaRefs/>
</ds:datastoreItem>
</file>

<file path=customXml/itemProps49.xml><?xml version="1.0" encoding="utf-8"?>
<ds:datastoreItem xmlns:ds="http://schemas.openxmlformats.org/officeDocument/2006/customXml" ds:itemID="{0BCC12DF-E9D0-4F7F-8E82-F7ED8BAA8D1E}">
  <ds:schemaRefs/>
</ds:datastoreItem>
</file>

<file path=customXml/itemProps50.xml><?xml version="1.0" encoding="utf-8"?>
<ds:datastoreItem xmlns:ds="http://schemas.openxmlformats.org/officeDocument/2006/customXml" ds:itemID="{9FF30C34-09BB-4DD0-B322-AF3D82266BA6}">
  <ds:schemaRefs/>
</ds:datastoreItem>
</file>

<file path=customXml/itemProps51.xml><?xml version="1.0" encoding="utf-8"?>
<ds:datastoreItem xmlns:ds="http://schemas.openxmlformats.org/officeDocument/2006/customXml" ds:itemID="{3CA0C87E-1C73-4632-A78A-A7E35D04D4B9}">
  <ds:schemaRefs/>
</ds:datastoreItem>
</file>

<file path=customXml/itemProps52.xml><?xml version="1.0" encoding="utf-8"?>
<ds:datastoreItem xmlns:ds="http://schemas.openxmlformats.org/officeDocument/2006/customXml" ds:itemID="{CA19CEC1-B446-4D24-95EC-C1B7D546832C}">
  <ds:schemaRefs/>
</ds:datastoreItem>
</file>

<file path=customXml/itemProps53.xml><?xml version="1.0" encoding="utf-8"?>
<ds:datastoreItem xmlns:ds="http://schemas.openxmlformats.org/officeDocument/2006/customXml" ds:itemID="{A826ACE6-47B9-4231-803B-9E7F4E642A9F}">
  <ds:schemaRefs/>
</ds:datastoreItem>
</file>

<file path=customXml/itemProps54.xml><?xml version="1.0" encoding="utf-8"?>
<ds:datastoreItem xmlns:ds="http://schemas.openxmlformats.org/officeDocument/2006/customXml" ds:itemID="{572BED0B-38AB-4C6F-8B9F-5A522239B9E9}">
  <ds:schemaRefs/>
</ds:datastoreItem>
</file>

<file path=customXml/itemProps55.xml><?xml version="1.0" encoding="utf-8"?>
<ds:datastoreItem xmlns:ds="http://schemas.openxmlformats.org/officeDocument/2006/customXml" ds:itemID="{EC72C9B8-B911-4EAF-B5B0-933953A881AD}">
  <ds:schemaRefs/>
</ds:datastoreItem>
</file>

<file path=customXml/itemProps56.xml><?xml version="1.0" encoding="utf-8"?>
<ds:datastoreItem xmlns:ds="http://schemas.openxmlformats.org/officeDocument/2006/customXml" ds:itemID="{4086E071-8A2D-40E8-9EB1-C95AF8060647}">
  <ds:schemaRefs/>
</ds:datastoreItem>
</file>

<file path=customXml/itemProps57.xml><?xml version="1.0" encoding="utf-8"?>
<ds:datastoreItem xmlns:ds="http://schemas.openxmlformats.org/officeDocument/2006/customXml" ds:itemID="{ECA8A8F1-CD36-4549-A716-C2664DC117C0}">
  <ds:schemaRefs/>
</ds:datastoreItem>
</file>

<file path=customXml/itemProps58.xml><?xml version="1.0" encoding="utf-8"?>
<ds:datastoreItem xmlns:ds="http://schemas.openxmlformats.org/officeDocument/2006/customXml" ds:itemID="{24856568-0DDC-483A-8F39-E16F6BE39ABD}">
  <ds:schemaRefs/>
</ds:datastoreItem>
</file>

<file path=customXml/itemProps59.xml><?xml version="1.0" encoding="utf-8"?>
<ds:datastoreItem xmlns:ds="http://schemas.openxmlformats.org/officeDocument/2006/customXml" ds:itemID="{2EB6C6CC-BA57-4A49-B4D5-B5D238D59EBB}">
  <ds:schemaRefs/>
</ds:datastoreItem>
</file>

<file path=customXml/itemProps60.xml><?xml version="1.0" encoding="utf-8"?>
<ds:datastoreItem xmlns:ds="http://schemas.openxmlformats.org/officeDocument/2006/customXml" ds:itemID="{BD8F7C7A-FACF-4060-B460-A36E7D9BEB90}">
  <ds:schemaRefs/>
</ds:datastoreItem>
</file>

<file path=customXml/itemProps61.xml><?xml version="1.0" encoding="utf-8"?>
<ds:datastoreItem xmlns:ds="http://schemas.openxmlformats.org/officeDocument/2006/customXml" ds:itemID="{E4B023A6-2659-404E-8869-44B0F1C2F4A0}">
  <ds:schemaRefs/>
</ds:datastoreItem>
</file>

<file path=customXml/itemProps62.xml><?xml version="1.0" encoding="utf-8"?>
<ds:datastoreItem xmlns:ds="http://schemas.openxmlformats.org/officeDocument/2006/customXml" ds:itemID="{4CD4E3AB-400C-468D-A0F5-66C66332C8DB}">
  <ds:schemaRefs/>
</ds:datastoreItem>
</file>

<file path=customXml/itemProps63.xml><?xml version="1.0" encoding="utf-8"?>
<ds:datastoreItem xmlns:ds="http://schemas.openxmlformats.org/officeDocument/2006/customXml" ds:itemID="{25DA12DA-A291-4C77-B049-FCEAB93B9FD5}">
  <ds:schemaRefs/>
</ds:datastoreItem>
</file>

<file path=customXml/itemProps64.xml><?xml version="1.0" encoding="utf-8"?>
<ds:datastoreItem xmlns:ds="http://schemas.openxmlformats.org/officeDocument/2006/customXml" ds:itemID="{D3B42AF6-50C8-4276-A42D-2EA97E734A68}">
  <ds:schemaRefs/>
</ds:datastoreItem>
</file>

<file path=customXml/itemProps65.xml><?xml version="1.0" encoding="utf-8"?>
<ds:datastoreItem xmlns:ds="http://schemas.openxmlformats.org/officeDocument/2006/customXml" ds:itemID="{A3BB8F4C-BD68-4F10-9972-66D652CCC74A}">
  <ds:schemaRefs/>
</ds:datastoreItem>
</file>

<file path=customXml/itemProps66.xml><?xml version="1.0" encoding="utf-8"?>
<ds:datastoreItem xmlns:ds="http://schemas.openxmlformats.org/officeDocument/2006/customXml" ds:itemID="{7C7B9AA2-779E-4455-AFE7-C62F99AB5881}">
  <ds:schemaRefs/>
</ds:datastoreItem>
</file>

<file path=customXml/itemProps67.xml><?xml version="1.0" encoding="utf-8"?>
<ds:datastoreItem xmlns:ds="http://schemas.openxmlformats.org/officeDocument/2006/customXml" ds:itemID="{F2577647-9DFA-4B25-AE3D-468BEFB0355C}">
  <ds:schemaRefs/>
</ds:datastoreItem>
</file>

<file path=customXml/itemProps68.xml><?xml version="1.0" encoding="utf-8"?>
<ds:datastoreItem xmlns:ds="http://schemas.openxmlformats.org/officeDocument/2006/customXml" ds:itemID="{59EB6BAD-F184-4CB7-B15D-40DADDD713F9}">
  <ds:schemaRefs/>
</ds:datastoreItem>
</file>

<file path=customXml/itemProps69.xml><?xml version="1.0" encoding="utf-8"?>
<ds:datastoreItem xmlns:ds="http://schemas.openxmlformats.org/officeDocument/2006/customXml" ds:itemID="{949A1160-207C-4450-A3EE-491DF7266EBA}">
  <ds:schemaRefs/>
</ds:datastoreItem>
</file>

<file path=customXml/itemProps70.xml><?xml version="1.0" encoding="utf-8"?>
<ds:datastoreItem xmlns:ds="http://schemas.openxmlformats.org/officeDocument/2006/customXml" ds:itemID="{A1EADDCC-4323-49F5-940C-CE98C05C02CA}">
  <ds:schemaRefs/>
</ds:datastoreItem>
</file>

<file path=customXml/itemProps71.xml><?xml version="1.0" encoding="utf-8"?>
<ds:datastoreItem xmlns:ds="http://schemas.openxmlformats.org/officeDocument/2006/customXml" ds:itemID="{DDB8B776-70A3-4F26-ABC8-6FCB04BCBB34}">
  <ds:schemaRefs/>
</ds:datastoreItem>
</file>

<file path=customXml/itemProps72.xml><?xml version="1.0" encoding="utf-8"?>
<ds:datastoreItem xmlns:ds="http://schemas.openxmlformats.org/officeDocument/2006/customXml" ds:itemID="{3B0ECC67-9821-45B8-BA7C-1479E9925109}">
  <ds:schemaRefs/>
</ds:datastoreItem>
</file>

<file path=customXml/itemProps73.xml><?xml version="1.0" encoding="utf-8"?>
<ds:datastoreItem xmlns:ds="http://schemas.openxmlformats.org/officeDocument/2006/customXml" ds:itemID="{E3336C05-E0F7-4336-8811-CBD29A7A891D}">
  <ds:schemaRefs/>
</ds:datastoreItem>
</file>

<file path=customXml/itemProps74.xml><?xml version="1.0" encoding="utf-8"?>
<ds:datastoreItem xmlns:ds="http://schemas.openxmlformats.org/officeDocument/2006/customXml" ds:itemID="{D0217555-0E9C-40EE-8E57-7BE0AC48E0AF}">
  <ds:schemaRefs/>
</ds:datastoreItem>
</file>

<file path=customXml/itemProps75.xml><?xml version="1.0" encoding="utf-8"?>
<ds:datastoreItem xmlns:ds="http://schemas.openxmlformats.org/officeDocument/2006/customXml" ds:itemID="{0F3FCAAF-9A3F-433F-AF03-3A7BBD0A6023}">
  <ds:schemaRefs/>
</ds:datastoreItem>
</file>

<file path=customXml/itemProps76.xml><?xml version="1.0" encoding="utf-8"?>
<ds:datastoreItem xmlns:ds="http://schemas.openxmlformats.org/officeDocument/2006/customXml" ds:itemID="{D2DC9C5F-4693-4A37-AF95-72DB1C47F974}">
  <ds:schemaRefs/>
</ds:datastoreItem>
</file>

<file path=customXml/itemProps77.xml><?xml version="1.0" encoding="utf-8"?>
<ds:datastoreItem xmlns:ds="http://schemas.openxmlformats.org/officeDocument/2006/customXml" ds:itemID="{F5209EDF-F60D-4526-B04A-FDF3F8A3FB54}">
  <ds:schemaRefs/>
</ds:datastoreItem>
</file>

<file path=customXml/itemProps78.xml><?xml version="1.0" encoding="utf-8"?>
<ds:datastoreItem xmlns:ds="http://schemas.openxmlformats.org/officeDocument/2006/customXml" ds:itemID="{DCC3E1CA-04C3-4178-9A0C-16AAEBA02A73}">
  <ds:schemaRefs/>
</ds:datastoreItem>
</file>

<file path=customXml/itemProps79.xml><?xml version="1.0" encoding="utf-8"?>
<ds:datastoreItem xmlns:ds="http://schemas.openxmlformats.org/officeDocument/2006/customXml" ds:itemID="{67028EA2-01DE-4037-BCA1-E28BDF4D733B}">
  <ds:schemaRefs/>
</ds:datastoreItem>
</file>

<file path=customXml/itemProps80.xml><?xml version="1.0" encoding="utf-8"?>
<ds:datastoreItem xmlns:ds="http://schemas.openxmlformats.org/officeDocument/2006/customXml" ds:itemID="{30684A58-B2A1-499C-B913-3DDCE4D6197C}">
  <ds:schemaRefs>
    <ds:schemaRef ds:uri="http://schemas.microsoft.com/DataMashup"/>
  </ds:schemaRefs>
</ds:datastoreItem>
</file>

<file path=customXml/itemProps81.xml><?xml version="1.0" encoding="utf-8"?>
<ds:datastoreItem xmlns:ds="http://schemas.openxmlformats.org/officeDocument/2006/customXml" ds:itemID="{A8F8B56D-4CCD-4DB3-AD2C-7D651412C4C3}">
  <ds:schemaRefs/>
</ds:datastoreItem>
</file>

<file path=customXml/itemProps82.xml><?xml version="1.0" encoding="utf-8"?>
<ds:datastoreItem xmlns:ds="http://schemas.openxmlformats.org/officeDocument/2006/customXml" ds:itemID="{59DC3878-FFC9-4A40-ADA9-3F0635CED331}">
  <ds:schemaRefs/>
</ds:datastoreItem>
</file>

<file path=customXml/itemProps83.xml><?xml version="1.0" encoding="utf-8"?>
<ds:datastoreItem xmlns:ds="http://schemas.openxmlformats.org/officeDocument/2006/customXml" ds:itemID="{BA7588F2-032E-476F-BF31-6A47CA5B308C}">
  <ds:schemaRefs/>
</ds:datastoreItem>
</file>

<file path=customXml/itemProps84.xml><?xml version="1.0" encoding="utf-8"?>
<ds:datastoreItem xmlns:ds="http://schemas.openxmlformats.org/officeDocument/2006/customXml" ds:itemID="{84DCA279-C51C-4BD7-B43B-230E346A5567}">
  <ds:schemaRefs/>
</ds:datastoreItem>
</file>

<file path=customXml/itemProps85.xml><?xml version="1.0" encoding="utf-8"?>
<ds:datastoreItem xmlns:ds="http://schemas.openxmlformats.org/officeDocument/2006/customXml" ds:itemID="{3A927DB0-0F15-4370-ADFD-3B41A4B1B78C}">
  <ds:schemaRefs/>
</ds:datastoreItem>
</file>

<file path=customXml/itemProps86.xml><?xml version="1.0" encoding="utf-8"?>
<ds:datastoreItem xmlns:ds="http://schemas.openxmlformats.org/officeDocument/2006/customXml" ds:itemID="{B1233AF8-F2F5-4052-8020-2369768056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34</vt:i4>
      </vt:variant>
    </vt:vector>
  </HeadingPairs>
  <TitlesOfParts>
    <vt:vector size="43" baseType="lpstr">
      <vt:lpstr>dashboard 1</vt:lpstr>
      <vt:lpstr>dashboard 2</vt:lpstr>
      <vt:lpstr>Dashoard 3</vt:lpstr>
      <vt:lpstr>Dashboard 4</vt:lpstr>
      <vt:lpstr>Dashboard 5</vt:lpstr>
      <vt:lpstr>Calculations 1</vt:lpstr>
      <vt:lpstr>calculation 2</vt:lpstr>
      <vt:lpstr>calculation 3 &amp; 4</vt:lpstr>
      <vt:lpstr>Raw sheet</vt:lpstr>
      <vt:lpstr>age</vt:lpstr>
      <vt:lpstr>avgrev</vt:lpstr>
      <vt:lpstr>backlog</vt:lpstr>
      <vt:lpstr>BRANCH</vt:lpstr>
      <vt:lpstr>complaints</vt:lpstr>
      <vt:lpstr>CUSTOMER</vt:lpstr>
      <vt:lpstr>fraud</vt:lpstr>
      <vt:lpstr>income</vt:lpstr>
      <vt:lpstr>kpiamount</vt:lpstr>
      <vt:lpstr>kpiavgmout</vt:lpstr>
      <vt:lpstr>kpitransac</vt:lpstr>
      <vt:lpstr>loyal</vt:lpstr>
      <vt:lpstr>lyamount</vt:lpstr>
      <vt:lpstr>lyavgamont</vt:lpstr>
      <vt:lpstr>lytrans</vt:lpstr>
      <vt:lpstr>MARGIN</vt:lpstr>
      <vt:lpstr>open</vt:lpstr>
      <vt:lpstr>OPERATING</vt:lpstr>
      <vt:lpstr>prem</vt:lpstr>
      <vt:lpstr>PROFITTT</vt:lpstr>
      <vt:lpstr>realbalance</vt:lpstr>
      <vt:lpstr>realcredit</vt:lpstr>
      <vt:lpstr>realdeposit</vt:lpstr>
      <vt:lpstr>realloan</vt:lpstr>
      <vt:lpstr>realtransss</vt:lpstr>
      <vt:lpstr>REALTRANSSSSSSS</vt:lpstr>
      <vt:lpstr>resolutiion</vt:lpstr>
      <vt:lpstr>REVENUEE</vt:lpstr>
      <vt:lpstr>STAFFS</vt:lpstr>
      <vt:lpstr>tenure</vt:lpstr>
      <vt:lpstr>totalaccounts</vt:lpstr>
      <vt:lpstr>totalbalances</vt:lpstr>
      <vt:lpstr>totallfraudddddd</vt:lpstr>
      <vt:lpstr>urgent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Ouwatimileyin Adeyemo</dc:creator>
  <cp:lastModifiedBy>Ouwatimileyin Adeyemo</cp:lastModifiedBy>
  <cp:lastPrinted>2025-11-18T09:23:28Z</cp:lastPrinted>
  <dcterms:created xsi:type="dcterms:W3CDTF">2025-09-11T12:57:30Z</dcterms:created>
  <dcterms:modified xsi:type="dcterms:W3CDTF">2025-12-01T09:01:15Z</dcterms:modified>
</cp:coreProperties>
</file>