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Sheet26" sheetId="2" r:id="rId5"/>
    <sheet state="visible" name="Data Source Sheet" sheetId="3" r:id="rId6"/>
    <sheet state="visible" name="NSEBSE Code" sheetId="4" r:id="rId7"/>
  </sheets>
  <definedNames/>
  <calcPr/>
</workbook>
</file>

<file path=xl/sharedStrings.xml><?xml version="1.0" encoding="utf-8"?>
<sst xmlns="http://schemas.openxmlformats.org/spreadsheetml/2006/main" count="3647" uniqueCount="499">
  <si>
    <t xml:space="preserve"> </t>
  </si>
  <si>
    <t>Market cap (in Rs Cr.)</t>
  </si>
  <si>
    <t>Current price</t>
  </si>
  <si>
    <t>PE Ratio</t>
  </si>
  <si>
    <t>52 Week High</t>
  </si>
  <si>
    <t>% Below 52 week high</t>
  </si>
  <si>
    <t>52 Week Low</t>
  </si>
  <si>
    <t>% Above 52 Week low</t>
  </si>
  <si>
    <t>Yesterday Closing Price</t>
  </si>
  <si>
    <t>% Change</t>
  </si>
  <si>
    <t>TCS</t>
  </si>
  <si>
    <t>HUL</t>
  </si>
  <si>
    <t>Airtel</t>
  </si>
  <si>
    <t>Bajaj Finance</t>
  </si>
  <si>
    <t>Asian Paints</t>
  </si>
  <si>
    <t>HCL Tech</t>
  </si>
  <si>
    <t>Maruti Suzuki</t>
  </si>
  <si>
    <t>Avenue Supermart</t>
  </si>
  <si>
    <t>L&amp;T</t>
  </si>
  <si>
    <t>Bajaj Finserv</t>
  </si>
  <si>
    <t>Nestle</t>
  </si>
  <si>
    <t>Ultratech Cement</t>
  </si>
  <si>
    <t>M&amp;M</t>
  </si>
  <si>
    <t>Bajaj Auto</t>
  </si>
  <si>
    <t>Pidilite Industries</t>
  </si>
  <si>
    <t>SBI life Insurance</t>
  </si>
  <si>
    <t>Tata Steel</t>
  </si>
  <si>
    <t>Divi's Lab</t>
  </si>
  <si>
    <t>Tech Mahindra</t>
  </si>
  <si>
    <t>Dabur</t>
  </si>
  <si>
    <t>Britannia</t>
  </si>
  <si>
    <t>Eicher Motor</t>
  </si>
  <si>
    <t>Cipla</t>
  </si>
  <si>
    <t>Ambuja Cement</t>
  </si>
  <si>
    <t>SBI Cards</t>
  </si>
  <si>
    <t>L&amp;T Infotech</t>
  </si>
  <si>
    <t>Havells India</t>
  </si>
  <si>
    <t>Nykaa</t>
  </si>
  <si>
    <t>Tata Consumer Product</t>
  </si>
  <si>
    <t>Tata Power</t>
  </si>
  <si>
    <t>Marico</t>
  </si>
  <si>
    <t>Berger Paint</t>
  </si>
  <si>
    <t>Motherson Sumi</t>
  </si>
  <si>
    <t>Hero Motocorp</t>
  </si>
  <si>
    <t>Zomato</t>
  </si>
  <si>
    <t>Infoedge</t>
  </si>
  <si>
    <t>Tata Elxsi</t>
  </si>
  <si>
    <t>UPL</t>
  </si>
  <si>
    <t>IRCTC</t>
  </si>
  <si>
    <t>Bandhan Bank</t>
  </si>
  <si>
    <t>Page Industries</t>
  </si>
  <si>
    <t>P&amp;G Health</t>
  </si>
  <si>
    <t>Mphasis</t>
  </si>
  <si>
    <t>Paytm</t>
  </si>
  <si>
    <t>Balkrishna Industries</t>
  </si>
  <si>
    <t>Ashok Leyland</t>
  </si>
  <si>
    <t>Muthoot Finance</t>
  </si>
  <si>
    <t>United Breweries</t>
  </si>
  <si>
    <t>HDFC AMC</t>
  </si>
  <si>
    <t>PI industries</t>
  </si>
  <si>
    <t>TVS</t>
  </si>
  <si>
    <t>Trent</t>
  </si>
  <si>
    <t>sona comstar</t>
  </si>
  <si>
    <t>Astral Poly Technic</t>
  </si>
  <si>
    <t>Polycab</t>
  </si>
  <si>
    <t>Aurobindo Pharma</t>
  </si>
  <si>
    <t>Honeywell Auto</t>
  </si>
  <si>
    <t>MRF</t>
  </si>
  <si>
    <t>Gujarat Florochemical</t>
  </si>
  <si>
    <t>Gujarat Gas</t>
  </si>
  <si>
    <t>Max Financials</t>
  </si>
  <si>
    <t>Coromandel International</t>
  </si>
  <si>
    <t>PB Fintech</t>
  </si>
  <si>
    <t>Indraprastha Gas</t>
  </si>
  <si>
    <t>Lauras Lab</t>
  </si>
  <si>
    <t>Deepak Nitrite</t>
  </si>
  <si>
    <t>Relaxo Footwear</t>
  </si>
  <si>
    <t>Persistent System</t>
  </si>
  <si>
    <t>3M India</t>
  </si>
  <si>
    <t>IPCA Lab</t>
  </si>
  <si>
    <t>Bata India</t>
  </si>
  <si>
    <t>Coforge</t>
  </si>
  <si>
    <t>APL Apollo</t>
  </si>
  <si>
    <t>Crompton Greves</t>
  </si>
  <si>
    <t>Supreme Industries</t>
  </si>
  <si>
    <t>Bayer Cropscience</t>
  </si>
  <si>
    <t>Sumitomo Chemicals</t>
  </si>
  <si>
    <t>Dixon Technologies</t>
  </si>
  <si>
    <t>Tata Chemical</t>
  </si>
  <si>
    <t>Vinita Organics</t>
  </si>
  <si>
    <t>Whirlpool</t>
  </si>
  <si>
    <t>IDFC First</t>
  </si>
  <si>
    <t>NA</t>
  </si>
  <si>
    <t>Endurance Technology</t>
  </si>
  <si>
    <t>Pfizer</t>
  </si>
  <si>
    <t>Trident</t>
  </si>
  <si>
    <t>Navin Flourine</t>
  </si>
  <si>
    <t>LIC Housing Finance</t>
  </si>
  <si>
    <t>Dr Lal Path Lab</t>
  </si>
  <si>
    <t>IEX</t>
  </si>
  <si>
    <t>clean science</t>
  </si>
  <si>
    <t>Fine Organics</t>
  </si>
  <si>
    <t>Alembic Pharma</t>
  </si>
  <si>
    <t>Affle India</t>
  </si>
  <si>
    <t>Tanla Platform</t>
  </si>
  <si>
    <t>KPIT</t>
  </si>
  <si>
    <t>Sheela Form</t>
  </si>
  <si>
    <t>Indiamart Intermesh</t>
  </si>
  <si>
    <t>Happiest Mind</t>
  </si>
  <si>
    <t>CDSL</t>
  </si>
  <si>
    <t>Exide Battery</t>
  </si>
  <si>
    <t>Century Plyboard</t>
  </si>
  <si>
    <t>TTK Prestige</t>
  </si>
  <si>
    <t>CAMS</t>
  </si>
  <si>
    <t>Radico Khaitan</t>
  </si>
  <si>
    <t>KEI Industries</t>
  </si>
  <si>
    <t>Galaxy Surfactant</t>
  </si>
  <si>
    <t>Birlasoft</t>
  </si>
  <si>
    <t>Balaji Amine</t>
  </si>
  <si>
    <t>Mediplus</t>
  </si>
  <si>
    <t>Finolex Industries</t>
  </si>
  <si>
    <t>Borosil Renewable</t>
  </si>
  <si>
    <t>UTI AMC</t>
  </si>
  <si>
    <t>Amara Raja Batter</t>
  </si>
  <si>
    <t>Route Mobile</t>
  </si>
  <si>
    <t>Laxmi Orgamic</t>
  </si>
  <si>
    <t>HFCL</t>
  </si>
  <si>
    <t>Mahangar Gas</t>
  </si>
  <si>
    <t>Mannapuran Finance</t>
  </si>
  <si>
    <t>Amber Enterprise</t>
  </si>
  <si>
    <t>Poly Medicure Ltd</t>
  </si>
  <si>
    <t>Polyplex Corporation</t>
  </si>
  <si>
    <t>Sonata Software</t>
  </si>
  <si>
    <t>Astrazeneca</t>
  </si>
  <si>
    <t>Latent View</t>
  </si>
  <si>
    <t>Praj Industries</t>
  </si>
  <si>
    <t>ICICI Bank</t>
  </si>
  <si>
    <t>Granules India</t>
  </si>
  <si>
    <t>TCI Express</t>
  </si>
  <si>
    <t>Zensar Tech</t>
  </si>
  <si>
    <t>Mastek</t>
  </si>
  <si>
    <t>Garware technical</t>
  </si>
  <si>
    <t>GMM Pfaudler</t>
  </si>
  <si>
    <t>Sterlite technology</t>
  </si>
  <si>
    <t>Orient Electric</t>
  </si>
  <si>
    <t>Avanti Feed</t>
  </si>
  <si>
    <t>Cera Sanitaryware</t>
  </si>
  <si>
    <t>craftsman automation</t>
  </si>
  <si>
    <t>Bharat Rasayan</t>
  </si>
  <si>
    <t>Heidelberg Cement</t>
  </si>
  <si>
    <t>Astec Lifesciences</t>
  </si>
  <si>
    <t>Aarti Drugs</t>
  </si>
  <si>
    <t>Data Pattern</t>
  </si>
  <si>
    <t>Thyrocare</t>
  </si>
  <si>
    <t>Neogen Chemcial</t>
  </si>
  <si>
    <t>Dhanuka Agritech</t>
  </si>
  <si>
    <t>Advance Enzymes</t>
  </si>
  <si>
    <t>Wipro</t>
  </si>
  <si>
    <t>Newgen</t>
  </si>
  <si>
    <t>Sequent Science</t>
  </si>
  <si>
    <t>Mold tech</t>
  </si>
  <si>
    <t>Tasty Bite Eatable</t>
  </si>
  <si>
    <t>Heranba</t>
  </si>
  <si>
    <t>Paras Defense</t>
  </si>
  <si>
    <t>Gokaldas Export</t>
  </si>
  <si>
    <t>Somany home innovation ltd</t>
  </si>
  <si>
    <t>Tata Motor</t>
  </si>
  <si>
    <t>Bhansali Engineering</t>
  </si>
  <si>
    <t>Apollo pipes</t>
  </si>
  <si>
    <t>Garware hi-tech</t>
  </si>
  <si>
    <t>Chemcom Speciality</t>
  </si>
  <si>
    <t>Nureca</t>
  </si>
  <si>
    <t>Dr Reddy</t>
  </si>
  <si>
    <t>HDFC Bank</t>
  </si>
  <si>
    <t>Finolex Cable</t>
  </si>
  <si>
    <t>Nippon AMC</t>
  </si>
  <si>
    <t>Abbott India</t>
  </si>
  <si>
    <t>Axis Bank</t>
  </si>
  <si>
    <t>Bank of Baroda</t>
  </si>
  <si>
    <t>SBI Bank</t>
  </si>
  <si>
    <t>Federal Bank</t>
  </si>
  <si>
    <t>Shree Cement</t>
  </si>
  <si>
    <t>Infosys</t>
  </si>
  <si>
    <t>Reliance</t>
  </si>
  <si>
    <t>Gujarat Ambuja Export</t>
  </si>
  <si>
    <t>Acrysil Ltd</t>
  </si>
  <si>
    <t>HDFC life Insurance</t>
  </si>
  <si>
    <t>J K Cement</t>
  </si>
  <si>
    <t>ICICI Pru life insurance</t>
  </si>
  <si>
    <t>Titan</t>
  </si>
  <si>
    <t>Goldiam International</t>
  </si>
  <si>
    <t>United Spirits</t>
  </si>
  <si>
    <t>Rossari Biotech</t>
  </si>
  <si>
    <t>Kansai Nerolac</t>
  </si>
  <si>
    <t>Voltas</t>
  </si>
  <si>
    <t>Chemplast sanmar</t>
  </si>
  <si>
    <t>L&amp;T Technology</t>
  </si>
  <si>
    <t>Yesbank</t>
  </si>
  <si>
    <t>Gland Pharma</t>
  </si>
  <si>
    <t>Hawkins Cooker</t>
  </si>
  <si>
    <t>MTAR</t>
  </si>
  <si>
    <t>Vaibhav Global</t>
  </si>
  <si>
    <t>Atul Ltd</t>
  </si>
  <si>
    <t>MapmyIndia</t>
  </si>
  <si>
    <t>Sun pharma</t>
  </si>
  <si>
    <t>Caplin Point</t>
  </si>
  <si>
    <t>Cyient</t>
  </si>
  <si>
    <t>Varun Beverage</t>
  </si>
  <si>
    <t>Prince Pipe</t>
  </si>
  <si>
    <t>Jubilant FoodWorks</t>
  </si>
  <si>
    <t>Alkyl Amine</t>
  </si>
  <si>
    <t>HDFC</t>
  </si>
  <si>
    <t>AU Small Finance</t>
  </si>
  <si>
    <t>Hindustan Food</t>
  </si>
  <si>
    <t>Solar Industries</t>
  </si>
  <si>
    <t>Kotak Bank</t>
  </si>
  <si>
    <t>stove kraft</t>
  </si>
  <si>
    <t>Godrej Consumer</t>
  </si>
  <si>
    <t>Solara Active</t>
  </si>
  <si>
    <t>Kajaria Ceramic</t>
  </si>
  <si>
    <t>Krisna dignostic</t>
  </si>
  <si>
    <t>Metropolis Healthcare</t>
  </si>
  <si>
    <t>Aarti Industries</t>
  </si>
  <si>
    <t>Subex</t>
  </si>
  <si>
    <t>Crisil</t>
  </si>
  <si>
    <t>Lux Industries</t>
  </si>
  <si>
    <t>LIC</t>
  </si>
  <si>
    <t>Industry</t>
  </si>
  <si>
    <t>NSE/BSE Code</t>
  </si>
  <si>
    <t>Bear Mode 1</t>
  </si>
  <si>
    <t>Bear Mode 2</t>
  </si>
  <si>
    <t>Stock Status</t>
  </si>
  <si>
    <t>Cap Size</t>
  </si>
  <si>
    <t>IT</t>
  </si>
  <si>
    <t>BOM:532540</t>
  </si>
  <si>
    <t>Yes</t>
  </si>
  <si>
    <t>No</t>
  </si>
  <si>
    <t/>
  </si>
  <si>
    <t>Large Cap</t>
  </si>
  <si>
    <t>FMCG</t>
  </si>
  <si>
    <t>HINDUNILVR</t>
  </si>
  <si>
    <t>Low Cap</t>
  </si>
  <si>
    <t>Bank</t>
  </si>
  <si>
    <t>BOM:500112</t>
  </si>
  <si>
    <t>Financial Servcies</t>
  </si>
  <si>
    <t>Insurance</t>
  </si>
  <si>
    <t>BOM:543526</t>
  </si>
  <si>
    <t>Telecom</t>
  </si>
  <si>
    <t>BHARTIARTL</t>
  </si>
  <si>
    <t>NBFC</t>
  </si>
  <si>
    <t>BAJFINANCE</t>
  </si>
  <si>
    <t>KOTAKBANK</t>
  </si>
  <si>
    <t>Infrastructure</t>
  </si>
  <si>
    <t>BOM:500510</t>
  </si>
  <si>
    <t>AXISBANK</t>
  </si>
  <si>
    <t>Paint</t>
  </si>
  <si>
    <t>ASIANPAINT</t>
  </si>
  <si>
    <t>Automobile</t>
  </si>
  <si>
    <t>MARUTI</t>
  </si>
  <si>
    <t>Pharma</t>
  </si>
  <si>
    <t>SUNPHARMA</t>
  </si>
  <si>
    <t>BAJAJFINSV</t>
  </si>
  <si>
    <t>Retail</t>
  </si>
  <si>
    <t>BOM:500114</t>
  </si>
  <si>
    <t>Cement</t>
  </si>
  <si>
    <t>ULTRACEMCO</t>
  </si>
  <si>
    <t>NESTLEIND</t>
  </si>
  <si>
    <t>BOM:500470</t>
  </si>
  <si>
    <t>SBILIFE</t>
  </si>
  <si>
    <t>HDFCLIFE</t>
  </si>
  <si>
    <t>Chemical</t>
  </si>
  <si>
    <t>PIDILITIND</t>
  </si>
  <si>
    <t>BOM:540005</t>
  </si>
  <si>
    <t>BRITANNIA</t>
  </si>
  <si>
    <t>BOM:500425</t>
  </si>
  <si>
    <t>BAJAJ-AUTO</t>
  </si>
  <si>
    <t>TECHM</t>
  </si>
  <si>
    <t>DABUR</t>
  </si>
  <si>
    <t>BOM:532134</t>
  </si>
  <si>
    <t>BOM:532424</t>
  </si>
  <si>
    <t>DIVISLAB</t>
  </si>
  <si>
    <t>SHREECEM</t>
  </si>
  <si>
    <t>EICHERMOT</t>
  </si>
  <si>
    <t>CIPLA</t>
  </si>
  <si>
    <t>SBICARD</t>
  </si>
  <si>
    <t>Food</t>
  </si>
  <si>
    <t>BOM:540180</t>
  </si>
  <si>
    <t>Consumer Electrical</t>
  </si>
  <si>
    <t>HAVELLS</t>
  </si>
  <si>
    <t>TATACONSUM</t>
  </si>
  <si>
    <t>ICICIPRULI</t>
  </si>
  <si>
    <t>BOM:500400</t>
  </si>
  <si>
    <t>MARICO</t>
  </si>
  <si>
    <t>Spirits</t>
  </si>
  <si>
    <t>MCDOWELL-N</t>
  </si>
  <si>
    <t>BOM:532648</t>
  </si>
  <si>
    <t>Good Stock</t>
  </si>
  <si>
    <t>BERGEPAINT</t>
  </si>
  <si>
    <t>HEROMOTOCO</t>
  </si>
  <si>
    <t>Agrochemical</t>
  </si>
  <si>
    <t>BOM:512070</t>
  </si>
  <si>
    <t>Automobile Ancilliary</t>
  </si>
  <si>
    <t>BOM:517334</t>
  </si>
  <si>
    <t>Catering</t>
  </si>
  <si>
    <t>PIIND</t>
  </si>
  <si>
    <t>Technology</t>
  </si>
  <si>
    <t>BOM:532777</t>
  </si>
  <si>
    <t>BOM:532343</t>
  </si>
  <si>
    <t>ABBOTINDIA</t>
  </si>
  <si>
    <t>AMC</t>
  </si>
  <si>
    <t>HDFCAMC</t>
  </si>
  <si>
    <t>Textile</t>
  </si>
  <si>
    <t>PAGEIND</t>
  </si>
  <si>
    <t>Tyre</t>
  </si>
  <si>
    <t>BALKRISIND</t>
  </si>
  <si>
    <t>UBL</t>
  </si>
  <si>
    <t>MUTHOOTFIN</t>
  </si>
  <si>
    <t>Small Finance</t>
  </si>
  <si>
    <t>AUBANK</t>
  </si>
  <si>
    <t>Piping</t>
  </si>
  <si>
    <t>ASTRAL</t>
  </si>
  <si>
    <t>POLYCAB</t>
  </si>
  <si>
    <t>Defence</t>
  </si>
  <si>
    <t>BOM:532725</t>
  </si>
  <si>
    <t>IT-Software</t>
  </si>
  <si>
    <t>TATAELXSI</t>
  </si>
  <si>
    <t>BOM:526299</t>
  </si>
  <si>
    <t>BANDHANBNK</t>
  </si>
  <si>
    <t>BOM:500290</t>
  </si>
  <si>
    <t>BOM:540115</t>
  </si>
  <si>
    <t>HONAUT</t>
  </si>
  <si>
    <t>JUBLFOOD</t>
  </si>
  <si>
    <t>Steel</t>
  </si>
  <si>
    <t>BOM:533758</t>
  </si>
  <si>
    <t>Plastic</t>
  </si>
  <si>
    <t>SUPREMEIND</t>
  </si>
  <si>
    <t>Utility</t>
  </si>
  <si>
    <t>GUJGASLTD</t>
  </si>
  <si>
    <t>chemical</t>
  </si>
  <si>
    <t>BOM:542812</t>
  </si>
  <si>
    <t>PERSISTENT</t>
  </si>
  <si>
    <t>BOM:500469</t>
  </si>
  <si>
    <t>BOM:532514</t>
  </si>
  <si>
    <t>BOM:500271</t>
  </si>
  <si>
    <t>BOM:500575</t>
  </si>
  <si>
    <t>DEEPAKNTR</t>
  </si>
  <si>
    <t>COROMANDEL</t>
  </si>
  <si>
    <t>AUROPHARMA</t>
  </si>
  <si>
    <t>3MINDIA</t>
  </si>
  <si>
    <t>automobile</t>
  </si>
  <si>
    <t>BOM:543300</t>
  </si>
  <si>
    <t>BOM:500770</t>
  </si>
  <si>
    <t>SUMICHEM</t>
  </si>
  <si>
    <t>BOM:543245</t>
  </si>
  <si>
    <t>BOM:532541</t>
  </si>
  <si>
    <t>BOM:500027</t>
  </si>
  <si>
    <t>BOM:532644</t>
  </si>
  <si>
    <t>KANSAINER</t>
  </si>
  <si>
    <t>Reserach</t>
  </si>
  <si>
    <t>CRISIL</t>
  </si>
  <si>
    <t>BOM:500253</t>
  </si>
  <si>
    <t>IPCALAB</t>
  </si>
  <si>
    <t>Manufacturing</t>
  </si>
  <si>
    <t>DIXON</t>
  </si>
  <si>
    <t>CROMPTON</t>
  </si>
  <si>
    <t>AARTIIND</t>
  </si>
  <si>
    <t>BAYERCROP</t>
  </si>
  <si>
    <t>VINATIORGA</t>
  </si>
  <si>
    <t>Footwear</t>
  </si>
  <si>
    <t>BATAINDIA</t>
  </si>
  <si>
    <t>BOM:532504</t>
  </si>
  <si>
    <t>ENDURANCE</t>
  </si>
  <si>
    <t>BOM:500680</t>
  </si>
  <si>
    <t>LAURUSLABS</t>
  </si>
  <si>
    <t>BOM:542651</t>
  </si>
  <si>
    <t>WHIRLPOOL</t>
  </si>
  <si>
    <t>Healthcare</t>
  </si>
  <si>
    <t>LALPATHLAB</t>
  </si>
  <si>
    <t>Ceramic</t>
  </si>
  <si>
    <t>KAJARIACER</t>
  </si>
  <si>
    <t>FINEORG</t>
  </si>
  <si>
    <t>BOM:521064</t>
  </si>
  <si>
    <t>BOM:540767</t>
  </si>
  <si>
    <t>EXIDEIND</t>
  </si>
  <si>
    <t>BOM:543318</t>
  </si>
  <si>
    <t>ALKYLAMINE</t>
  </si>
  <si>
    <t>INDIAMART</t>
  </si>
  <si>
    <t>AFFLE</t>
  </si>
  <si>
    <t>BOM:517569</t>
  </si>
  <si>
    <t>BOM:540750</t>
  </si>
  <si>
    <t>BOM:543227</t>
  </si>
  <si>
    <t>Form</t>
  </si>
  <si>
    <t>BOM:540203</t>
  </si>
  <si>
    <t>Playboard</t>
  </si>
  <si>
    <t>BOM:532548</t>
  </si>
  <si>
    <t>NSE:CAMS</t>
  </si>
  <si>
    <t>HDFCBANK</t>
  </si>
  <si>
    <t>TTKPRESTIG</t>
  </si>
  <si>
    <t>APLLTD</t>
  </si>
  <si>
    <t>BOM:500940</t>
  </si>
  <si>
    <t>MANAPPURAM</t>
  </si>
  <si>
    <t>BOM:543238</t>
  </si>
  <si>
    <t>BOM:500183</t>
  </si>
  <si>
    <t>BOM:532790</t>
  </si>
  <si>
    <t>AMARAJABAT</t>
  </si>
  <si>
    <t>CYIENT</t>
  </si>
  <si>
    <t>BOM:506820</t>
  </si>
  <si>
    <t>BOM:531768</t>
  </si>
  <si>
    <t>FINCABLES</t>
  </si>
  <si>
    <t>BOM:539957</t>
  </si>
  <si>
    <t>GALAXYSURF</t>
  </si>
  <si>
    <t>BOM:530999</t>
  </si>
  <si>
    <t>SONATSOFTW</t>
  </si>
  <si>
    <t>BOM:532482</t>
  </si>
  <si>
    <t>BOM:543277</t>
  </si>
  <si>
    <t>BOM:500209</t>
  </si>
  <si>
    <t>BOM:543398</t>
  </si>
  <si>
    <t>BOM:532174</t>
  </si>
  <si>
    <t>BOM:543228</t>
  </si>
  <si>
    <t>BOM:543276</t>
  </si>
  <si>
    <t>METROPOLIS</t>
  </si>
  <si>
    <t>GMMPFAUDLR</t>
  </si>
  <si>
    <t>Logistic</t>
  </si>
  <si>
    <t>BOM:540212</t>
  </si>
  <si>
    <t>Ceramics</t>
  </si>
  <si>
    <t>BOM:532443</t>
  </si>
  <si>
    <t>BOM:542907</t>
  </si>
  <si>
    <t>BOM:522205</t>
  </si>
  <si>
    <t>BOM:543428</t>
  </si>
  <si>
    <t>BOM:540902</t>
  </si>
  <si>
    <t>GARFIBRES</t>
  </si>
  <si>
    <t>BOM:543425</t>
  </si>
  <si>
    <t>BOM:502219</t>
  </si>
  <si>
    <t>ORIENTELEC</t>
  </si>
  <si>
    <t>BOM:524226</t>
  </si>
  <si>
    <t>AVANTIFEED</t>
  </si>
  <si>
    <t>BOM:543270</t>
  </si>
  <si>
    <t>BOM:523704</t>
  </si>
  <si>
    <t>BOM:532156</t>
  </si>
  <si>
    <t>packaging</t>
  </si>
  <si>
    <t>BOM:524051</t>
  </si>
  <si>
    <t>BOM:504067</t>
  </si>
  <si>
    <t>BOM:539542</t>
  </si>
  <si>
    <t>BOM:500292</t>
  </si>
  <si>
    <t>BOM:524348</t>
  </si>
  <si>
    <t>BOM:543213</t>
  </si>
  <si>
    <t>BOM:590021</t>
  </si>
  <si>
    <t>BOM:507717</t>
  </si>
  <si>
    <t>Kitchen Appliances</t>
  </si>
  <si>
    <t>BOM:542905</t>
  </si>
  <si>
    <t>BOM:533138</t>
  </si>
  <si>
    <t>BOM:533080</t>
  </si>
  <si>
    <t>BOM:508486</t>
  </si>
  <si>
    <t>BOM:542665</t>
  </si>
  <si>
    <t>ADVENZYMES</t>
  </si>
  <si>
    <t>THYROCARE</t>
  </si>
  <si>
    <t>BOM:540900</t>
  </si>
  <si>
    <t>BOM:507685</t>
  </si>
  <si>
    <t>BOM:532630</t>
  </si>
  <si>
    <t>BOM:543367</t>
  </si>
  <si>
    <t>BOM:531761</t>
  </si>
  <si>
    <t>BOM:500052</t>
  </si>
  <si>
    <t>BOM:543266</t>
  </si>
  <si>
    <t>BOM:526729</t>
  </si>
  <si>
    <t>kitchen</t>
  </si>
  <si>
    <t>BOM:543260</t>
  </si>
  <si>
    <t>BOM:543328</t>
  </si>
  <si>
    <t>CHEMCON</t>
  </si>
  <si>
    <t>DRREDDY</t>
  </si>
  <si>
    <t>Stock Industry &amp; NSE/BSE Code</t>
  </si>
  <si>
    <t>Stock</t>
  </si>
  <si>
    <t>HCLTECH</t>
  </si>
  <si>
    <t>DMART</t>
  </si>
  <si>
    <t>BOM:543384</t>
  </si>
  <si>
    <t>BOM:543320</t>
  </si>
  <si>
    <t>BOM:500459</t>
  </si>
  <si>
    <t>BOM:543396</t>
  </si>
  <si>
    <t>ASHOKLEY</t>
  </si>
  <si>
    <t>BOM:500251</t>
  </si>
  <si>
    <t>BOM:543390</t>
  </si>
  <si>
    <t>RELAXO</t>
  </si>
  <si>
    <t>BOM:539437</t>
  </si>
  <si>
    <t>BOM:532497</t>
  </si>
  <si>
    <t>BOM:532400</t>
  </si>
  <si>
    <t>BOM:543427</t>
  </si>
  <si>
    <t>BOM:532374</t>
  </si>
  <si>
    <t>BOM:512529</t>
  </si>
  <si>
    <t>TASTYBITE</t>
  </si>
  <si>
    <t>BOM:500570</t>
  </si>
  <si>
    <t>BOM:500655</t>
  </si>
  <si>
    <t>BOM:543264</t>
  </si>
  <si>
    <t>Telecom and oil</t>
  </si>
  <si>
    <t>RELIANCE</t>
  </si>
  <si>
    <t>BOM:524091</t>
  </si>
  <si>
    <t>BOM:543336</t>
  </si>
  <si>
    <t>BO:524742</t>
  </si>
  <si>
    <t>BOM:519126</t>
  </si>
  <si>
    <t>BOM:541540</t>
  </si>
  <si>
    <t>BOM:532348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</si>
</sst>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Poppins"/>
    </font>
    <font>
      <sz val="12.0"/>
      <color rgb="FFFFFFFF"/>
      <name val="Poppins"/>
    </font>
    <font>
      <sz val="12.0"/>
      <color theme="1"/>
      <name val="Poppins"/>
    </font>
    <font>
      <sz val="12.0"/>
      <color rgb="FF000000"/>
      <name val="Poppins"/>
    </font>
    <font>
      <color theme="1"/>
      <name val="Arial"/>
      <scheme val="minor"/>
    </font>
    <font>
      <b/>
      <sz val="18.0"/>
      <color theme="1"/>
      <name val="Poppins"/>
    </font>
    <font/>
  </fonts>
  <fills count="1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D966"/>
        <bgColor rgb="FFFFD966"/>
      </patternFill>
    </fill>
    <fill>
      <patternFill patternType="solid">
        <fgColor rgb="FF666666"/>
        <bgColor rgb="FF666666"/>
      </patternFill>
    </fill>
    <fill>
      <patternFill patternType="solid">
        <fgColor rgb="FFE0FFCC"/>
        <bgColor rgb="FFE0FFCC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8DFF8A"/>
        <bgColor rgb="FF8DFF8A"/>
      </patternFill>
    </fill>
    <fill>
      <patternFill patternType="solid">
        <fgColor theme="5"/>
        <bgColor theme="5"/>
      </patternFill>
    </fill>
    <fill>
      <patternFill patternType="solid">
        <fgColor rgb="FF57FF53"/>
        <bgColor rgb="FF57FF53"/>
      </patternFill>
    </fill>
    <fill>
      <patternFill patternType="solid">
        <fgColor rgb="FF63D297"/>
        <bgColor rgb="FF63D297"/>
      </patternFill>
    </fill>
    <fill>
      <patternFill patternType="solid">
        <fgColor rgb="FFF3F3F3"/>
        <bgColor rgb="FFF3F3F3"/>
      </patternFill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10" xfId="0" applyAlignment="1" applyBorder="1" applyFont="1" applyNumberFormat="1">
      <alignment horizontal="left" shrinkToFit="0" vertical="center" wrapText="1"/>
    </xf>
    <xf borderId="0" fillId="0" fontId="1" numFmtId="10" xfId="0" applyAlignment="1" applyFont="1" applyNumberFormat="1">
      <alignment horizontal="left" shrinkToFit="0" vertical="center" wrapText="1"/>
    </xf>
    <xf borderId="3" fillId="2" fontId="2" numFmtId="0" xfId="0" applyAlignment="1" applyBorder="1" applyFill="1" applyFont="1">
      <alignment horizontal="left" shrinkToFit="0" vertical="center" wrapText="1"/>
    </xf>
    <xf borderId="4" fillId="0" fontId="3" numFmtId="2" xfId="0" applyAlignment="1" applyBorder="1" applyFont="1" applyNumberFormat="1">
      <alignment horizontal="left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10" xfId="0" applyAlignment="1" applyBorder="1" applyFont="1" applyNumberFormat="1">
      <alignment horizontal="left" shrinkToFit="0" vertical="center" wrapText="1"/>
    </xf>
    <xf borderId="0" fillId="0" fontId="3" numFmtId="10" xfId="0" applyAlignment="1" applyFont="1" applyNumberForma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4" fillId="0" fontId="3" numFmtId="2" xfId="0" applyAlignment="1" applyBorder="1" applyFont="1" applyNumberFormat="1">
      <alignment horizontal="left" readingOrder="0" shrinkToFit="0" vertical="center" wrapText="1"/>
    </xf>
    <xf borderId="2" fillId="0" fontId="3" numFmtId="10" xfId="0" applyAlignment="1" applyBorder="1" applyFont="1" applyNumberFormat="1">
      <alignment horizontal="left" readingOrder="0" shrinkToFit="0" vertical="center" wrapText="1"/>
    </xf>
    <xf borderId="0" fillId="0" fontId="3" numFmtId="10" xfId="0" applyAlignment="1" applyFont="1" applyNumberFormat="1">
      <alignment horizontal="left" readingOrder="0" shrinkToFit="0" vertical="center" wrapText="1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2" xfId="0" applyFont="1" applyNumberFormat="1"/>
    <xf borderId="0" fillId="0" fontId="5" numFmtId="10" xfId="0" applyFont="1" applyNumberFormat="1"/>
    <xf borderId="0" fillId="3" fontId="5" numFmtId="0" xfId="0" applyFill="1" applyFont="1"/>
    <xf borderId="0" fillId="4" fontId="5" numFmtId="0" xfId="0" applyFill="1" applyFont="1"/>
    <xf borderId="0" fillId="5" fontId="5" numFmtId="2" xfId="0" applyFill="1" applyFont="1" applyNumberFormat="1"/>
    <xf borderId="0" fillId="6" fontId="5" numFmtId="0" xfId="0" applyFill="1" applyFont="1"/>
    <xf borderId="0" fillId="7" fontId="5" numFmtId="0" xfId="0" applyFill="1" applyFont="1"/>
    <xf borderId="0" fillId="8" fontId="5" numFmtId="0" xfId="0" applyFill="1" applyFont="1"/>
    <xf borderId="0" fillId="7" fontId="5" numFmtId="10" xfId="0" applyFont="1" applyNumberFormat="1"/>
    <xf borderId="0" fillId="9" fontId="5" numFmtId="0" xfId="0" applyFill="1" applyFont="1"/>
    <xf borderId="0" fillId="10" fontId="5" numFmtId="10" xfId="0" applyFill="1" applyFont="1" applyNumberFormat="1"/>
    <xf borderId="0" fillId="10" fontId="5" numFmtId="0" xfId="0" applyFont="1"/>
    <xf borderId="5" fillId="11" fontId="6" numFmtId="0" xfId="0" applyAlignment="1" applyBorder="1" applyFill="1" applyFont="1">
      <alignment horizontal="center" readingOrder="0" shrinkToFit="0" vertical="center" wrapText="1"/>
    </xf>
    <xf borderId="6" fillId="0" fontId="7" numFmtId="0" xfId="0" applyBorder="1" applyFont="1"/>
    <xf borderId="7" fillId="0" fontId="7" numFmtId="0" xfId="0" applyBorder="1" applyFont="1"/>
    <xf borderId="0" fillId="12" fontId="1" numFmtId="0" xfId="0" applyAlignment="1" applyFill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11">
    <dxf>
      <font/>
      <fill>
        <patternFill patternType="solid">
          <fgColor rgb="FFFF6262"/>
          <bgColor rgb="FFFF6262"/>
        </patternFill>
      </fill>
      <border/>
    </dxf>
    <dxf>
      <font/>
      <fill>
        <patternFill patternType="solid">
          <fgColor rgb="FF8DFF8A"/>
          <bgColor rgb="FF8DFF8A"/>
        </patternFill>
      </fill>
      <border/>
    </dxf>
    <dxf>
      <font>
        <color rgb="FFFFFFFF"/>
      </font>
      <fill>
        <patternFill patternType="solid">
          <fgColor rgb="FF1155CC"/>
          <bgColor rgb="FF1155CC"/>
        </patternFill>
      </fill>
      <border/>
    </dxf>
    <dxf>
      <font/>
      <fill>
        <patternFill patternType="solid">
          <fgColor rgb="FF7EFFCB"/>
          <bgColor rgb="FF7EFFCB"/>
        </patternFill>
      </fill>
      <border/>
    </dxf>
    <dxf>
      <font/>
      <fill>
        <patternFill patternType="solid">
          <fgColor rgb="FFFF7A7A"/>
          <bgColor rgb="FFFF7A7A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2">
    <tableStyle count="3" pivot="0" name="Data Set-style">
      <tableStyleElement dxfId="6" type="headerRow"/>
      <tableStyleElement dxfId="7" type="firstRowStripe"/>
      <tableStyleElement dxfId="8" type="secondRowStripe"/>
    </tableStyle>
    <tableStyle count="3" pivot="0" name="NSEBSE Code-style">
      <tableStyleElement dxfId="9" type="headerRow"/>
      <tableStyleElement dxfId="7" type="firstRowStripe"/>
      <tableStyleElement dxfId="1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17" displayName="Table_1" id="1">
  <tableColumns count="10">
    <tableColumn name=" " id="1"/>
    <tableColumn name="Market cap (in Rs Cr.)" id="2"/>
    <tableColumn name="Current price" id="3"/>
    <tableColumn name="PE Ratio" id="4"/>
    <tableColumn name="52 Week High" id="5"/>
    <tableColumn name="% Below 52 week high" id="6"/>
    <tableColumn name="52 Week Low" id="7"/>
    <tableColumn name="% Above 52 Week low" id="8"/>
    <tableColumn name="Yesterday Closing Price" id="9"/>
    <tableColumn name="% Change" id="10"/>
  </tableColumns>
  <tableStyleInfo name="Data Set-style" showColumnStripes="0" showFirstColumn="1" showLastColumn="1" showRowStripes="1"/>
</table>
</file>

<file path=xl/tables/table2.xml><?xml version="1.0" encoding="utf-8"?>
<table xmlns="http://schemas.openxmlformats.org/spreadsheetml/2006/main" ref="A3:C219" displayName="Table_2" id="2">
  <tableColumns count="3">
    <tableColumn name="Stock" id="1"/>
    <tableColumn name="Industry" id="2"/>
    <tableColumn name="NSE/BSE Code" id="3"/>
  </tableColumns>
  <tableStyleInfo name="NSEBSE Cod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0.0" ySplit="1.0" topLeftCell="K2" activePane="bottomRight" state="frozen"/>
      <selection activeCell="K1" sqref="K1" pane="topRight"/>
      <selection activeCell="A2" sqref="A2" pane="bottomLeft"/>
      <selection activeCell="K2" sqref="K2" pane="bottomRight"/>
    </sheetView>
  </sheetViews>
  <sheetFormatPr customHeight="1" defaultColWidth="12.63" defaultRowHeight="15.75"/>
  <cols>
    <col customWidth="1" min="1" max="1" width="24.38"/>
    <col customWidth="1" min="2" max="2" width="17.0"/>
    <col customWidth="1" min="6" max="6" width="12.88"/>
    <col customWidth="1" min="9" max="9" width="14.75"/>
    <col customWidth="1" min="10" max="10" width="20.63"/>
    <col customWidth="1" min="11" max="11" width="28.0"/>
    <col customWidth="1" min="12" max="29" width="19.63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10</v>
      </c>
      <c r="B2" s="5">
        <v>1234544.5174748</v>
      </c>
      <c r="C2" s="6">
        <v>3374.2</v>
      </c>
      <c r="D2" s="7">
        <v>30.43</v>
      </c>
      <c r="E2" s="7">
        <v>4045.5</v>
      </c>
      <c r="F2" s="8">
        <v>0.1659374613768385</v>
      </c>
      <c r="G2" s="7">
        <v>2926.0</v>
      </c>
      <c r="H2" s="8">
        <v>0.15317840054682152</v>
      </c>
      <c r="I2" s="7">
        <v>3334.6</v>
      </c>
      <c r="J2" s="8">
        <v>0.01187548731482034</v>
      </c>
      <c r="K2" s="9"/>
      <c r="L2" s="9"/>
      <c r="M2" s="9"/>
      <c r="N2" s="9"/>
      <c r="O2" s="9"/>
      <c r="P2" s="9"/>
      <c r="Q2" s="9"/>
      <c r="R2" s="9"/>
      <c r="S2" s="9" t="str">
        <f>VLOOKUP(A2,D2:D22,2,FALSE)</f>
        <v>#REF!</v>
      </c>
      <c r="T2" s="9"/>
      <c r="U2" s="9"/>
      <c r="V2" s="9"/>
      <c r="W2" s="9"/>
      <c r="X2" s="9"/>
      <c r="Y2" s="9" t="str">
        <f>VLOOKUP(A2)</f>
        <v>#N/A</v>
      </c>
      <c r="Z2" s="9"/>
      <c r="AA2" s="9"/>
      <c r="AB2" s="9"/>
      <c r="AC2" s="9"/>
    </row>
    <row r="3">
      <c r="A3" s="4" t="s">
        <v>11</v>
      </c>
      <c r="B3" s="5">
        <v>616301.326875</v>
      </c>
      <c r="C3" s="7">
        <v>2620.6</v>
      </c>
      <c r="D3" s="7">
        <v>63.81</v>
      </c>
      <c r="E3" s="7">
        <v>2741.6</v>
      </c>
      <c r="F3" s="8">
        <v>0.0441348117887365</v>
      </c>
      <c r="G3" s="7">
        <v>1901.55</v>
      </c>
      <c r="H3" s="8">
        <v>0.37813888669769397</v>
      </c>
      <c r="I3" s="7">
        <v>2590.05</v>
      </c>
      <c r="J3" s="8">
        <v>0.011795139089978852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4" t="s">
        <v>12</v>
      </c>
      <c r="B4" s="5">
        <v>441027.3972459</v>
      </c>
      <c r="C4" s="7">
        <v>764.6</v>
      </c>
      <c r="D4" s="7">
        <v>65.86</v>
      </c>
      <c r="E4" s="7">
        <v>860.55</v>
      </c>
      <c r="F4" s="8">
        <v>0.11149846028702566</v>
      </c>
      <c r="G4" s="7">
        <v>628.75</v>
      </c>
      <c r="H4" s="8">
        <v>0.2160636182902585</v>
      </c>
      <c r="I4" s="7">
        <v>756.9</v>
      </c>
      <c r="J4" s="8">
        <v>0.010173074382349117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4" t="s">
        <v>13</v>
      </c>
      <c r="B5" s="5">
        <v>361172.6351402</v>
      </c>
      <c r="C5" s="7">
        <v>5977.0</v>
      </c>
      <c r="D5" s="7">
        <v>36.52</v>
      </c>
      <c r="E5" s="7">
        <v>8045.0</v>
      </c>
      <c r="F5" s="8">
        <v>0.25705407085146054</v>
      </c>
      <c r="G5" s="7">
        <v>5220.0</v>
      </c>
      <c r="H5" s="8">
        <v>0.1450191570881226</v>
      </c>
      <c r="I5" s="7">
        <v>5898.4</v>
      </c>
      <c r="J5" s="8">
        <v>0.013325647633256539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4" t="s">
        <v>14</v>
      </c>
      <c r="B6" s="5">
        <v>278960.0995659</v>
      </c>
      <c r="C6" s="7">
        <v>2912.0</v>
      </c>
      <c r="D6" s="7">
        <v>76.19</v>
      </c>
      <c r="E6" s="7">
        <v>3582.9</v>
      </c>
      <c r="F6" s="8">
        <v>0.18725055122945103</v>
      </c>
      <c r="G6" s="7">
        <v>2560.0</v>
      </c>
      <c r="H6" s="8">
        <v>0.1375</v>
      </c>
      <c r="I6" s="7">
        <v>2915.95</v>
      </c>
      <c r="J6" s="8">
        <v>-0.0013546185634183776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4" t="s">
        <v>15</v>
      </c>
      <c r="B7" s="5">
        <v>291770.1146186</v>
      </c>
      <c r="C7" s="7">
        <v>1077.0</v>
      </c>
      <c r="D7" s="10" t="s">
        <v>0</v>
      </c>
      <c r="E7" s="7">
        <v>1359.4</v>
      </c>
      <c r="F7" s="8">
        <v>0.20773870825364135</v>
      </c>
      <c r="G7" s="7">
        <v>877.35</v>
      </c>
      <c r="H7" s="8">
        <v>0.22756026671225849</v>
      </c>
      <c r="I7" s="7">
        <v>1071.65</v>
      </c>
      <c r="J7" s="8">
        <v>0.00499230159100444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4" t="s">
        <v>16</v>
      </c>
      <c r="B8" s="5">
        <v>255438.4185926</v>
      </c>
      <c r="C8" s="7">
        <v>8454.2</v>
      </c>
      <c r="D8" s="7">
        <v>42.1</v>
      </c>
      <c r="E8" s="7">
        <v>9769.0</v>
      </c>
      <c r="F8" s="8">
        <v>0.13458900603951268</v>
      </c>
      <c r="G8" s="7">
        <v>6536.55</v>
      </c>
      <c r="H8" s="8">
        <v>0.2933734156397489</v>
      </c>
      <c r="I8" s="7">
        <v>8369.2</v>
      </c>
      <c r="J8" s="8">
        <v>0.010156287339291688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4" t="s">
        <v>17</v>
      </c>
      <c r="B9" s="5">
        <v>250157.9350853</v>
      </c>
      <c r="C9" s="7">
        <v>3855.0</v>
      </c>
      <c r="D9" s="7">
        <v>109.05</v>
      </c>
      <c r="E9" s="7">
        <v>4609.0</v>
      </c>
      <c r="F9" s="8">
        <v>0.16359297027554784</v>
      </c>
      <c r="G9" s="7">
        <v>3186.0</v>
      </c>
      <c r="H9" s="8">
        <v>0.20998116760828625</v>
      </c>
      <c r="I9" s="7">
        <v>3911.8</v>
      </c>
      <c r="J9" s="8">
        <v>-0.014520169742829435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4" t="s">
        <v>18</v>
      </c>
      <c r="B10" s="5">
        <v>302617.166625</v>
      </c>
      <c r="C10" s="7">
        <v>2153.75</v>
      </c>
      <c r="D10" s="7">
        <v>31.53</v>
      </c>
      <c r="E10" s="7">
        <v>2210.5</v>
      </c>
      <c r="F10" s="8">
        <v>0.025672924677674736</v>
      </c>
      <c r="G10" s="7">
        <v>1456.8</v>
      </c>
      <c r="H10" s="8">
        <v>0.4784115870400879</v>
      </c>
      <c r="I10" s="7">
        <v>2160.2</v>
      </c>
      <c r="J10" s="8">
        <v>-0.0029858346449401995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4" t="s">
        <v>19</v>
      </c>
      <c r="B11" s="5">
        <v>221292.5064376</v>
      </c>
      <c r="C11" s="7">
        <v>1391.0</v>
      </c>
      <c r="D11" s="7">
        <v>40.48</v>
      </c>
      <c r="E11" s="7">
        <v>3724.2</v>
      </c>
      <c r="F11" s="8">
        <v>0.6264969657913109</v>
      </c>
      <c r="G11" s="7">
        <v>1374.35</v>
      </c>
      <c r="H11" s="8">
        <v>0.012114817913923012</v>
      </c>
      <c r="I11" s="7">
        <v>1387.8</v>
      </c>
      <c r="J11" s="8">
        <v>0.002305807753278603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4" t="s">
        <v>20</v>
      </c>
      <c r="B12" s="5">
        <v>190752.2</v>
      </c>
      <c r="C12" s="7">
        <v>19782.3</v>
      </c>
      <c r="D12" s="7">
        <v>88.1</v>
      </c>
      <c r="E12" s="7">
        <v>21050.0</v>
      </c>
      <c r="F12" s="8">
        <v>0.060223277909738755</v>
      </c>
      <c r="G12" s="7">
        <v>16000.0</v>
      </c>
      <c r="H12" s="8">
        <v>0.23639374999999996</v>
      </c>
      <c r="I12" s="7">
        <v>19873.25</v>
      </c>
      <c r="J12" s="8">
        <v>-0.004576503591511238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4" t="s">
        <v>21</v>
      </c>
      <c r="B13" s="5">
        <v>208975.8</v>
      </c>
      <c r="C13" s="7">
        <v>7244.95</v>
      </c>
      <c r="D13" s="7">
        <v>31.35</v>
      </c>
      <c r="E13" s="7">
        <v>7946.0</v>
      </c>
      <c r="F13" s="8">
        <v>0.08822678077019887</v>
      </c>
      <c r="G13" s="7">
        <v>5157.05</v>
      </c>
      <c r="H13" s="8">
        <v>0.4048632454600982</v>
      </c>
      <c r="I13" s="7">
        <v>7153.35</v>
      </c>
      <c r="J13" s="8">
        <v>0.012805189177098764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4" t="s">
        <v>22</v>
      </c>
      <c r="B14" s="5">
        <v>158785.3716893</v>
      </c>
      <c r="C14" s="7">
        <v>1327.55</v>
      </c>
      <c r="D14" s="7">
        <v>16.12</v>
      </c>
      <c r="E14" s="7">
        <v>1366.55</v>
      </c>
      <c r="F14" s="8">
        <v>0.028539021623797154</v>
      </c>
      <c r="G14" s="7">
        <v>671.15</v>
      </c>
      <c r="H14" s="8">
        <v>0.9780227966922447</v>
      </c>
      <c r="I14" s="7">
        <v>1319.9</v>
      </c>
      <c r="J14" s="8">
        <v>0.005795893628305071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4" t="s">
        <v>23</v>
      </c>
      <c r="B15" s="5">
        <v>101964.8629622</v>
      </c>
      <c r="C15" s="7">
        <v>3602.45</v>
      </c>
      <c r="D15" s="7">
        <v>17.79</v>
      </c>
      <c r="E15" s="7">
        <v>4131.75</v>
      </c>
      <c r="F15" s="8">
        <v>0.12810552429358024</v>
      </c>
      <c r="G15" s="7">
        <v>3125.0</v>
      </c>
      <c r="H15" s="8">
        <v>0.15278399999999995</v>
      </c>
      <c r="I15" s="7">
        <v>3570.3</v>
      </c>
      <c r="J15" s="8">
        <v>0.009004845531187753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4" t="s">
        <v>24</v>
      </c>
      <c r="B16" s="5">
        <v>127340.0</v>
      </c>
      <c r="C16" s="7">
        <v>2513.0</v>
      </c>
      <c r="D16" s="7">
        <v>98.38</v>
      </c>
      <c r="E16" s="7">
        <v>2918.95</v>
      </c>
      <c r="F16" s="8">
        <v>0.13907398208259814</v>
      </c>
      <c r="G16" s="7">
        <v>1988.55</v>
      </c>
      <c r="H16" s="8">
        <v>0.26373488220059843</v>
      </c>
      <c r="I16" s="7">
        <v>2495.5</v>
      </c>
      <c r="J16" s="8">
        <v>0.0070126227208976155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4" t="s">
        <v>25</v>
      </c>
      <c r="B17" s="5">
        <v>130568.986925</v>
      </c>
      <c r="C17" s="7">
        <v>1307.0</v>
      </c>
      <c r="D17" s="7">
        <v>78.07</v>
      </c>
      <c r="E17" s="7">
        <v>1340.35</v>
      </c>
      <c r="F17" s="8">
        <v>0.024881560786361705</v>
      </c>
      <c r="G17" s="7">
        <v>1003.5</v>
      </c>
      <c r="H17" s="8">
        <v>0.3024414549078226</v>
      </c>
      <c r="I17" s="7">
        <v>1315.7</v>
      </c>
      <c r="J17" s="8">
        <v>-0.006612449646576001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4" t="s">
        <v>26</v>
      </c>
      <c r="B18" s="5">
        <v>147293.6037181</v>
      </c>
      <c r="C18" s="7">
        <v>120.45</v>
      </c>
      <c r="D18" s="7">
        <v>5.13</v>
      </c>
      <c r="E18" s="7">
        <v>138.63</v>
      </c>
      <c r="F18" s="8">
        <v>0.1311404457909543</v>
      </c>
      <c r="G18" s="7">
        <v>82.71</v>
      </c>
      <c r="H18" s="8">
        <v>0.45629307217990583</v>
      </c>
      <c r="I18" s="7">
        <v>118.05</v>
      </c>
      <c r="J18" s="8">
        <v>0.020330368487928893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4" t="s">
        <v>27</v>
      </c>
      <c r="B19" s="5">
        <v>88977.11</v>
      </c>
      <c r="C19" s="7">
        <v>3352.15</v>
      </c>
      <c r="D19" s="7">
        <v>29.74</v>
      </c>
      <c r="E19" s="7">
        <v>4668.0</v>
      </c>
      <c r="F19" s="8">
        <v>0.28188731790916877</v>
      </c>
      <c r="G19" s="7">
        <v>3195.15</v>
      </c>
      <c r="H19" s="8">
        <v>0.049136973225044206</v>
      </c>
      <c r="I19" s="7">
        <v>3305.3</v>
      </c>
      <c r="J19" s="8">
        <v>0.014174205064593201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4" t="s">
        <v>28</v>
      </c>
      <c r="B20" s="5">
        <v>97631.0184537</v>
      </c>
      <c r="C20" s="7">
        <v>1002.8</v>
      </c>
      <c r="D20" s="7">
        <v>16.8</v>
      </c>
      <c r="E20" s="7">
        <v>1751.0</v>
      </c>
      <c r="F20" s="8">
        <v>0.42729868646487723</v>
      </c>
      <c r="G20" s="7">
        <v>943.7</v>
      </c>
      <c r="H20" s="8">
        <v>0.06262583448129692</v>
      </c>
      <c r="I20" s="7">
        <v>1001.55</v>
      </c>
      <c r="J20" s="8">
        <v>0.0012480654984773601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4" t="s">
        <v>29</v>
      </c>
      <c r="B21" s="5">
        <v>96383.9372552</v>
      </c>
      <c r="C21" s="7">
        <v>544.0</v>
      </c>
      <c r="D21" s="7">
        <v>55.79</v>
      </c>
      <c r="E21" s="7">
        <v>610.75</v>
      </c>
      <c r="F21" s="8">
        <v>0.10929185427752763</v>
      </c>
      <c r="G21" s="7">
        <v>482.25</v>
      </c>
      <c r="H21" s="8">
        <v>0.12804561949196475</v>
      </c>
      <c r="I21" s="7">
        <v>544.95</v>
      </c>
      <c r="J21" s="8">
        <v>-0.0017432791999266821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4" t="s">
        <v>30</v>
      </c>
      <c r="B22" s="5">
        <v>104442.9</v>
      </c>
      <c r="C22" s="7">
        <v>4328.0</v>
      </c>
      <c r="D22" s="7">
        <v>65.9</v>
      </c>
      <c r="E22" s="7">
        <v>4537.0</v>
      </c>
      <c r="F22" s="8">
        <v>0.046065682168834034</v>
      </c>
      <c r="G22" s="7">
        <v>3050.0</v>
      </c>
      <c r="H22" s="8">
        <v>0.4190163934426229</v>
      </c>
      <c r="I22" s="7">
        <v>4299.25</v>
      </c>
      <c r="J22" s="8">
        <v>0.006687212885968483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4" t="s">
        <v>31</v>
      </c>
      <c r="B23" s="5">
        <v>86543.2296232</v>
      </c>
      <c r="C23" s="7">
        <v>3164.9</v>
      </c>
      <c r="D23" s="7">
        <v>37.12</v>
      </c>
      <c r="E23" s="7">
        <v>3889.65</v>
      </c>
      <c r="F23" s="8">
        <v>0.18632781869834047</v>
      </c>
      <c r="G23" s="7">
        <v>2159.55</v>
      </c>
      <c r="H23" s="8">
        <v>0.4655368016484915</v>
      </c>
      <c r="I23" s="7">
        <v>3103.25</v>
      </c>
      <c r="J23" s="8">
        <v>0.019866269233867747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4" t="s">
        <v>32</v>
      </c>
      <c r="B24" s="5">
        <v>86182.29</v>
      </c>
      <c r="C24" s="7">
        <v>1068.85</v>
      </c>
      <c r="D24" s="7">
        <v>33.64</v>
      </c>
      <c r="E24" s="7">
        <v>1185.25</v>
      </c>
      <c r="F24" s="8">
        <v>0.09820712929761662</v>
      </c>
      <c r="G24" s="7">
        <v>860.0</v>
      </c>
      <c r="H24" s="8">
        <v>0.24284883720930223</v>
      </c>
      <c r="I24" s="7">
        <v>1061.15</v>
      </c>
      <c r="J24" s="8">
        <v>0.007256278565706844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4" t="s">
        <v>33</v>
      </c>
      <c r="B25" s="5">
        <v>102995.3567038</v>
      </c>
      <c r="C25" s="7">
        <v>518.7</v>
      </c>
      <c r="D25" s="7">
        <v>57.36</v>
      </c>
      <c r="E25" s="7">
        <v>598.15</v>
      </c>
      <c r="F25" s="8">
        <v>0.13282621416032755</v>
      </c>
      <c r="G25" s="7">
        <v>274.0</v>
      </c>
      <c r="H25" s="8">
        <v>0.8930656934306571</v>
      </c>
      <c r="I25" s="7">
        <v>510.4</v>
      </c>
      <c r="J25" s="8">
        <v>0.01626175548589355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4" t="s">
        <v>34</v>
      </c>
      <c r="B26" s="5">
        <v>74336.7630665</v>
      </c>
      <c r="C26" s="7">
        <v>786.05</v>
      </c>
      <c r="D26" s="7">
        <v>35.28</v>
      </c>
      <c r="E26" s="7">
        <v>1028.65</v>
      </c>
      <c r="F26" s="8">
        <v>0.2358430953191077</v>
      </c>
      <c r="G26" s="7">
        <v>655.7</v>
      </c>
      <c r="H26" s="8">
        <v>0.1987951807228914</v>
      </c>
      <c r="I26" s="7">
        <v>780.25</v>
      </c>
      <c r="J26" s="8">
        <v>0.007433514899070752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4" t="s">
        <v>35</v>
      </c>
      <c r="B27" s="5">
        <v>126813.4</v>
      </c>
      <c r="C27" s="7">
        <v>4289.8</v>
      </c>
      <c r="D27" s="7">
        <v>34.73</v>
      </c>
      <c r="E27" s="7">
        <v>4293.25</v>
      </c>
      <c r="F27" s="8">
        <v>8.035870261456514E-4</v>
      </c>
      <c r="G27" s="7">
        <v>4147.45</v>
      </c>
      <c r="H27" s="8">
        <v>0.03432229442187377</v>
      </c>
      <c r="I27" s="7">
        <v>4279.2</v>
      </c>
      <c r="J27" s="8">
        <v>0.0024770985230885127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4" t="s">
        <v>36</v>
      </c>
      <c r="B28" s="5">
        <v>73418.66784</v>
      </c>
      <c r="C28" s="7">
        <v>1167.55</v>
      </c>
      <c r="D28" s="7">
        <v>67.24</v>
      </c>
      <c r="E28" s="7">
        <v>1405.55</v>
      </c>
      <c r="F28" s="8">
        <v>0.16932873252463448</v>
      </c>
      <c r="G28" s="7">
        <v>1024.5</v>
      </c>
      <c r="H28" s="8">
        <v>0.1396290873596876</v>
      </c>
      <c r="I28" s="7">
        <v>1192.6</v>
      </c>
      <c r="J28" s="8">
        <v>-0.021004527922186784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4" t="s">
        <v>37</v>
      </c>
      <c r="B29" s="5">
        <v>42070.7692196</v>
      </c>
      <c r="C29" s="7">
        <v>147.6</v>
      </c>
      <c r="D29" s="7">
        <v>918.2</v>
      </c>
      <c r="E29" s="7">
        <v>348.0</v>
      </c>
      <c r="F29" s="8">
        <v>0.5758620689655173</v>
      </c>
      <c r="G29" s="7">
        <v>139.35</v>
      </c>
      <c r="H29" s="8">
        <v>0.059203444564047365</v>
      </c>
      <c r="I29" s="7">
        <v>149.75</v>
      </c>
      <c r="J29" s="8">
        <v>-0.014357262103505882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4" t="s">
        <v>38</v>
      </c>
      <c r="B30" s="5">
        <v>69898.9623697</v>
      </c>
      <c r="C30" s="7">
        <v>752.8</v>
      </c>
      <c r="D30" s="7">
        <v>65.04</v>
      </c>
      <c r="E30" s="7">
        <v>861.15</v>
      </c>
      <c r="F30" s="8">
        <v>0.12582012425245315</v>
      </c>
      <c r="G30" s="7">
        <v>650.2</v>
      </c>
      <c r="H30" s="8">
        <v>0.15779760073823423</v>
      </c>
      <c r="I30" s="7">
        <v>754.25</v>
      </c>
      <c r="J30" s="8">
        <v>-0.0019224395094465303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4" t="s">
        <v>39</v>
      </c>
      <c r="B31" s="5">
        <v>66015.7769553</v>
      </c>
      <c r="C31" s="7">
        <v>206.55</v>
      </c>
      <c r="D31" s="7">
        <v>25.89</v>
      </c>
      <c r="E31" s="7">
        <v>298.0</v>
      </c>
      <c r="F31" s="8">
        <v>0.30687919463087243</v>
      </c>
      <c r="G31" s="7">
        <v>190.0</v>
      </c>
      <c r="H31" s="8">
        <v>0.0871052631578948</v>
      </c>
      <c r="I31" s="7">
        <v>205.65</v>
      </c>
      <c r="J31" s="8">
        <v>0.0043763676148796775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4" t="s">
        <v>40</v>
      </c>
      <c r="B32" s="5">
        <v>64133.35</v>
      </c>
      <c r="C32" s="7">
        <v>497.5</v>
      </c>
      <c r="D32" s="7">
        <v>52.21</v>
      </c>
      <c r="E32" s="7">
        <v>554.35</v>
      </c>
      <c r="F32" s="8">
        <v>0.10255253900965097</v>
      </c>
      <c r="G32" s="7">
        <v>455.65</v>
      </c>
      <c r="H32" s="8">
        <v>0.0918468122462417</v>
      </c>
      <c r="I32" s="7">
        <v>501.6</v>
      </c>
      <c r="J32" s="8">
        <v>-0.008173843700159535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4" t="s">
        <v>41</v>
      </c>
      <c r="B33" s="5">
        <v>54643.2617004</v>
      </c>
      <c r="C33" s="7">
        <v>564.0</v>
      </c>
      <c r="D33" s="7">
        <v>57.95</v>
      </c>
      <c r="E33" s="7">
        <v>793.05</v>
      </c>
      <c r="F33" s="8">
        <v>0.2888216379799508</v>
      </c>
      <c r="G33" s="7">
        <v>543.6</v>
      </c>
      <c r="H33" s="8">
        <v>0.0375275938189845</v>
      </c>
      <c r="I33" s="7">
        <v>561.95</v>
      </c>
      <c r="J33" s="8">
        <v>0.0036480113889135234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4" t="s">
        <v>42</v>
      </c>
      <c r="B34" s="5">
        <v>52280.0813339</v>
      </c>
      <c r="C34" s="7">
        <v>77.15</v>
      </c>
      <c r="D34" s="7">
        <v>67.22</v>
      </c>
      <c r="E34" s="7">
        <v>165.03</v>
      </c>
      <c r="F34" s="8">
        <v>0.5325092407441071</v>
      </c>
      <c r="G34" s="7">
        <v>61.85</v>
      </c>
      <c r="H34" s="8">
        <v>0.2473726758286177</v>
      </c>
      <c r="I34" s="7">
        <v>78.15</v>
      </c>
      <c r="J34" s="8">
        <v>-0.012795905310300703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4" t="s">
        <v>43</v>
      </c>
      <c r="B35" s="5">
        <v>54522.74</v>
      </c>
      <c r="C35" s="7">
        <v>2732.0</v>
      </c>
      <c r="D35" s="7">
        <v>21.06</v>
      </c>
      <c r="E35" s="7">
        <v>2938.6</v>
      </c>
      <c r="F35" s="8">
        <v>0.07030558769482063</v>
      </c>
      <c r="G35" s="7">
        <v>2146.85</v>
      </c>
      <c r="H35" s="8">
        <v>0.27256212590539636</v>
      </c>
      <c r="I35" s="7">
        <v>2694.25</v>
      </c>
      <c r="J35" s="8">
        <v>0.014011320404565278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4" t="s">
        <v>44</v>
      </c>
      <c r="B36" s="5">
        <v>44392.395</v>
      </c>
      <c r="C36" s="7">
        <v>53.25</v>
      </c>
      <c r="D36" s="10" t="s">
        <v>0</v>
      </c>
      <c r="E36" s="7">
        <v>135.35</v>
      </c>
      <c r="F36" s="8">
        <v>0.606575544883635</v>
      </c>
      <c r="G36" s="7">
        <v>40.55</v>
      </c>
      <c r="H36" s="8">
        <v>0.3131935881627621</v>
      </c>
      <c r="I36" s="7">
        <v>53.75</v>
      </c>
      <c r="J36" s="8">
        <v>-0.009302325581395349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4" t="s">
        <v>45</v>
      </c>
      <c r="B37" s="5">
        <v>48135.11</v>
      </c>
      <c r="C37" s="7">
        <v>3731.8</v>
      </c>
      <c r="D37" s="7">
        <v>8.76</v>
      </c>
      <c r="E37" s="7">
        <v>5790.0</v>
      </c>
      <c r="F37" s="8">
        <v>0.35547495682210706</v>
      </c>
      <c r="G37" s="7">
        <v>3314.0</v>
      </c>
      <c r="H37" s="8">
        <v>0.12607121303560656</v>
      </c>
      <c r="I37" s="7">
        <v>3719.3</v>
      </c>
      <c r="J37" s="8">
        <v>0.0033608474712983625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4" t="s">
        <v>46</v>
      </c>
      <c r="B38" s="5">
        <v>38754.622389</v>
      </c>
      <c r="C38" s="7">
        <v>6223.0</v>
      </c>
      <c r="D38" s="7">
        <v>57.85</v>
      </c>
      <c r="E38" s="7">
        <v>10760.0</v>
      </c>
      <c r="F38" s="8">
        <v>0.4216542750929368</v>
      </c>
      <c r="G38" s="7">
        <v>5709.05</v>
      </c>
      <c r="H38" s="8">
        <v>0.09002373424650333</v>
      </c>
      <c r="I38" s="7">
        <v>6196.65</v>
      </c>
      <c r="J38" s="8">
        <v>0.004252297612419673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4" t="s">
        <v>47</v>
      </c>
      <c r="B39" s="5">
        <v>53833.6605806</v>
      </c>
      <c r="C39" s="7">
        <v>718.45</v>
      </c>
      <c r="D39" s="7">
        <v>13.58</v>
      </c>
      <c r="E39" s="7">
        <v>848.0</v>
      </c>
      <c r="F39" s="8">
        <v>0.15277122641509427</v>
      </c>
      <c r="G39" s="7">
        <v>607.8</v>
      </c>
      <c r="H39" s="8">
        <v>0.18205001645278068</v>
      </c>
      <c r="I39" s="7">
        <v>719.05</v>
      </c>
      <c r="J39" s="8">
        <v>-8.344343230650289E-4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4" t="s">
        <v>48</v>
      </c>
      <c r="B40" s="5">
        <v>51348.0038553</v>
      </c>
      <c r="C40" s="7">
        <v>641.0</v>
      </c>
      <c r="D40" s="7">
        <v>57.32</v>
      </c>
      <c r="E40" s="7">
        <v>918.65</v>
      </c>
      <c r="F40" s="8">
        <v>0.3022369781744952</v>
      </c>
      <c r="G40" s="7">
        <v>557.0</v>
      </c>
      <c r="H40" s="8">
        <v>0.15080789946140036</v>
      </c>
      <c r="I40" s="7">
        <v>640.65</v>
      </c>
      <c r="J40" s="8">
        <v>5.463201436041876E-4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4" t="s">
        <v>49</v>
      </c>
      <c r="B41" s="5">
        <v>38329.8286</v>
      </c>
      <c r="C41" s="7">
        <v>237.75</v>
      </c>
      <c r="D41" s="7">
        <v>9.94</v>
      </c>
      <c r="E41" s="7">
        <v>349.55</v>
      </c>
      <c r="F41" s="8">
        <v>0.319839794020884</v>
      </c>
      <c r="G41" s="7">
        <v>209.55</v>
      </c>
      <c r="H41" s="8">
        <v>0.1345740873299928</v>
      </c>
      <c r="I41" s="7">
        <v>239.25</v>
      </c>
      <c r="J41" s="8">
        <v>-0.006269592476489028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4" t="s">
        <v>50</v>
      </c>
      <c r="B42" s="5">
        <v>44894.62</v>
      </c>
      <c r="C42" s="7">
        <v>40260.0</v>
      </c>
      <c r="D42" s="7">
        <v>61.16</v>
      </c>
      <c r="E42" s="7">
        <v>54349.1</v>
      </c>
      <c r="F42" s="8">
        <v>0.2592333635699579</v>
      </c>
      <c r="G42" s="7">
        <v>37825.0</v>
      </c>
      <c r="H42" s="8">
        <v>0.06437541308658294</v>
      </c>
      <c r="I42" s="7">
        <v>40639.05</v>
      </c>
      <c r="J42" s="8">
        <v>-0.009327235749851507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4" t="s">
        <v>51</v>
      </c>
      <c r="B43" s="5">
        <v>45155.21625</v>
      </c>
      <c r="C43" s="7">
        <v>13875.0</v>
      </c>
      <c r="D43" s="7"/>
      <c r="E43" s="7">
        <v>16466.4</v>
      </c>
      <c r="F43" s="8">
        <v>0.1573750182189186</v>
      </c>
      <c r="G43" s="7">
        <v>12751.0</v>
      </c>
      <c r="H43" s="8">
        <v>0.088149949023606</v>
      </c>
      <c r="I43" s="7">
        <v>13925.15</v>
      </c>
      <c r="J43" s="8">
        <v>-0.0036013974714814304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4" t="s">
        <v>52</v>
      </c>
      <c r="B44" s="5">
        <v>38348.8672779</v>
      </c>
      <c r="C44" s="7">
        <v>2035.55</v>
      </c>
      <c r="D44" s="7">
        <v>24.59</v>
      </c>
      <c r="E44" s="7">
        <v>3466.4</v>
      </c>
      <c r="F44" s="8">
        <v>0.41277694438033696</v>
      </c>
      <c r="G44" s="7">
        <v>1897.35</v>
      </c>
      <c r="H44" s="8">
        <v>0.07283843255066279</v>
      </c>
      <c r="I44" s="7">
        <v>2013.55</v>
      </c>
      <c r="J44" s="8">
        <v>0.010925976509150505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4" t="s">
        <v>53</v>
      </c>
      <c r="B45" s="5">
        <v>36419.923269</v>
      </c>
      <c r="C45" s="7">
        <v>559.9</v>
      </c>
      <c r="D45" s="10" t="s">
        <v>0</v>
      </c>
      <c r="E45" s="7">
        <v>1147.4</v>
      </c>
      <c r="F45" s="8">
        <v>0.5120271919121493</v>
      </c>
      <c r="G45" s="7">
        <v>439.6</v>
      </c>
      <c r="H45" s="8">
        <v>0.2736578707916286</v>
      </c>
      <c r="I45" s="7">
        <v>542.25</v>
      </c>
      <c r="J45" s="8">
        <v>0.032549562010142884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4" t="s">
        <v>54</v>
      </c>
      <c r="B46" s="5">
        <v>43195.8704177</v>
      </c>
      <c r="C46" s="7">
        <v>2229.0</v>
      </c>
      <c r="D46" s="7">
        <v>30.72</v>
      </c>
      <c r="E46" s="7">
        <v>2537.45</v>
      </c>
      <c r="F46" s="8">
        <v>0.12155904549843341</v>
      </c>
      <c r="G46" s="7">
        <v>1690.55</v>
      </c>
      <c r="H46" s="8">
        <v>0.31850581171807996</v>
      </c>
      <c r="I46" s="7">
        <v>2214.25</v>
      </c>
      <c r="J46" s="8">
        <v>0.0066613977644800725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4" t="s">
        <v>55</v>
      </c>
      <c r="B47" s="5">
        <v>43190.429962</v>
      </c>
      <c r="C47" s="7">
        <v>146.95</v>
      </c>
      <c r="D47" s="7">
        <v>227.06</v>
      </c>
      <c r="E47" s="7">
        <v>169.45</v>
      </c>
      <c r="F47" s="8">
        <v>0.13278253172027146</v>
      </c>
      <c r="G47" s="7">
        <v>93.2</v>
      </c>
      <c r="H47" s="8">
        <v>0.5767167381974247</v>
      </c>
      <c r="I47" s="7">
        <v>146.8</v>
      </c>
      <c r="J47" s="8">
        <v>0.0010217983651224609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4" t="s">
        <v>56</v>
      </c>
      <c r="B48" s="5">
        <v>42774.19916</v>
      </c>
      <c r="C48" s="7">
        <v>1065.5</v>
      </c>
      <c r="D48" s="7">
        <v>11.41</v>
      </c>
      <c r="E48" s="7">
        <v>1526.4</v>
      </c>
      <c r="F48" s="8">
        <v>0.3019523060796646</v>
      </c>
      <c r="G48" s="7">
        <v>950.2</v>
      </c>
      <c r="H48" s="8">
        <v>0.1213428751841717</v>
      </c>
      <c r="I48" s="7">
        <v>1063.3</v>
      </c>
      <c r="J48" s="8">
        <v>0.0020690303771278523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4" t="s">
        <v>57</v>
      </c>
      <c r="B49" s="5">
        <v>42833.63</v>
      </c>
      <c r="C49" s="7">
        <v>1625.0</v>
      </c>
      <c r="D49" s="7">
        <v>78.07</v>
      </c>
      <c r="E49" s="7">
        <v>1806.45</v>
      </c>
      <c r="F49" s="8">
        <v>0.10044562539787984</v>
      </c>
      <c r="G49" s="7">
        <v>1274.5</v>
      </c>
      <c r="H49" s="8">
        <v>0.2750098077677521</v>
      </c>
      <c r="I49" s="7">
        <v>1644.15</v>
      </c>
      <c r="J49" s="8">
        <v>-0.011647355776541125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4" t="s">
        <v>58</v>
      </c>
      <c r="B50" s="5">
        <v>45934.43</v>
      </c>
      <c r="C50" s="7">
        <v>2148.0</v>
      </c>
      <c r="D50" s="7">
        <v>33.2</v>
      </c>
      <c r="E50" s="7">
        <v>2507.35</v>
      </c>
      <c r="F50" s="8">
        <v>0.14331864318902424</v>
      </c>
      <c r="G50" s="7">
        <v>1690.0</v>
      </c>
      <c r="H50" s="8">
        <v>0.2710059171597633</v>
      </c>
      <c r="I50" s="7">
        <v>2150.75</v>
      </c>
      <c r="J50" s="8">
        <v>-0.0012786237359060793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4" t="s">
        <v>59</v>
      </c>
      <c r="B51" s="5">
        <v>49475.63474</v>
      </c>
      <c r="C51" s="7">
        <v>3262.0</v>
      </c>
      <c r="D51" s="7">
        <v>48.33</v>
      </c>
      <c r="E51" s="7">
        <v>3698.45</v>
      </c>
      <c r="F51" s="8">
        <v>0.11800889561843471</v>
      </c>
      <c r="G51" s="7">
        <v>2333.55</v>
      </c>
      <c r="H51" s="8">
        <v>0.39787019776735005</v>
      </c>
      <c r="I51" s="7">
        <v>3292.65</v>
      </c>
      <c r="J51" s="8">
        <v>-0.009308611604634592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4" t="s">
        <v>60</v>
      </c>
      <c r="B52" s="5">
        <v>47610.86</v>
      </c>
      <c r="C52" s="7">
        <v>999.5</v>
      </c>
      <c r="D52" s="7">
        <v>39.03</v>
      </c>
      <c r="E52" s="7">
        <v>1177.0</v>
      </c>
      <c r="F52" s="8">
        <v>0.1508071367884452</v>
      </c>
      <c r="G52" s="7">
        <v>513.0</v>
      </c>
      <c r="H52" s="8">
        <v>0.9483430799220273</v>
      </c>
      <c r="I52" s="7">
        <v>1005.2</v>
      </c>
      <c r="J52" s="8">
        <v>-0.005670513330680507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4" t="s">
        <v>61</v>
      </c>
      <c r="B53" s="5">
        <v>42896.5939675</v>
      </c>
      <c r="C53" s="7">
        <v>1205.75</v>
      </c>
      <c r="D53" s="7">
        <v>117.93</v>
      </c>
      <c r="E53" s="7">
        <v>1571.0</v>
      </c>
      <c r="F53" s="8">
        <v>0.23249522597071928</v>
      </c>
      <c r="G53" s="7">
        <v>983.7</v>
      </c>
      <c r="H53" s="8">
        <v>0.22572938904137435</v>
      </c>
      <c r="I53" s="7">
        <v>1208.55</v>
      </c>
      <c r="J53" s="8">
        <v>-0.0023168259484505852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4" t="s">
        <v>62</v>
      </c>
      <c r="B54" s="5">
        <v>24962.9162175</v>
      </c>
      <c r="C54" s="7">
        <v>426.0</v>
      </c>
      <c r="D54" s="7">
        <v>69.24</v>
      </c>
      <c r="E54" s="7">
        <v>795.0</v>
      </c>
      <c r="F54" s="8">
        <v>0.4641509433962264</v>
      </c>
      <c r="G54" s="7">
        <v>397.35</v>
      </c>
      <c r="H54" s="8">
        <v>0.07210268025670058</v>
      </c>
      <c r="I54" s="7">
        <v>428.65</v>
      </c>
      <c r="J54" s="8">
        <v>-0.006182199930012778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4" t="s">
        <v>63</v>
      </c>
      <c r="B55" s="5">
        <v>41248.67</v>
      </c>
      <c r="C55" s="7">
        <v>2046.5</v>
      </c>
      <c r="D55" s="7">
        <v>96.08</v>
      </c>
      <c r="E55" s="7">
        <v>2654.8</v>
      </c>
      <c r="F55" s="8">
        <v>0.22913213801416307</v>
      </c>
      <c r="G55" s="7">
        <v>1581.55</v>
      </c>
      <c r="H55" s="8">
        <v>0.2939837501185546</v>
      </c>
      <c r="I55" s="7">
        <v>2063.75</v>
      </c>
      <c r="J55" s="8">
        <v>-0.008358570563294972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4" t="s">
        <v>64</v>
      </c>
      <c r="B56" s="5">
        <v>39945.4022299</v>
      </c>
      <c r="C56" s="7">
        <v>2662.0</v>
      </c>
      <c r="D56" s="7">
        <v>35.5</v>
      </c>
      <c r="E56" s="7">
        <v>3025.0</v>
      </c>
      <c r="F56" s="8">
        <v>0.12</v>
      </c>
      <c r="G56" s="7">
        <v>2043.85</v>
      </c>
      <c r="H56" s="8">
        <v>0.3024439171172053</v>
      </c>
      <c r="I56" s="7">
        <v>2677.05</v>
      </c>
      <c r="J56" s="8">
        <v>-0.005621859883080324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4" t="s">
        <v>65</v>
      </c>
      <c r="B57" s="5">
        <v>25505.6859247</v>
      </c>
      <c r="C57" s="7">
        <v>435.3</v>
      </c>
      <c r="D57" s="7">
        <v>12.08</v>
      </c>
      <c r="E57" s="7">
        <v>727.95</v>
      </c>
      <c r="F57" s="8">
        <v>0.40201936946218836</v>
      </c>
      <c r="G57" s="7">
        <v>429.2</v>
      </c>
      <c r="H57" s="8">
        <v>0.014212488350419439</v>
      </c>
      <c r="I57" s="7">
        <v>446.35</v>
      </c>
      <c r="J57" s="8">
        <v>-0.02475635711885294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4" t="s">
        <v>66</v>
      </c>
      <c r="B58" s="5">
        <v>35109.687833</v>
      </c>
      <c r="C58" s="7">
        <v>39710.0</v>
      </c>
      <c r="D58" s="7">
        <v>91.84</v>
      </c>
      <c r="E58" s="7">
        <v>46397.7</v>
      </c>
      <c r="F58" s="8">
        <v>0.14413861031904593</v>
      </c>
      <c r="G58" s="7">
        <v>30185.35</v>
      </c>
      <c r="H58" s="8">
        <v>0.3155388292665151</v>
      </c>
      <c r="I58" s="7">
        <v>39677.1</v>
      </c>
      <c r="J58" s="8">
        <v>8.291936658677538E-4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4" t="s">
        <v>67</v>
      </c>
      <c r="B59" s="5">
        <v>38048.54</v>
      </c>
      <c r="C59" s="7">
        <v>89700.0</v>
      </c>
      <c r="D59" s="7">
        <v>66.97</v>
      </c>
      <c r="E59" s="7">
        <v>95954.35</v>
      </c>
      <c r="F59" s="8">
        <v>0.06518047383990414</v>
      </c>
      <c r="G59" s="7">
        <v>62944.5</v>
      </c>
      <c r="H59" s="8">
        <v>0.42506493815980745</v>
      </c>
      <c r="I59" s="7">
        <v>89498.35</v>
      </c>
      <c r="J59" s="8">
        <v>0.00225311416355714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4" t="s">
        <v>68</v>
      </c>
      <c r="B60" s="5">
        <v>30664.6275</v>
      </c>
      <c r="C60" s="7">
        <v>2793.5</v>
      </c>
      <c r="D60" s="7">
        <v>28.23</v>
      </c>
      <c r="E60" s="7">
        <v>4172.95</v>
      </c>
      <c r="F60" s="8">
        <v>0.33056950119220213</v>
      </c>
      <c r="G60" s="7">
        <v>2105.15</v>
      </c>
      <c r="H60" s="8">
        <v>0.32698382538061416</v>
      </c>
      <c r="I60" s="7">
        <v>2841.6</v>
      </c>
      <c r="J60" s="8">
        <v>-0.0169270833333333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4" t="s">
        <v>69</v>
      </c>
      <c r="B61" s="5">
        <v>31008.5328948</v>
      </c>
      <c r="C61" s="7">
        <v>450.2</v>
      </c>
      <c r="D61" s="7">
        <v>22.9</v>
      </c>
      <c r="E61" s="7">
        <v>721.8</v>
      </c>
      <c r="F61" s="8">
        <v>0.3762815184261568</v>
      </c>
      <c r="G61" s="7">
        <v>403.55</v>
      </c>
      <c r="H61" s="8">
        <v>0.11559905835708084</v>
      </c>
      <c r="I61" s="7">
        <v>466.8</v>
      </c>
      <c r="J61" s="8">
        <v>-0.03556126820908317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4" t="s">
        <v>70</v>
      </c>
      <c r="B62" s="5">
        <v>27569.4122639</v>
      </c>
      <c r="C62" s="7">
        <v>799.4</v>
      </c>
      <c r="D62" s="7">
        <v>88.04</v>
      </c>
      <c r="E62" s="7">
        <v>1065.0</v>
      </c>
      <c r="F62" s="8">
        <v>0.24938967136150236</v>
      </c>
      <c r="G62" s="7">
        <v>627.8</v>
      </c>
      <c r="H62" s="8">
        <v>0.2733354571519593</v>
      </c>
      <c r="I62" s="7">
        <v>796.25</v>
      </c>
      <c r="J62" s="8">
        <v>0.003956043956043927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4" t="s">
        <v>71</v>
      </c>
      <c r="B63" s="5">
        <v>25664.11</v>
      </c>
      <c r="C63" s="7">
        <v>872.0</v>
      </c>
      <c r="D63" s="7">
        <v>13.43</v>
      </c>
      <c r="E63" s="7">
        <v>1094.0</v>
      </c>
      <c r="F63" s="8">
        <v>0.20292504570383912</v>
      </c>
      <c r="G63" s="7">
        <v>729.55</v>
      </c>
      <c r="H63" s="8">
        <v>0.19525735042149278</v>
      </c>
      <c r="I63" s="7">
        <v>881.85</v>
      </c>
      <c r="J63" s="8">
        <v>-0.01116970006236891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4" t="s">
        <v>72</v>
      </c>
      <c r="B64" s="5">
        <v>20673.2633944</v>
      </c>
      <c r="C64" s="7"/>
      <c r="D64" s="10" t="s">
        <v>0</v>
      </c>
      <c r="E64" s="7">
        <v>1052.05</v>
      </c>
      <c r="F64" s="8" t="e">
        <v>#REF!</v>
      </c>
      <c r="G64" s="7">
        <v>356.2</v>
      </c>
      <c r="H64" s="8" t="e">
        <v>#REF!</v>
      </c>
      <c r="I64" s="7">
        <v>465.85</v>
      </c>
      <c r="J64" s="8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4" t="s">
        <v>73</v>
      </c>
      <c r="B65" s="5">
        <v>29162.03</v>
      </c>
      <c r="C65" s="7">
        <v>416.85</v>
      </c>
      <c r="D65" s="7">
        <v>17.03</v>
      </c>
      <c r="E65" s="7">
        <v>466.65</v>
      </c>
      <c r="F65" s="8">
        <v>0.10671809707489543</v>
      </c>
      <c r="G65" s="7">
        <v>322.1</v>
      </c>
      <c r="H65" s="8">
        <v>0.2941633033219497</v>
      </c>
      <c r="I65" s="7">
        <v>418.6</v>
      </c>
      <c r="J65" s="8">
        <v>-0.004180602006688963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4" t="s">
        <v>74</v>
      </c>
      <c r="B66" s="5">
        <v>19213.8702946</v>
      </c>
      <c r="C66" s="7">
        <v>357.4</v>
      </c>
      <c r="D66" s="7">
        <v>22.19</v>
      </c>
      <c r="E66" s="7">
        <v>626.3</v>
      </c>
      <c r="F66" s="8">
        <v>0.4293469583266805</v>
      </c>
      <c r="G66" s="7">
        <v>354.0</v>
      </c>
      <c r="H66" s="8">
        <v>0.009604519774011236</v>
      </c>
      <c r="I66" s="7">
        <v>360.4</v>
      </c>
      <c r="J66" s="8">
        <v>-0.008324084350721421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4" t="s">
        <v>75</v>
      </c>
      <c r="B67" s="5">
        <v>26525.721745</v>
      </c>
      <c r="C67" s="7">
        <v>1944.05</v>
      </c>
      <c r="D67" s="7">
        <v>28.86</v>
      </c>
      <c r="E67" s="7">
        <v>2690.05</v>
      </c>
      <c r="F67" s="8">
        <v>0.27731826545974986</v>
      </c>
      <c r="G67" s="7">
        <v>1681.15</v>
      </c>
      <c r="H67" s="8">
        <v>0.15638104868691066</v>
      </c>
      <c r="I67" s="7">
        <v>1941.8</v>
      </c>
      <c r="J67" s="8">
        <v>0.0011587187145947059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4" t="s">
        <v>76</v>
      </c>
      <c r="B68" s="5">
        <v>22202.96</v>
      </c>
      <c r="C68" s="7">
        <v>892.35</v>
      </c>
      <c r="D68" s="7">
        <v>114.44</v>
      </c>
      <c r="E68" s="7">
        <v>1369.7</v>
      </c>
      <c r="F68" s="8">
        <v>0.34850697232970723</v>
      </c>
      <c r="G68" s="7">
        <v>872.0</v>
      </c>
      <c r="H68" s="8">
        <v>0.02333715596330278</v>
      </c>
      <c r="I68" s="7">
        <v>898.2</v>
      </c>
      <c r="J68" s="8">
        <v>-0.006513026052104233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4" t="s">
        <v>77</v>
      </c>
      <c r="B69" s="5">
        <v>30617.09</v>
      </c>
      <c r="C69" s="7">
        <v>4009.0</v>
      </c>
      <c r="D69" s="7">
        <v>37.59</v>
      </c>
      <c r="E69" s="7">
        <v>4954.0</v>
      </c>
      <c r="F69" s="8">
        <v>0.19075494549858701</v>
      </c>
      <c r="G69" s="7">
        <v>3092.05</v>
      </c>
      <c r="H69" s="8">
        <v>0.296550831972316</v>
      </c>
      <c r="I69" s="7">
        <v>3978.2</v>
      </c>
      <c r="J69" s="8">
        <v>0.007742194962545921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4" t="s">
        <v>78</v>
      </c>
      <c r="B70" s="5">
        <v>25229.93</v>
      </c>
      <c r="C70" s="7">
        <v>22300.0</v>
      </c>
      <c r="D70" s="7">
        <v>68.24</v>
      </c>
      <c r="E70" s="7">
        <v>26943.0</v>
      </c>
      <c r="F70" s="8">
        <v>0.17232676390899307</v>
      </c>
      <c r="G70" s="7">
        <v>17273.0</v>
      </c>
      <c r="H70" s="8">
        <v>0.2910322468592601</v>
      </c>
      <c r="I70" s="7">
        <v>22335.4</v>
      </c>
      <c r="J70" s="8">
        <v>-0.0015849279618901588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4" t="s">
        <v>79</v>
      </c>
      <c r="B71" s="5">
        <v>22090.03</v>
      </c>
      <c r="C71" s="7">
        <v>872.85</v>
      </c>
      <c r="D71" s="7">
        <v>42.96</v>
      </c>
      <c r="E71" s="7">
        <v>1095.0</v>
      </c>
      <c r="F71" s="8">
        <v>0.2028767123287671</v>
      </c>
      <c r="G71" s="7">
        <v>830.0</v>
      </c>
      <c r="H71" s="8">
        <v>0.051626506024096415</v>
      </c>
      <c r="I71" s="7">
        <v>868.6</v>
      </c>
      <c r="J71" s="8">
        <v>0.004892931153580474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4" t="s">
        <v>80</v>
      </c>
      <c r="B72" s="5">
        <v>20286.8999472</v>
      </c>
      <c r="C72" s="7">
        <v>1580.0</v>
      </c>
      <c r="D72" s="7">
        <v>65.53</v>
      </c>
      <c r="E72" s="7">
        <v>2122.0</v>
      </c>
      <c r="F72" s="8">
        <v>0.2554194156456173</v>
      </c>
      <c r="G72" s="7">
        <v>1551.1</v>
      </c>
      <c r="H72" s="8">
        <v>0.01863193862420224</v>
      </c>
      <c r="I72" s="7">
        <v>1636.6</v>
      </c>
      <c r="J72" s="8">
        <v>-0.03458389343761451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4" t="s">
        <v>81</v>
      </c>
      <c r="B73" s="5">
        <v>23631.8479052</v>
      </c>
      <c r="C73" s="7">
        <v>3868.05</v>
      </c>
      <c r="D73" s="7">
        <v>32.39</v>
      </c>
      <c r="E73" s="7">
        <v>5862.1</v>
      </c>
      <c r="F73" s="8">
        <v>0.3401596697429249</v>
      </c>
      <c r="G73" s="7">
        <v>3210.0</v>
      </c>
      <c r="H73" s="8">
        <v>0.20500000000000004</v>
      </c>
      <c r="I73" s="7">
        <v>3902.65</v>
      </c>
      <c r="J73" s="8">
        <v>-0.008865770694271817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4" t="s">
        <v>82</v>
      </c>
      <c r="B74" s="5">
        <v>31477.05</v>
      </c>
      <c r="C74" s="7">
        <v>1136.0</v>
      </c>
      <c r="D74" s="7">
        <v>54.9</v>
      </c>
      <c r="E74" s="7">
        <v>1193.85</v>
      </c>
      <c r="F74" s="8">
        <v>0.04845667378648902</v>
      </c>
      <c r="G74" s="7">
        <v>771.0</v>
      </c>
      <c r="H74" s="8">
        <v>0.47341115434500647</v>
      </c>
      <c r="I74" s="7">
        <v>1127.95</v>
      </c>
      <c r="J74" s="8">
        <v>0.007136841172037727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4" t="s">
        <v>83</v>
      </c>
      <c r="B75" s="5">
        <v>21451.6044776</v>
      </c>
      <c r="C75" s="7">
        <v>337.35</v>
      </c>
      <c r="D75" s="7">
        <v>36.77</v>
      </c>
      <c r="E75" s="7">
        <v>451.95</v>
      </c>
      <c r="F75" s="8">
        <v>0.2535678725522734</v>
      </c>
      <c r="G75" s="7">
        <v>312.0</v>
      </c>
      <c r="H75" s="8">
        <v>0.08125000000000007</v>
      </c>
      <c r="I75" s="7">
        <v>338.0</v>
      </c>
      <c r="J75" s="8">
        <v>-0.0019230769230768557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4" t="s">
        <v>84</v>
      </c>
      <c r="B76" s="5">
        <v>31369.92</v>
      </c>
      <c r="C76" s="7">
        <v>2461.0</v>
      </c>
      <c r="D76" s="7">
        <v>36.12</v>
      </c>
      <c r="E76" s="7">
        <v>2607.65</v>
      </c>
      <c r="F76" s="8">
        <v>0.05623837554886587</v>
      </c>
      <c r="G76" s="7">
        <v>1666.25</v>
      </c>
      <c r="H76" s="8">
        <v>0.47696924231057763</v>
      </c>
      <c r="I76" s="7">
        <v>2452.7</v>
      </c>
      <c r="J76" s="8">
        <v>0.003384025767521581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4" t="s">
        <v>85</v>
      </c>
      <c r="B77" s="5">
        <v>21050.0222911</v>
      </c>
      <c r="C77" s="7">
        <v>4669.05</v>
      </c>
      <c r="D77" s="7">
        <v>29.86</v>
      </c>
      <c r="E77" s="7">
        <v>5667.75</v>
      </c>
      <c r="F77" s="8">
        <v>0.17620748974460762</v>
      </c>
      <c r="G77" s="7">
        <v>4218.05</v>
      </c>
      <c r="H77" s="8">
        <v>0.10692144474342409</v>
      </c>
      <c r="I77" s="7">
        <v>4647.55</v>
      </c>
      <c r="J77" s="8">
        <v>0.004626093317984745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4" t="s">
        <v>86</v>
      </c>
      <c r="B78" s="5">
        <v>24637.83</v>
      </c>
      <c r="C78" s="7">
        <v>493.2</v>
      </c>
      <c r="D78" s="7">
        <v>48.9</v>
      </c>
      <c r="E78" s="7">
        <v>540.8</v>
      </c>
      <c r="F78" s="8">
        <v>0.08801775147928989</v>
      </c>
      <c r="G78" s="7">
        <v>351.5</v>
      </c>
      <c r="H78" s="8">
        <v>0.40312944523470834</v>
      </c>
      <c r="I78" s="7">
        <v>487.95</v>
      </c>
      <c r="J78" s="8">
        <v>0.010759299108515218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4" t="s">
        <v>87</v>
      </c>
      <c r="B79" s="5">
        <v>21650.114525</v>
      </c>
      <c r="C79" s="7">
        <v>3635.0</v>
      </c>
      <c r="D79" s="7">
        <v>93.72</v>
      </c>
      <c r="E79" s="7">
        <v>5444.1</v>
      </c>
      <c r="F79" s="8">
        <v>0.33230469682775854</v>
      </c>
      <c r="G79" s="7">
        <v>3180.55</v>
      </c>
      <c r="H79" s="8">
        <v>0.1428840923739604</v>
      </c>
      <c r="I79" s="7">
        <v>3651.05</v>
      </c>
      <c r="J79" s="8">
        <v>-0.00439599567247783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4" t="s">
        <v>88</v>
      </c>
      <c r="B80" s="5">
        <v>24851.46731</v>
      </c>
      <c r="C80" s="7">
        <v>975.8</v>
      </c>
      <c r="D80" s="7">
        <v>12.65</v>
      </c>
      <c r="E80" s="7">
        <v>1214.65</v>
      </c>
      <c r="F80" s="8">
        <v>0.1966410076976908</v>
      </c>
      <c r="G80" s="7">
        <v>773.9</v>
      </c>
      <c r="H80" s="8">
        <v>0.2608864194340354</v>
      </c>
      <c r="I80" s="7">
        <v>972.55</v>
      </c>
      <c r="J80" s="8">
        <v>0.0033417305022878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4" t="s">
        <v>89</v>
      </c>
      <c r="B81" s="5">
        <v>20604.2</v>
      </c>
      <c r="C81" s="7">
        <v>2000.0</v>
      </c>
      <c r="D81" s="7">
        <v>51.19</v>
      </c>
      <c r="E81" s="7">
        <v>2377.0</v>
      </c>
      <c r="F81" s="8">
        <v>0.15860328144720234</v>
      </c>
      <c r="G81" s="7">
        <v>1674.2</v>
      </c>
      <c r="H81" s="8">
        <v>0.19460040616413807</v>
      </c>
      <c r="I81" s="7">
        <v>2014.85</v>
      </c>
      <c r="J81" s="8">
        <v>-0.007370275702905878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4" t="s">
        <v>90</v>
      </c>
      <c r="B82" s="5">
        <v>18318.3733666</v>
      </c>
      <c r="C82" s="7">
        <v>1441.55</v>
      </c>
      <c r="D82" s="7">
        <v>70.52</v>
      </c>
      <c r="E82" s="7">
        <v>1917.0</v>
      </c>
      <c r="F82" s="8">
        <v>0.24801773604590507</v>
      </c>
      <c r="G82" s="7">
        <v>1365.1</v>
      </c>
      <c r="H82" s="8">
        <v>0.05600322320709109</v>
      </c>
      <c r="I82" s="7">
        <v>1480.7</v>
      </c>
      <c r="J82" s="8">
        <v>-0.026440197204025184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4" t="s">
        <v>91</v>
      </c>
      <c r="B83" s="5">
        <v>37544.8863158</v>
      </c>
      <c r="C83" s="7">
        <v>60.2</v>
      </c>
      <c r="D83" s="7"/>
      <c r="E83" s="7">
        <v>64.3</v>
      </c>
      <c r="F83" s="8">
        <v>0.06376360808709167</v>
      </c>
      <c r="G83" s="7" t="s">
        <v>92</v>
      </c>
      <c r="H83" s="8" t="e">
        <v>#VALUE!</v>
      </c>
      <c r="I83" s="7">
        <v>59.6</v>
      </c>
      <c r="J83" s="8">
        <v>0.010067114093959755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4" t="s">
        <v>93</v>
      </c>
      <c r="B84" s="5">
        <v>19679.44</v>
      </c>
      <c r="C84" s="7">
        <v>1398.5</v>
      </c>
      <c r="D84" s="7">
        <v>42.23</v>
      </c>
      <c r="E84" s="7">
        <v>1736.15</v>
      </c>
      <c r="F84" s="8">
        <v>0.19448204360222335</v>
      </c>
      <c r="G84" s="7">
        <v>1047.2</v>
      </c>
      <c r="H84" s="8">
        <v>0.3354660045836516</v>
      </c>
      <c r="I84" s="7">
        <v>1401.15</v>
      </c>
      <c r="J84" s="8">
        <v>-0.001891303572065868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4" t="s">
        <v>94</v>
      </c>
      <c r="B85" s="5">
        <v>19278.55</v>
      </c>
      <c r="C85" s="7">
        <v>4224.9</v>
      </c>
      <c r="D85" s="7">
        <v>31.52</v>
      </c>
      <c r="E85" s="7">
        <v>4946.1</v>
      </c>
      <c r="F85" s="8">
        <v>0.14581185176199443</v>
      </c>
      <c r="G85" s="7">
        <v>4056.0</v>
      </c>
      <c r="H85" s="8">
        <v>0.04164201183431944</v>
      </c>
      <c r="I85" s="7">
        <v>4254.0</v>
      </c>
      <c r="J85" s="8">
        <v>-0.006840620592383724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4" t="s">
        <v>95</v>
      </c>
      <c r="B86" s="5">
        <v>16896.24225</v>
      </c>
      <c r="C86" s="7">
        <v>33.75</v>
      </c>
      <c r="D86" s="7">
        <v>30.44</v>
      </c>
      <c r="E86" s="7">
        <v>70.9</v>
      </c>
      <c r="F86" s="8">
        <v>0.5239774330042314</v>
      </c>
      <c r="G86" s="7">
        <v>30.45</v>
      </c>
      <c r="H86" s="8">
        <v>0.10837438423645322</v>
      </c>
      <c r="I86" s="7">
        <v>33.65</v>
      </c>
      <c r="J86" s="8">
        <v>0.00297176820208028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4" t="s">
        <v>96</v>
      </c>
      <c r="B87" s="5">
        <v>20217.231452</v>
      </c>
      <c r="C87" s="7">
        <v>4080.6</v>
      </c>
      <c r="D87" s="7">
        <v>73.24</v>
      </c>
      <c r="E87" s="7">
        <v>4847.35</v>
      </c>
      <c r="F87" s="8">
        <v>0.15817921132165005</v>
      </c>
      <c r="G87" s="7">
        <v>3361.45</v>
      </c>
      <c r="H87" s="8">
        <v>0.2139404126195541</v>
      </c>
      <c r="I87" s="7">
        <v>4127.1</v>
      </c>
      <c r="J87" s="8">
        <v>-0.011266991349858363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4" t="s">
        <v>97</v>
      </c>
      <c r="B88" s="5">
        <v>22159.2659823</v>
      </c>
      <c r="C88" s="7">
        <v>402.9</v>
      </c>
      <c r="D88" s="7">
        <v>6.85</v>
      </c>
      <c r="E88" s="7">
        <v>443.5</v>
      </c>
      <c r="F88" s="8">
        <v>0.09154453213077796</v>
      </c>
      <c r="G88" s="7">
        <v>291.75</v>
      </c>
      <c r="H88" s="8">
        <v>0.38097686375321327</v>
      </c>
      <c r="I88" s="7">
        <v>400.2</v>
      </c>
      <c r="J88" s="8">
        <v>0.006746626686656643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4" t="s">
        <v>98</v>
      </c>
      <c r="B89" s="5">
        <v>17986.0053514</v>
      </c>
      <c r="C89" s="7">
        <v>2174.05</v>
      </c>
      <c r="D89" s="7">
        <v>72.77</v>
      </c>
      <c r="E89" s="7">
        <v>3769.95</v>
      </c>
      <c r="F89" s="8">
        <v>0.423321264207748</v>
      </c>
      <c r="G89" s="7">
        <v>1805.55</v>
      </c>
      <c r="H89" s="8">
        <v>0.20409293567057143</v>
      </c>
      <c r="I89" s="7">
        <v>2171.85</v>
      </c>
      <c r="J89" s="8">
        <v>0.0010129613002740857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4" t="s">
        <v>99</v>
      </c>
      <c r="B90" s="5">
        <v>12685.7721399</v>
      </c>
      <c r="C90" s="7">
        <v>141.55</v>
      </c>
      <c r="D90" s="7">
        <v>41.14</v>
      </c>
      <c r="E90" s="7">
        <v>271.95</v>
      </c>
      <c r="F90" s="8">
        <v>0.4794999080713366</v>
      </c>
      <c r="G90" s="7">
        <v>129.25</v>
      </c>
      <c r="H90" s="8">
        <v>0.09516441005802717</v>
      </c>
      <c r="I90" s="7">
        <v>141.4</v>
      </c>
      <c r="J90" s="8">
        <v>0.001060820367751101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4" t="s">
        <v>100</v>
      </c>
      <c r="B91" s="5">
        <v>15538.83</v>
      </c>
      <c r="C91" s="7">
        <v>1463.5</v>
      </c>
      <c r="D91" s="7">
        <v>61.9</v>
      </c>
      <c r="E91" s="7">
        <v>2624.0</v>
      </c>
      <c r="F91" s="8">
        <v>0.4422637195121951</v>
      </c>
      <c r="G91" s="7">
        <v>1410.1</v>
      </c>
      <c r="H91" s="8">
        <v>0.037869654634423155</v>
      </c>
      <c r="I91" s="7">
        <v>1471.05</v>
      </c>
      <c r="J91" s="8">
        <v>-0.005132388430032939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4" t="s">
        <v>101</v>
      </c>
      <c r="B92" s="5">
        <v>17277.2</v>
      </c>
      <c r="C92" s="7">
        <v>5630.0</v>
      </c>
      <c r="D92" s="7">
        <v>32.19</v>
      </c>
      <c r="E92" s="7">
        <v>7328.75</v>
      </c>
      <c r="F92" s="8">
        <v>0.23179259764625618</v>
      </c>
      <c r="G92" s="7">
        <v>3457.1</v>
      </c>
      <c r="H92" s="8">
        <v>0.6285325851146916</v>
      </c>
      <c r="I92" s="7">
        <v>5672.25</v>
      </c>
      <c r="J92" s="8">
        <v>-0.0074485433469963416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4" t="s">
        <v>102</v>
      </c>
      <c r="B93" s="5">
        <v>10913.18</v>
      </c>
      <c r="C93" s="7">
        <v>555.0</v>
      </c>
      <c r="D93" s="7">
        <v>42.84</v>
      </c>
      <c r="E93" s="7">
        <v>822.8</v>
      </c>
      <c r="F93" s="8">
        <v>0.3254739912493923</v>
      </c>
      <c r="G93" s="7">
        <v>540.0</v>
      </c>
      <c r="H93" s="8">
        <v>0.027777777777777776</v>
      </c>
      <c r="I93" s="7">
        <v>557.4</v>
      </c>
      <c r="J93" s="8">
        <v>-0.004305705059203404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4" t="s">
        <v>103</v>
      </c>
      <c r="B94" s="5">
        <v>13659.0</v>
      </c>
      <c r="C94" s="7">
        <v>1024.0</v>
      </c>
      <c r="D94" s="7">
        <v>55.83</v>
      </c>
      <c r="E94" s="7">
        <v>1511.0</v>
      </c>
      <c r="F94" s="8">
        <v>0.32230311052283256</v>
      </c>
      <c r="G94" s="7">
        <v>871.55</v>
      </c>
      <c r="H94" s="8">
        <v>0.17491824909643744</v>
      </c>
      <c r="I94" s="7">
        <v>1035.55</v>
      </c>
      <c r="J94" s="8">
        <v>-0.011153493312732321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4" t="s">
        <v>104</v>
      </c>
      <c r="B95" s="5">
        <v>9951.4177429</v>
      </c>
      <c r="C95" s="7">
        <v>731.9</v>
      </c>
      <c r="D95" s="7">
        <v>19.49</v>
      </c>
      <c r="E95" s="7">
        <v>2094.4</v>
      </c>
      <c r="F95" s="8">
        <v>0.6505443086325439</v>
      </c>
      <c r="G95" s="7">
        <v>584.8</v>
      </c>
      <c r="H95" s="8">
        <v>0.25153898768809857</v>
      </c>
      <c r="I95" s="7">
        <v>724.3</v>
      </c>
      <c r="J95" s="8">
        <v>0.010492889686593985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4" t="s">
        <v>105</v>
      </c>
      <c r="B96" s="5">
        <v>18827.9516699</v>
      </c>
      <c r="C96" s="7">
        <v>696.3</v>
      </c>
      <c r="D96" s="7">
        <v>59.82</v>
      </c>
      <c r="E96" s="7">
        <v>764.25</v>
      </c>
      <c r="F96" s="8">
        <v>0.08891069676153097</v>
      </c>
      <c r="G96" s="7">
        <v>440.0</v>
      </c>
      <c r="H96" s="8">
        <v>0.5824999999999999</v>
      </c>
      <c r="I96" s="7">
        <v>692.45</v>
      </c>
      <c r="J96" s="8">
        <v>0.005559968228752847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4" t="s">
        <v>106</v>
      </c>
      <c r="B97" s="5">
        <v>12260.1</v>
      </c>
      <c r="C97" s="7">
        <v>1260.0</v>
      </c>
      <c r="D97" s="7">
        <v>57.79</v>
      </c>
      <c r="E97" s="7">
        <v>2027.0</v>
      </c>
      <c r="F97" s="8">
        <v>0.37839171188949183</v>
      </c>
      <c r="G97" s="7">
        <v>1204.15</v>
      </c>
      <c r="H97" s="8">
        <v>0.046381264792592206</v>
      </c>
      <c r="I97" s="7">
        <v>1251.3</v>
      </c>
      <c r="J97" s="8">
        <v>0.006952769120115117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4" t="s">
        <v>107</v>
      </c>
      <c r="B98" s="5">
        <v>13709.808</v>
      </c>
      <c r="C98" s="7">
        <v>4477.0</v>
      </c>
      <c r="D98" s="7">
        <v>56.62</v>
      </c>
      <c r="E98" s="7">
        <v>6898.75</v>
      </c>
      <c r="F98" s="8">
        <v>0.3510418554085885</v>
      </c>
      <c r="G98" s="7">
        <v>3676.0</v>
      </c>
      <c r="H98" s="8">
        <v>0.2178998911860718</v>
      </c>
      <c r="I98" s="7">
        <v>4446.55</v>
      </c>
      <c r="J98" s="8">
        <v>0.006848005757272451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4" t="s">
        <v>108</v>
      </c>
      <c r="B99" s="5">
        <v>12642.1534329</v>
      </c>
      <c r="C99" s="7">
        <v>885.05</v>
      </c>
      <c r="D99" s="7">
        <v>59.08</v>
      </c>
      <c r="E99" s="7">
        <v>1359.85</v>
      </c>
      <c r="F99" s="8">
        <v>0.34915615692907304</v>
      </c>
      <c r="G99" s="7">
        <v>785.55</v>
      </c>
      <c r="H99" s="8">
        <v>0.12666284768633443</v>
      </c>
      <c r="I99" s="7">
        <v>884.65</v>
      </c>
      <c r="J99" s="8">
        <v>4.5215621997397534E-4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4" t="s">
        <v>109</v>
      </c>
      <c r="B100" s="5">
        <v>11261.44</v>
      </c>
      <c r="C100" s="7">
        <v>1077.9</v>
      </c>
      <c r="D100" s="7">
        <v>37.61</v>
      </c>
      <c r="E100" s="7">
        <v>1654.0</v>
      </c>
      <c r="F100" s="8">
        <v>0.3483071342200725</v>
      </c>
      <c r="G100" s="7">
        <v>1015.0</v>
      </c>
      <c r="H100" s="8">
        <v>0.06197044334975378</v>
      </c>
      <c r="I100" s="7">
        <v>1078.65</v>
      </c>
      <c r="J100" s="8">
        <v>-6.953135864274788E-4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4" t="s">
        <v>110</v>
      </c>
      <c r="B101" s="5">
        <v>15554.9906858</v>
      </c>
      <c r="C101" s="7">
        <v>182.85</v>
      </c>
      <c r="D101" s="7">
        <v>3.39</v>
      </c>
      <c r="E101" s="7">
        <v>194.2</v>
      </c>
      <c r="F101" s="8">
        <v>0.05844490216271882</v>
      </c>
      <c r="G101" s="7">
        <v>130.25</v>
      </c>
      <c r="H101" s="8">
        <v>0.4038387715930902</v>
      </c>
      <c r="I101" s="7">
        <v>182.65</v>
      </c>
      <c r="J101" s="8">
        <v>0.001094990418833773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4" t="s">
        <v>111</v>
      </c>
      <c r="B102" s="5">
        <v>11658.528175</v>
      </c>
      <c r="C102" s="7">
        <v>523.9</v>
      </c>
      <c r="D102" s="7">
        <v>31.54</v>
      </c>
      <c r="E102" s="7">
        <v>749.0</v>
      </c>
      <c r="F102" s="8">
        <v>0.30053404539385853</v>
      </c>
      <c r="G102" s="7">
        <v>484.7</v>
      </c>
      <c r="H102" s="8">
        <v>0.08087476789766863</v>
      </c>
      <c r="I102" s="7">
        <v>517.65</v>
      </c>
      <c r="J102" s="8">
        <v>0.012073795035255483</v>
      </c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4" t="s">
        <v>112</v>
      </c>
      <c r="B103" s="5">
        <v>10943.5753</v>
      </c>
      <c r="C103" s="7">
        <v>789.5</v>
      </c>
      <c r="D103" s="7">
        <v>35.54</v>
      </c>
      <c r="E103" s="7">
        <v>1049.9</v>
      </c>
      <c r="F103" s="8">
        <v>0.24802362129726646</v>
      </c>
      <c r="G103" s="7">
        <v>744.7</v>
      </c>
      <c r="H103" s="8">
        <v>0.060158453068349604</v>
      </c>
      <c r="I103" s="7">
        <v>794.05</v>
      </c>
      <c r="J103" s="8">
        <v>-0.005730117750771305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4" t="s">
        <v>113</v>
      </c>
      <c r="B104" s="5">
        <v>11180.9471528</v>
      </c>
      <c r="C104" s="7">
        <v>2274.0</v>
      </c>
      <c r="D104" s="7">
        <v>38.87</v>
      </c>
      <c r="E104" s="7">
        <v>2971.5</v>
      </c>
      <c r="F104" s="8">
        <v>0.2347299343765775</v>
      </c>
      <c r="G104" s="7">
        <v>2037.15</v>
      </c>
      <c r="H104" s="8">
        <v>0.11626537073853173</v>
      </c>
      <c r="I104" s="7">
        <v>2235.75</v>
      </c>
      <c r="J104" s="8">
        <v>0.017108352901710835</v>
      </c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4" t="s">
        <v>114</v>
      </c>
      <c r="B105" s="5">
        <v>14279.03184</v>
      </c>
      <c r="C105" s="7">
        <v>1068.0</v>
      </c>
      <c r="D105" s="10" t="s">
        <v>0</v>
      </c>
      <c r="E105" s="7">
        <v>1215.4</v>
      </c>
      <c r="F105" s="8">
        <v>0.12127694586144486</v>
      </c>
      <c r="G105" s="7">
        <v>731.35</v>
      </c>
      <c r="H105" s="8">
        <v>0.4603131195733916</v>
      </c>
      <c r="I105" s="7">
        <v>1066.2</v>
      </c>
      <c r="J105" s="8">
        <v>0.0016882386043893776</v>
      </c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4" t="s">
        <v>115</v>
      </c>
      <c r="B106" s="5">
        <v>12966.0743501</v>
      </c>
      <c r="C106" s="7">
        <v>1436.05</v>
      </c>
      <c r="D106" s="7">
        <v>30.59</v>
      </c>
      <c r="E106" s="7">
        <v>1662.45</v>
      </c>
      <c r="F106" s="8">
        <v>0.13618454690366633</v>
      </c>
      <c r="G106" s="7">
        <v>905.2</v>
      </c>
      <c r="H106" s="8">
        <v>0.5864449845338046</v>
      </c>
      <c r="I106" s="7">
        <v>1435.2</v>
      </c>
      <c r="J106" s="8">
        <v>5.922519509475397E-4</v>
      </c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4" t="s">
        <v>116</v>
      </c>
      <c r="B107" s="5">
        <v>8341.1378051</v>
      </c>
      <c r="C107" s="7">
        <v>2358.0</v>
      </c>
      <c r="D107" s="7">
        <v>25.47</v>
      </c>
      <c r="E107" s="7">
        <v>3447.55</v>
      </c>
      <c r="F107" s="8">
        <v>0.31603602558338534</v>
      </c>
      <c r="G107" s="7">
        <v>2310.1</v>
      </c>
      <c r="H107" s="8">
        <v>0.020735033115449587</v>
      </c>
      <c r="I107" s="7">
        <v>2340.5</v>
      </c>
      <c r="J107" s="8">
        <v>0.007477034821619312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4" t="s">
        <v>117</v>
      </c>
      <c r="B108" s="5">
        <v>8026.4791851</v>
      </c>
      <c r="C108" s="7">
        <v>293.1</v>
      </c>
      <c r="D108" s="7"/>
      <c r="E108" s="7">
        <v>579.95</v>
      </c>
      <c r="F108" s="8">
        <v>0.49461160444865937</v>
      </c>
      <c r="G108" s="7">
        <v>262.3</v>
      </c>
      <c r="H108" s="8">
        <v>0.1174227983225315</v>
      </c>
      <c r="I108" s="7">
        <v>289.1</v>
      </c>
      <c r="J108" s="8">
        <v>0.013836042891732963</v>
      </c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4" t="s">
        <v>118</v>
      </c>
      <c r="B109" s="5">
        <v>8293.1763762</v>
      </c>
      <c r="C109" s="7">
        <v>2562.7</v>
      </c>
      <c r="D109" s="7">
        <v>20.06</v>
      </c>
      <c r="E109" s="7">
        <v>3841.85</v>
      </c>
      <c r="F109" s="8">
        <v>0.3329515728099744</v>
      </c>
      <c r="G109" s="7">
        <v>2530.0</v>
      </c>
      <c r="H109" s="8">
        <v>0.01292490118577068</v>
      </c>
      <c r="I109" s="7">
        <v>2557.4</v>
      </c>
      <c r="J109" s="8">
        <v>0.0020724172988190064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4" t="s">
        <v>119</v>
      </c>
      <c r="B110" s="5">
        <v>7486.15043</v>
      </c>
      <c r="C110" s="7">
        <v>629.0</v>
      </c>
      <c r="D110" s="7">
        <v>188.97</v>
      </c>
      <c r="E110" s="7">
        <v>1343.0</v>
      </c>
      <c r="F110" s="8">
        <v>0.5316455696202531</v>
      </c>
      <c r="G110" s="7">
        <v>570.0</v>
      </c>
      <c r="H110" s="8">
        <v>0.10350877192982456</v>
      </c>
      <c r="I110" s="7">
        <v>625.55</v>
      </c>
      <c r="J110" s="8">
        <v>0.005515146670929655</v>
      </c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4" t="s">
        <v>120</v>
      </c>
      <c r="B111" s="5">
        <v>10644.74</v>
      </c>
      <c r="C111" s="7">
        <v>173.0</v>
      </c>
      <c r="D111" s="7">
        <v>15.85</v>
      </c>
      <c r="E111" s="7">
        <v>204.5</v>
      </c>
      <c r="F111" s="8">
        <v>0.15403422982885084</v>
      </c>
      <c r="G111" s="7">
        <v>128.0</v>
      </c>
      <c r="H111" s="8">
        <v>0.3515625</v>
      </c>
      <c r="I111" s="7">
        <v>170.9</v>
      </c>
      <c r="J111" s="8">
        <v>0.012287887653598561</v>
      </c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4" t="s">
        <v>121</v>
      </c>
      <c r="B112" s="5">
        <v>5686.243</v>
      </c>
      <c r="C112" s="7">
        <v>499.35</v>
      </c>
      <c r="D112" s="7">
        <v>39.43</v>
      </c>
      <c r="E112" s="7">
        <v>833.0</v>
      </c>
      <c r="F112" s="8">
        <v>0.40054021608643453</v>
      </c>
      <c r="G112" s="7">
        <v>468.0</v>
      </c>
      <c r="H112" s="8">
        <v>0.06698717948717954</v>
      </c>
      <c r="I112" s="7">
        <v>494.9</v>
      </c>
      <c r="J112" s="8">
        <v>0.008991715498080513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4" t="s">
        <v>122</v>
      </c>
      <c r="B113" s="5">
        <v>10284.2865</v>
      </c>
      <c r="C113" s="7">
        <v>807.2</v>
      </c>
      <c r="D113" s="7">
        <v>21.59</v>
      </c>
      <c r="E113" s="7">
        <v>1096.05</v>
      </c>
      <c r="F113" s="8">
        <v>0.263537247388349</v>
      </c>
      <c r="G113" s="7">
        <v>595.0</v>
      </c>
      <c r="H113" s="8">
        <v>0.35663865546218493</v>
      </c>
      <c r="I113" s="7">
        <v>812.9</v>
      </c>
      <c r="J113" s="8">
        <v>-0.007011932587033992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4" t="s">
        <v>123</v>
      </c>
      <c r="B114" s="5">
        <v>9847.33486</v>
      </c>
      <c r="C114" s="7">
        <v>576.5</v>
      </c>
      <c r="D114" s="7">
        <v>17.05</v>
      </c>
      <c r="E114" s="7">
        <v>668.15</v>
      </c>
      <c r="F114" s="8">
        <v>0.13716979720122724</v>
      </c>
      <c r="G114" s="7">
        <v>438.05</v>
      </c>
      <c r="H114" s="8">
        <v>0.31605981052391274</v>
      </c>
      <c r="I114" s="7">
        <v>590.95</v>
      </c>
      <c r="J114" s="8">
        <v>-0.02445215331246306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4" t="s">
        <v>124</v>
      </c>
      <c r="B115" s="5">
        <v>7415.8287656</v>
      </c>
      <c r="C115" s="7">
        <v>1190.8</v>
      </c>
      <c r="D115" s="7">
        <v>32.12</v>
      </c>
      <c r="E115" s="7">
        <v>1919.0</v>
      </c>
      <c r="F115" s="8">
        <v>0.37946847316310583</v>
      </c>
      <c r="G115" s="7">
        <v>1052.6</v>
      </c>
      <c r="H115" s="8">
        <v>0.1312939388181646</v>
      </c>
      <c r="I115" s="7">
        <v>1197.6</v>
      </c>
      <c r="J115" s="8">
        <v>-0.005678022712090811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4" t="s">
        <v>125</v>
      </c>
      <c r="B116" s="5">
        <v>7672.4308321</v>
      </c>
      <c r="C116" s="7">
        <v>289.4</v>
      </c>
      <c r="D116" s="7">
        <v>36.41</v>
      </c>
      <c r="E116" s="7">
        <v>501.6</v>
      </c>
      <c r="F116" s="8">
        <v>0.4230462519936205</v>
      </c>
      <c r="G116" s="7">
        <v>274.35</v>
      </c>
      <c r="H116" s="8">
        <v>0.05485693457262604</v>
      </c>
      <c r="I116" s="7">
        <v>289.25</v>
      </c>
      <c r="J116" s="8">
        <v>5.185825410543726E-4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4" t="s">
        <v>126</v>
      </c>
      <c r="B117" s="5">
        <v>10126.79307</v>
      </c>
      <c r="C117" s="7">
        <v>73.6</v>
      </c>
      <c r="D117" s="7">
        <v>36.15</v>
      </c>
      <c r="E117" s="7">
        <v>101.35</v>
      </c>
      <c r="F117" s="8">
        <v>0.2738036507153429</v>
      </c>
      <c r="G117" s="7">
        <v>51.55</v>
      </c>
      <c r="H117" s="8">
        <v>0.42774005819592625</v>
      </c>
      <c r="I117" s="7">
        <v>72.4</v>
      </c>
      <c r="J117" s="8">
        <v>0.01657458563535896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4" t="s">
        <v>127</v>
      </c>
      <c r="B118" s="5">
        <v>8445.006</v>
      </c>
      <c r="C118" s="7">
        <v>853.05</v>
      </c>
      <c r="D118" s="7">
        <v>15.67</v>
      </c>
      <c r="E118" s="7">
        <v>925.0</v>
      </c>
      <c r="F118" s="8">
        <v>0.07778378378378384</v>
      </c>
      <c r="G118" s="7">
        <v>666.35</v>
      </c>
      <c r="H118" s="8">
        <v>0.2801830869663089</v>
      </c>
      <c r="I118" s="7">
        <v>862.5</v>
      </c>
      <c r="J118" s="8">
        <v>-0.010956521739130488</v>
      </c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4" t="s">
        <v>128</v>
      </c>
      <c r="B119" s="5">
        <v>10287.9254057</v>
      </c>
      <c r="C119" s="7">
        <v>121.55</v>
      </c>
      <c r="D119" s="7">
        <v>8.7</v>
      </c>
      <c r="E119" s="7">
        <v>173.75</v>
      </c>
      <c r="F119" s="8">
        <v>0.300431654676259</v>
      </c>
      <c r="G119" s="7">
        <v>81.5</v>
      </c>
      <c r="H119" s="8">
        <v>0.4914110429447852</v>
      </c>
      <c r="I119" s="7">
        <v>120.15</v>
      </c>
      <c r="J119" s="8">
        <v>0.011652101539741918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4" t="s">
        <v>129</v>
      </c>
      <c r="B120" s="5">
        <v>6297.527</v>
      </c>
      <c r="C120" s="7">
        <v>1870.0</v>
      </c>
      <c r="D120" s="7">
        <v>49.07</v>
      </c>
      <c r="E120" s="7">
        <v>4023.65</v>
      </c>
      <c r="F120" s="8">
        <v>0.5352478471039976</v>
      </c>
      <c r="G120" s="7">
        <v>1844.15</v>
      </c>
      <c r="H120" s="8">
        <v>0.014017297942141316</v>
      </c>
      <c r="I120" s="7">
        <v>1876.0</v>
      </c>
      <c r="J120" s="8">
        <v>-0.0031982942430703624</v>
      </c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4" t="s">
        <v>130</v>
      </c>
      <c r="B121" s="5">
        <v>8584.669055</v>
      </c>
      <c r="C121" s="7">
        <v>891.5</v>
      </c>
      <c r="D121" s="7">
        <v>61.12</v>
      </c>
      <c r="E121" s="7">
        <v>1044.4</v>
      </c>
      <c r="F121" s="8">
        <v>0.14639984680199164</v>
      </c>
      <c r="G121" s="7">
        <v>652.3</v>
      </c>
      <c r="H121" s="8">
        <v>0.36670243752874454</v>
      </c>
      <c r="I121" s="7">
        <v>897.9</v>
      </c>
      <c r="J121" s="8">
        <v>-0.00712774251030179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4" t="s">
        <v>131</v>
      </c>
      <c r="B122" s="5">
        <v>4868.970546</v>
      </c>
      <c r="C122" s="7">
        <v>1555.0</v>
      </c>
      <c r="D122" s="7">
        <v>7.36</v>
      </c>
      <c r="E122" s="7">
        <v>2870.0</v>
      </c>
      <c r="F122" s="8">
        <v>0.45818815331010454</v>
      </c>
      <c r="G122" s="7">
        <v>1463.3</v>
      </c>
      <c r="H122" s="8">
        <v>0.062666575548418</v>
      </c>
      <c r="I122" s="7">
        <v>1559.1</v>
      </c>
      <c r="J122" s="8">
        <v>-0.0026297222756718037</v>
      </c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4" t="s">
        <v>132</v>
      </c>
      <c r="B123" s="5">
        <v>8104.163</v>
      </c>
      <c r="C123" s="7">
        <v>582.0</v>
      </c>
      <c r="D123" s="7">
        <v>19.25</v>
      </c>
      <c r="E123" s="7">
        <v>694.5</v>
      </c>
      <c r="F123" s="8">
        <v>0.16198704103671707</v>
      </c>
      <c r="G123" s="7">
        <v>457.58</v>
      </c>
      <c r="H123" s="8">
        <v>0.2719087372699856</v>
      </c>
      <c r="I123" s="7">
        <v>574.4</v>
      </c>
      <c r="J123" s="8">
        <v>0.013231197771587783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4" t="s">
        <v>133</v>
      </c>
      <c r="B124" s="5">
        <v>8815.8228535</v>
      </c>
      <c r="C124" s="7">
        <v>3515.05</v>
      </c>
      <c r="D124" s="7">
        <v>95.35</v>
      </c>
      <c r="E124" s="7">
        <v>3619.7</v>
      </c>
      <c r="F124" s="8">
        <v>0.028911235737768225</v>
      </c>
      <c r="G124" s="7">
        <v>2437.75</v>
      </c>
      <c r="H124" s="8">
        <v>0.44192390524048825</v>
      </c>
      <c r="I124" s="7">
        <v>3443.4</v>
      </c>
      <c r="J124" s="8">
        <v>0.020807922402276847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4" t="s">
        <v>134</v>
      </c>
      <c r="B125" s="5">
        <v>7452.986336</v>
      </c>
      <c r="C125" s="7">
        <v>367.25</v>
      </c>
      <c r="D125" s="7">
        <v>49.25</v>
      </c>
      <c r="E125" s="7">
        <v>617.4</v>
      </c>
      <c r="F125" s="8">
        <v>0.4051668286362164</v>
      </c>
      <c r="G125" s="7">
        <v>305.25</v>
      </c>
      <c r="H125" s="8">
        <v>0.2031122031122031</v>
      </c>
      <c r="I125" s="7">
        <v>368.4</v>
      </c>
      <c r="J125" s="8">
        <v>-0.003121606948968451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4" t="s">
        <v>135</v>
      </c>
      <c r="B126" s="5">
        <v>6488.72245</v>
      </c>
      <c r="C126" s="7">
        <v>353.0</v>
      </c>
      <c r="D126" s="7">
        <v>35.19</v>
      </c>
      <c r="E126" s="7">
        <v>461.5</v>
      </c>
      <c r="F126" s="8">
        <v>0.23510292524377033</v>
      </c>
      <c r="G126" s="7">
        <v>289.05</v>
      </c>
      <c r="H126" s="8">
        <v>0.22124199965403904</v>
      </c>
      <c r="I126" s="7">
        <v>355.1</v>
      </c>
      <c r="J126" s="8">
        <v>-0.005913827090960356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4" t="s">
        <v>136</v>
      </c>
      <c r="B127" s="5">
        <v>7451.4657292</v>
      </c>
      <c r="C127" s="7">
        <v>873.25</v>
      </c>
      <c r="D127" s="7">
        <v>20.88</v>
      </c>
      <c r="E127" s="7">
        <v>958.0</v>
      </c>
      <c r="F127" s="8">
        <v>0.08846555323590814</v>
      </c>
      <c r="G127" s="7">
        <v>642.0</v>
      </c>
      <c r="H127" s="8">
        <v>0.36020249221183803</v>
      </c>
      <c r="I127" s="7">
        <v>861.2</v>
      </c>
      <c r="J127" s="8">
        <v>0.013992104040873147</v>
      </c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4" t="s">
        <v>137</v>
      </c>
      <c r="B128" s="5">
        <v>7705.431</v>
      </c>
      <c r="C128" s="7">
        <v>318.6</v>
      </c>
      <c r="D128" s="7">
        <v>16.36</v>
      </c>
      <c r="E128" s="7">
        <v>381.25</v>
      </c>
      <c r="F128" s="8">
        <v>0.16432786885245895</v>
      </c>
      <c r="G128" s="7">
        <v>227.0</v>
      </c>
      <c r="H128" s="8">
        <v>0.40352422907489</v>
      </c>
      <c r="I128" s="7">
        <v>318.15</v>
      </c>
      <c r="J128" s="8">
        <v>0.0014144271570015574</v>
      </c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4" t="s">
        <v>138</v>
      </c>
      <c r="B129" s="5">
        <v>6985.583</v>
      </c>
      <c r="C129" s="7">
        <v>1795.0</v>
      </c>
      <c r="D129" s="7">
        <v>49.5</v>
      </c>
      <c r="E129" s="7">
        <v>2249.0</v>
      </c>
      <c r="F129" s="8">
        <v>0.20186749666518453</v>
      </c>
      <c r="G129" s="7">
        <v>1444.5</v>
      </c>
      <c r="H129" s="8">
        <v>0.24264451367255105</v>
      </c>
      <c r="I129" s="7">
        <v>1807.4</v>
      </c>
      <c r="J129" s="8">
        <v>-0.006860683855261752</v>
      </c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4" t="s">
        <v>139</v>
      </c>
      <c r="B130" s="5">
        <v>4785.1628071</v>
      </c>
      <c r="C130" s="7">
        <v>211.35</v>
      </c>
      <c r="D130" s="7">
        <v>13.73</v>
      </c>
      <c r="E130" s="7">
        <v>496.1</v>
      </c>
      <c r="F130" s="8">
        <v>0.5739770207619431</v>
      </c>
      <c r="G130" s="7">
        <v>202.0</v>
      </c>
      <c r="H130" s="8">
        <v>0.04628712871287126</v>
      </c>
      <c r="I130" s="7">
        <v>212.4</v>
      </c>
      <c r="J130" s="8">
        <v>-0.00494350282485881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4" t="s">
        <v>140</v>
      </c>
      <c r="B131" s="5">
        <v>5153.9576635</v>
      </c>
      <c r="C131" s="7">
        <v>1714.7</v>
      </c>
      <c r="D131" s="7">
        <v>17.12</v>
      </c>
      <c r="E131" s="7">
        <v>3410.85</v>
      </c>
      <c r="F131" s="8">
        <v>0.49728073647331306</v>
      </c>
      <c r="G131" s="7">
        <v>1492.0</v>
      </c>
      <c r="H131" s="8">
        <v>0.14926273458445044</v>
      </c>
      <c r="I131" s="7">
        <v>1693.7</v>
      </c>
      <c r="J131" s="8">
        <v>0.012398890004132962</v>
      </c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4" t="s">
        <v>141</v>
      </c>
      <c r="B132" s="5">
        <v>6152.5851506</v>
      </c>
      <c r="C132" s="7">
        <v>3024.95</v>
      </c>
      <c r="D132" s="7">
        <v>37.14</v>
      </c>
      <c r="E132" s="7">
        <v>3754.85</v>
      </c>
      <c r="F132" s="8">
        <v>0.19438859075595566</v>
      </c>
      <c r="G132" s="7">
        <v>2619.8</v>
      </c>
      <c r="H132" s="8">
        <v>0.1546492098633482</v>
      </c>
      <c r="I132" s="7">
        <v>3026.7</v>
      </c>
      <c r="J132" s="8">
        <v>-5.781874648957611E-4</v>
      </c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4" t="s">
        <v>142</v>
      </c>
      <c r="B133" s="5">
        <v>7046.8192293</v>
      </c>
      <c r="C133" s="7">
        <v>1567.45</v>
      </c>
      <c r="D133" s="7">
        <v>53.87</v>
      </c>
      <c r="E133" s="7">
        <v>2110.0</v>
      </c>
      <c r="F133" s="8">
        <v>0.25713270142180095</v>
      </c>
      <c r="G133" s="7">
        <v>1256.67</v>
      </c>
      <c r="H133" s="8">
        <v>0.24730438380800046</v>
      </c>
      <c r="I133" s="7">
        <v>1576.95</v>
      </c>
      <c r="J133" s="8">
        <v>-0.006024287390215289</v>
      </c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4" t="s">
        <v>143</v>
      </c>
      <c r="B134" s="5">
        <v>6810.58629</v>
      </c>
      <c r="C134" s="7">
        <v>171.0</v>
      </c>
      <c r="D134" s="10" t="s">
        <v>0</v>
      </c>
      <c r="E134" s="7">
        <v>279.7</v>
      </c>
      <c r="F134" s="8">
        <v>0.38863067572398996</v>
      </c>
      <c r="G134" s="7">
        <v>128.6</v>
      </c>
      <c r="H134" s="8">
        <v>0.32970451010886476</v>
      </c>
      <c r="I134" s="7">
        <v>170.15</v>
      </c>
      <c r="J134" s="8">
        <v>0.004995592124595911</v>
      </c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4" t="s">
        <v>144</v>
      </c>
      <c r="B135" s="5">
        <v>5679.5794914</v>
      </c>
      <c r="C135" s="7">
        <v>267.2</v>
      </c>
      <c r="D135" s="7">
        <v>53.9</v>
      </c>
      <c r="E135" s="7">
        <v>372.2</v>
      </c>
      <c r="F135" s="8">
        <v>0.2821063944116067</v>
      </c>
      <c r="G135" s="7">
        <v>244.0</v>
      </c>
      <c r="H135" s="8">
        <v>0.09508196721311471</v>
      </c>
      <c r="I135" s="7">
        <v>268.4</v>
      </c>
      <c r="J135" s="8">
        <v>-0.004470938897168364</v>
      </c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4" t="s">
        <v>145</v>
      </c>
      <c r="B136" s="5">
        <v>5305.4035808</v>
      </c>
      <c r="C136" s="7">
        <v>389.4</v>
      </c>
      <c r="D136" s="7">
        <v>21.44</v>
      </c>
      <c r="E136" s="7">
        <v>638.8</v>
      </c>
      <c r="F136" s="8">
        <v>0.39041953663118345</v>
      </c>
      <c r="G136" s="7">
        <v>364.1</v>
      </c>
      <c r="H136" s="8">
        <v>0.06948640483383672</v>
      </c>
      <c r="I136" s="7">
        <v>388.7</v>
      </c>
      <c r="J136" s="8">
        <v>0.001800874710573678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4" t="s">
        <v>146</v>
      </c>
      <c r="B137" s="5">
        <v>6919.97</v>
      </c>
      <c r="C137" s="7">
        <v>5294.0</v>
      </c>
      <c r="D137" s="7">
        <v>37.0</v>
      </c>
      <c r="E137" s="7">
        <v>6067.95</v>
      </c>
      <c r="F137" s="8">
        <v>0.1275471946868382</v>
      </c>
      <c r="G137" s="7">
        <v>3518.6</v>
      </c>
      <c r="H137" s="8">
        <v>0.5045756835104872</v>
      </c>
      <c r="I137" s="7">
        <v>5320.0</v>
      </c>
      <c r="J137" s="8">
        <v>-0.004887218045112782</v>
      </c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4" t="s">
        <v>147</v>
      </c>
      <c r="B138" s="5">
        <v>7324.341471</v>
      </c>
      <c r="C138" s="7">
        <v>3465.1</v>
      </c>
      <c r="D138" s="7">
        <v>35.75</v>
      </c>
      <c r="E138" s="7">
        <v>3709.95</v>
      </c>
      <c r="F138" s="8">
        <v>0.06599819404574184</v>
      </c>
      <c r="G138" s="7">
        <v>1845.0</v>
      </c>
      <c r="H138" s="8">
        <v>0.8781029810298102</v>
      </c>
      <c r="I138" s="7">
        <v>3461.8</v>
      </c>
      <c r="J138" s="8">
        <v>9.532613091454524E-4</v>
      </c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4" t="s">
        <v>148</v>
      </c>
      <c r="B139" s="5">
        <v>3941.666</v>
      </c>
      <c r="C139" s="7">
        <v>9517.9</v>
      </c>
      <c r="D139" s="7">
        <v>23.12</v>
      </c>
      <c r="E139" s="7">
        <v>14362.9</v>
      </c>
      <c r="F139" s="8">
        <v>0.3373274199500101</v>
      </c>
      <c r="G139" s="7">
        <v>9301.0</v>
      </c>
      <c r="H139" s="8">
        <v>0.023320073110418196</v>
      </c>
      <c r="I139" s="7">
        <v>9497.7</v>
      </c>
      <c r="J139" s="8">
        <v>0.00212683070638143</v>
      </c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4" t="s">
        <v>149</v>
      </c>
      <c r="B140" s="5">
        <v>4230.867</v>
      </c>
      <c r="C140" s="7">
        <v>186.9</v>
      </c>
      <c r="D140" s="7">
        <v>23.18</v>
      </c>
      <c r="E140" s="7">
        <v>242.0</v>
      </c>
      <c r="F140" s="8">
        <v>0.22768595041322312</v>
      </c>
      <c r="G140" s="7">
        <v>164.0</v>
      </c>
      <c r="H140" s="8">
        <v>0.13963414634146346</v>
      </c>
      <c r="I140" s="7">
        <v>186.85</v>
      </c>
      <c r="J140" s="8">
        <v>2.6759432700032847E-4</v>
      </c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4" t="s">
        <v>150</v>
      </c>
      <c r="B141" s="5">
        <v>3279.733</v>
      </c>
      <c r="C141" s="7">
        <v>1669.3</v>
      </c>
      <c r="D141" s="7">
        <v>33.56</v>
      </c>
      <c r="E141" s="7">
        <v>2285.65</v>
      </c>
      <c r="F141" s="8">
        <v>0.2696607092074465</v>
      </c>
      <c r="G141" s="7">
        <v>1276.15</v>
      </c>
      <c r="H141" s="8">
        <v>0.30807506954511604</v>
      </c>
      <c r="I141" s="7">
        <v>1635.25</v>
      </c>
      <c r="J141" s="8">
        <v>0.020822504204250088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4" t="s">
        <v>151</v>
      </c>
      <c r="B142" s="5">
        <v>4148.48</v>
      </c>
      <c r="C142" s="7">
        <v>448.0</v>
      </c>
      <c r="D142" s="7">
        <v>22.17</v>
      </c>
      <c r="E142" s="7">
        <v>537.4</v>
      </c>
      <c r="F142" s="8">
        <v>0.16635653144771118</v>
      </c>
      <c r="G142" s="7">
        <v>378.4</v>
      </c>
      <c r="H142" s="8">
        <v>0.18393234672304448</v>
      </c>
      <c r="I142" s="7">
        <v>445.5</v>
      </c>
      <c r="J142" s="8">
        <v>0.005611672278338945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4" t="s">
        <v>152</v>
      </c>
      <c r="B143" s="5">
        <v>6367.8328518</v>
      </c>
      <c r="C143" s="7">
        <v>1227.1</v>
      </c>
      <c r="D143" s="7">
        <v>59.65</v>
      </c>
      <c r="E143" s="7">
        <v>1480.0</v>
      </c>
      <c r="F143" s="8">
        <v>0.17087837837837844</v>
      </c>
      <c r="G143" s="7">
        <v>575.0</v>
      </c>
      <c r="H143" s="8">
        <v>1.134086956521739</v>
      </c>
      <c r="I143" s="7">
        <v>1161.25</v>
      </c>
      <c r="J143" s="8">
        <v>0.05670613562970929</v>
      </c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4" t="s">
        <v>153</v>
      </c>
      <c r="B144" s="5">
        <v>3024.4291291</v>
      </c>
      <c r="C144" s="7">
        <v>571.8</v>
      </c>
      <c r="D144" s="7">
        <v>35.81</v>
      </c>
      <c r="E144" s="7">
        <v>1087.0</v>
      </c>
      <c r="F144" s="8">
        <v>0.4739650413983441</v>
      </c>
      <c r="G144" s="7">
        <v>562.1</v>
      </c>
      <c r="H144" s="8">
        <v>0.01725671588685275</v>
      </c>
      <c r="I144" s="7">
        <v>574.7</v>
      </c>
      <c r="J144" s="8">
        <v>-0.005046111014442476</v>
      </c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4" t="s">
        <v>154</v>
      </c>
      <c r="B145" s="5">
        <v>3099.3320457</v>
      </c>
      <c r="C145" s="7">
        <v>1242.8</v>
      </c>
      <c r="D145" s="7">
        <v>68.51</v>
      </c>
      <c r="E145" s="7">
        <v>1842.2</v>
      </c>
      <c r="F145" s="8">
        <v>0.32537183801975905</v>
      </c>
      <c r="G145" s="7">
        <v>1201.25</v>
      </c>
      <c r="H145" s="8">
        <v>0.0345889698231009</v>
      </c>
      <c r="I145" s="7">
        <v>1229.5</v>
      </c>
      <c r="J145" s="8">
        <v>0.010817405449369625</v>
      </c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4" t="s">
        <v>155</v>
      </c>
      <c r="B146" s="5">
        <v>3345.7206687</v>
      </c>
      <c r="C146" s="7">
        <v>717.5</v>
      </c>
      <c r="D146" s="7">
        <v>15.26</v>
      </c>
      <c r="E146" s="7">
        <v>815.0</v>
      </c>
      <c r="F146" s="8">
        <v>0.1196319018404908</v>
      </c>
      <c r="G146" s="7">
        <v>630.65</v>
      </c>
      <c r="H146" s="8">
        <v>0.13771505589471184</v>
      </c>
      <c r="I146" s="7">
        <v>724.95</v>
      </c>
      <c r="J146" s="8">
        <v>-0.01027657079798613</v>
      </c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4" t="s">
        <v>156</v>
      </c>
      <c r="B147" s="5">
        <v>3094.098595</v>
      </c>
      <c r="C147" s="7">
        <v>276.7</v>
      </c>
      <c r="D147" s="7">
        <v>32.26</v>
      </c>
      <c r="E147" s="7">
        <v>354.9</v>
      </c>
      <c r="F147" s="8">
        <v>0.22034375880529725</v>
      </c>
      <c r="G147" s="7">
        <v>258.4</v>
      </c>
      <c r="H147" s="8">
        <v>0.07082043343653256</v>
      </c>
      <c r="I147" s="7">
        <v>278.9</v>
      </c>
      <c r="J147" s="8">
        <v>-0.007888131946934345</v>
      </c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4" t="s">
        <v>157</v>
      </c>
      <c r="B148" s="5">
        <v>2618.5195811</v>
      </c>
      <c r="C148" s="7">
        <v>393.65</v>
      </c>
      <c r="D148" s="7">
        <v>19.15</v>
      </c>
      <c r="E148" s="7">
        <v>666.0</v>
      </c>
      <c r="F148" s="8">
        <v>0.40893393393393396</v>
      </c>
      <c r="G148" s="7">
        <v>372.4</v>
      </c>
      <c r="H148" s="8">
        <v>0.057062298603651994</v>
      </c>
      <c r="I148" s="7">
        <v>394.45</v>
      </c>
      <c r="J148" s="8">
        <v>-0.002028140448726103</v>
      </c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4" t="s">
        <v>158</v>
      </c>
      <c r="B149" s="5">
        <v>2664.205</v>
      </c>
      <c r="C149" s="7">
        <v>382.15</v>
      </c>
      <c r="D149" s="7">
        <v>17.49</v>
      </c>
      <c r="E149" s="7">
        <v>671.0</v>
      </c>
      <c r="F149" s="8">
        <v>0.43047690014903134</v>
      </c>
      <c r="G149" s="7">
        <v>320.85</v>
      </c>
      <c r="H149" s="8">
        <v>0.19105501012934378</v>
      </c>
      <c r="I149" s="7">
        <v>362.3</v>
      </c>
      <c r="J149" s="8">
        <v>0.05478884902014895</v>
      </c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4" t="s">
        <v>159</v>
      </c>
      <c r="B150" s="5">
        <v>2119.46</v>
      </c>
      <c r="C150" s="7">
        <v>85.4</v>
      </c>
      <c r="D150" s="7">
        <v>302.86</v>
      </c>
      <c r="E150" s="7">
        <v>204.45</v>
      </c>
      <c r="F150" s="8">
        <v>0.582293959403277</v>
      </c>
      <c r="G150" s="7">
        <v>81.4</v>
      </c>
      <c r="H150" s="8">
        <v>0.04914004914004914</v>
      </c>
      <c r="I150" s="7">
        <v>85.45</v>
      </c>
      <c r="J150" s="8">
        <v>-5.851375073141856E-4</v>
      </c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4" t="s">
        <v>160</v>
      </c>
      <c r="B151" s="5">
        <v>3279.606</v>
      </c>
      <c r="C151" s="7">
        <v>988.1</v>
      </c>
      <c r="D151" s="7">
        <v>41.73</v>
      </c>
      <c r="E151" s="7">
        <v>1057.85</v>
      </c>
      <c r="F151" s="8">
        <v>0.06593562414330945</v>
      </c>
      <c r="G151" s="7">
        <v>648.05</v>
      </c>
      <c r="H151" s="8">
        <v>0.52472803024458</v>
      </c>
      <c r="I151" s="7">
        <v>991.35</v>
      </c>
      <c r="J151" s="8">
        <v>-0.0032783577949261106</v>
      </c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4" t="s">
        <v>161</v>
      </c>
      <c r="B152" s="5">
        <v>2676.336957</v>
      </c>
      <c r="C152" s="7">
        <v>10430.0</v>
      </c>
      <c r="D152" s="7">
        <v>139.72</v>
      </c>
      <c r="E152" s="7">
        <v>14131.25</v>
      </c>
      <c r="F152" s="8">
        <v>0.26191950464396285</v>
      </c>
      <c r="G152" s="7">
        <v>8050.0</v>
      </c>
      <c r="H152" s="8">
        <v>0.2956521739130435</v>
      </c>
      <c r="I152" s="7">
        <v>10411.1</v>
      </c>
      <c r="J152" s="8">
        <v>0.0018153701337994673</v>
      </c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4" t="s">
        <v>162</v>
      </c>
      <c r="B153" s="5">
        <v>1923.4465903</v>
      </c>
      <c r="C153" s="7">
        <v>481.35</v>
      </c>
      <c r="D153" s="7">
        <v>10.9</v>
      </c>
      <c r="E153" s="7">
        <v>744.15</v>
      </c>
      <c r="F153" s="8">
        <v>0.3531546059262245</v>
      </c>
      <c r="G153" s="7">
        <v>477.8</v>
      </c>
      <c r="H153" s="8">
        <v>0.007429886982000861</v>
      </c>
      <c r="I153" s="7">
        <v>481.85</v>
      </c>
      <c r="J153" s="8">
        <v>-0.0010376673238559717</v>
      </c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4" t="s">
        <v>163</v>
      </c>
      <c r="B154" s="5">
        <v>2250.9146116</v>
      </c>
      <c r="C154" s="7">
        <v>577.8</v>
      </c>
      <c r="D154" s="7">
        <v>67.14</v>
      </c>
      <c r="E154" s="7">
        <v>811.35</v>
      </c>
      <c r="F154" s="8">
        <v>0.28785357737104833</v>
      </c>
      <c r="G154" s="7">
        <v>524.3</v>
      </c>
      <c r="H154" s="8">
        <v>0.10204081632653061</v>
      </c>
      <c r="I154" s="7">
        <v>583.75</v>
      </c>
      <c r="J154" s="8">
        <v>-0.010192719486081449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4" t="s">
        <v>164</v>
      </c>
      <c r="B155" s="5">
        <v>2340.128</v>
      </c>
      <c r="C155" s="7">
        <v>386.0</v>
      </c>
      <c r="D155" s="7">
        <v>13.46</v>
      </c>
      <c r="E155" s="7">
        <v>519.55</v>
      </c>
      <c r="F155" s="8">
        <v>0.2570493696468097</v>
      </c>
      <c r="G155" s="7">
        <v>301.1</v>
      </c>
      <c r="H155" s="8">
        <v>0.2819661242112254</v>
      </c>
      <c r="I155" s="7">
        <v>381.5</v>
      </c>
      <c r="J155" s="8">
        <v>0.011795543905635648</v>
      </c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4" t="s">
        <v>165</v>
      </c>
      <c r="B156" s="5">
        <v>3335.191069</v>
      </c>
      <c r="C156" s="7">
        <v>462.25</v>
      </c>
      <c r="D156" s="7">
        <v>33.36</v>
      </c>
      <c r="E156" s="7">
        <v>480.4</v>
      </c>
      <c r="F156" s="8">
        <v>0.03778101582014983</v>
      </c>
      <c r="G156" s="7">
        <v>258.95</v>
      </c>
      <c r="H156" s="8">
        <v>0.7850936474222824</v>
      </c>
      <c r="I156" s="7">
        <v>473.2</v>
      </c>
      <c r="J156" s="8">
        <v>-0.02314032121724427</v>
      </c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4" t="s">
        <v>166</v>
      </c>
      <c r="B157" s="5">
        <v>1794.6404408</v>
      </c>
      <c r="C157" s="7">
        <v>411.45</v>
      </c>
      <c r="D157" s="10" t="s">
        <v>0</v>
      </c>
      <c r="E157" s="7">
        <v>528.35</v>
      </c>
      <c r="F157" s="8">
        <v>0.22125485000473177</v>
      </c>
      <c r="G157" s="7">
        <v>366.05</v>
      </c>
      <c r="H157" s="8">
        <v>0.1240267722988662</v>
      </c>
      <c r="I157" s="7">
        <v>412.2</v>
      </c>
      <c r="J157" s="8">
        <v>-0.001819505094614265</v>
      </c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4" t="s">
        <v>167</v>
      </c>
      <c r="B158" s="5">
        <v>1954.368</v>
      </c>
      <c r="C158" s="7">
        <v>118.6</v>
      </c>
      <c r="D158" s="7">
        <v>8.27</v>
      </c>
      <c r="E158" s="7">
        <v>182.4</v>
      </c>
      <c r="F158" s="8">
        <v>0.349780701754386</v>
      </c>
      <c r="G158" s="7">
        <v>98.0</v>
      </c>
      <c r="H158" s="8">
        <v>0.210204081632653</v>
      </c>
      <c r="I158" s="7">
        <v>120.25</v>
      </c>
      <c r="J158" s="8">
        <v>-0.013721413721413769</v>
      </c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4" t="s">
        <v>168</v>
      </c>
      <c r="B159" s="5">
        <v>1991.1000155</v>
      </c>
      <c r="C159" s="7">
        <v>510.0</v>
      </c>
      <c r="D159" s="7">
        <v>64.75</v>
      </c>
      <c r="E159" s="7">
        <v>635.7</v>
      </c>
      <c r="F159" s="8">
        <v>0.1977347805568665</v>
      </c>
      <c r="G159" s="7">
        <v>395.0</v>
      </c>
      <c r="H159" s="8">
        <v>0.2911392405063291</v>
      </c>
      <c r="I159" s="7">
        <v>514.85</v>
      </c>
      <c r="J159" s="8">
        <v>-0.009420219481402394</v>
      </c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4" t="s">
        <v>169</v>
      </c>
      <c r="B160" s="5">
        <v>1482.073362</v>
      </c>
      <c r="C160" s="7">
        <v>638.25</v>
      </c>
      <c r="D160" s="10" t="s">
        <v>0</v>
      </c>
      <c r="E160" s="7">
        <v>649.7</v>
      </c>
      <c r="F160" s="8">
        <v>0.01762351854702177</v>
      </c>
      <c r="G160" s="7">
        <v>634.15</v>
      </c>
      <c r="H160" s="8">
        <v>0.006465347315303987</v>
      </c>
      <c r="I160" s="7">
        <v>636.85</v>
      </c>
      <c r="J160" s="8">
        <v>0.002198319855538945</v>
      </c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4" t="s">
        <v>170</v>
      </c>
      <c r="B161" s="5">
        <v>1059.9071153</v>
      </c>
      <c r="C161" s="7">
        <v>288.1</v>
      </c>
      <c r="D161" s="7">
        <v>15.51</v>
      </c>
      <c r="E161" s="7">
        <v>477.95</v>
      </c>
      <c r="F161" s="8">
        <v>0.3972172821424835</v>
      </c>
      <c r="G161" s="7">
        <v>261.0</v>
      </c>
      <c r="H161" s="8">
        <v>0.10383141762452117</v>
      </c>
      <c r="I161" s="7">
        <v>290.1</v>
      </c>
      <c r="J161" s="8">
        <v>-0.006894174422612891</v>
      </c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4" t="s">
        <v>171</v>
      </c>
      <c r="B162" s="5">
        <v>404.8024737</v>
      </c>
      <c r="C162" s="7">
        <v>404.35</v>
      </c>
      <c r="D162" s="10" t="s">
        <v>0</v>
      </c>
      <c r="E162" s="7">
        <v>1936.0</v>
      </c>
      <c r="F162" s="8">
        <v>0.7911415289256198</v>
      </c>
      <c r="G162" s="7">
        <v>401.0</v>
      </c>
      <c r="H162" s="8">
        <v>0.008354114713217014</v>
      </c>
      <c r="I162" s="7">
        <v>408.5</v>
      </c>
      <c r="J162" s="8">
        <v>-0.010159118727050128</v>
      </c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4" t="s">
        <v>172</v>
      </c>
      <c r="B163" s="5">
        <v>880.6892469</v>
      </c>
      <c r="C163" s="7">
        <v>4323.5</v>
      </c>
      <c r="D163" s="7">
        <v>23.13</v>
      </c>
      <c r="E163" s="7">
        <v>4759.6</v>
      </c>
      <c r="F163" s="8">
        <v>0.09162534666778728</v>
      </c>
      <c r="G163" s="7">
        <v>3654.0</v>
      </c>
      <c r="H163" s="8">
        <v>0.18322386425834702</v>
      </c>
      <c r="I163" s="7">
        <v>4310.6</v>
      </c>
      <c r="J163" s="8">
        <v>0.002992622836727981</v>
      </c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4" t="s">
        <v>173</v>
      </c>
      <c r="B164" s="5">
        <v>11060.0657861</v>
      </c>
      <c r="C164" s="7">
        <v>1601.0</v>
      </c>
      <c r="D164" s="7">
        <v>21.39</v>
      </c>
      <c r="E164" s="7">
        <v>1722.1</v>
      </c>
      <c r="F164" s="8">
        <v>0.0703211195633238</v>
      </c>
      <c r="G164" s="7">
        <v>1271.6</v>
      </c>
      <c r="H164" s="8">
        <v>0.2590437244416484</v>
      </c>
      <c r="I164" s="7">
        <v>1599.4</v>
      </c>
      <c r="J164" s="8">
        <v>0.0010003751406776973</v>
      </c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4" t="s">
        <v>174</v>
      </c>
      <c r="B165" s="5">
        <v>8463.6612353</v>
      </c>
      <c r="C165" s="7">
        <v>553.4</v>
      </c>
      <c r="D165" s="7">
        <v>15.6</v>
      </c>
      <c r="E165" s="7">
        <v>593.9</v>
      </c>
      <c r="F165" s="8">
        <v>0.06819329853510692</v>
      </c>
      <c r="G165" s="7">
        <v>343.5</v>
      </c>
      <c r="H165" s="8">
        <v>0.6110625909752546</v>
      </c>
      <c r="I165" s="7">
        <v>539.85</v>
      </c>
      <c r="J165" s="8">
        <v>0.02509956469389637</v>
      </c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4" t="s">
        <v>175</v>
      </c>
      <c r="B166" s="5">
        <v>15766.33509</v>
      </c>
      <c r="C166" s="7">
        <v>252.6</v>
      </c>
      <c r="D166" s="7">
        <v>23.69</v>
      </c>
      <c r="E166" s="7">
        <v>375.2</v>
      </c>
      <c r="F166" s="8">
        <v>0.3267590618336887</v>
      </c>
      <c r="G166" s="7">
        <v>241.05</v>
      </c>
      <c r="H166" s="8">
        <v>0.04791537025513372</v>
      </c>
      <c r="I166" s="7">
        <v>251.9</v>
      </c>
      <c r="J166" s="8">
        <v>0.002778880508138105</v>
      </c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4" t="s">
        <v>176</v>
      </c>
      <c r="B167" s="5">
        <v>47348.12</v>
      </c>
      <c r="C167" s="7">
        <v>22241.0</v>
      </c>
      <c r="D167" s="7">
        <v>53.6</v>
      </c>
      <c r="E167" s="7">
        <v>22499.0</v>
      </c>
      <c r="F167" s="8">
        <v>0.011467176318947508</v>
      </c>
      <c r="G167" s="7">
        <v>15514.0</v>
      </c>
      <c r="H167" s="8">
        <v>0.4336083537450045</v>
      </c>
      <c r="I167" s="7">
        <v>22162.55</v>
      </c>
      <c r="J167" s="8">
        <v>0.0035397551274560343</v>
      </c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4" t="s">
        <v>177</v>
      </c>
      <c r="B168" s="5">
        <v>287213.2945283</v>
      </c>
      <c r="C168" s="7">
        <v>933.9</v>
      </c>
      <c r="D168" s="7">
        <v>15.67</v>
      </c>
      <c r="E168" s="7">
        <v>970.0</v>
      </c>
      <c r="F168" s="8">
        <v>0.03721649484536085</v>
      </c>
      <c r="G168" s="7">
        <v>618.25</v>
      </c>
      <c r="H168" s="8">
        <v>0.5105539830165791</v>
      </c>
      <c r="I168" s="7">
        <v>935.55</v>
      </c>
      <c r="J168" s="8">
        <v>-0.0017636684303350728</v>
      </c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4" t="s">
        <v>178</v>
      </c>
      <c r="B169" s="5">
        <v>95565.8761753</v>
      </c>
      <c r="C169" s="7">
        <v>184.9</v>
      </c>
      <c r="D169" s="7">
        <v>9.72</v>
      </c>
      <c r="E169" s="7">
        <v>197.2</v>
      </c>
      <c r="F169" s="8">
        <v>0.06237322515212974</v>
      </c>
      <c r="G169" s="7">
        <v>89.9</v>
      </c>
      <c r="H169" s="8">
        <v>1.0567296996662958</v>
      </c>
      <c r="I169" s="7">
        <v>181.8</v>
      </c>
      <c r="J169" s="8">
        <v>0.01705170517051702</v>
      </c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4" t="s">
        <v>179</v>
      </c>
      <c r="B170" s="5">
        <v>535431.3246675</v>
      </c>
      <c r="C170" s="7">
        <v>600.05</v>
      </c>
      <c r="D170" s="7">
        <v>13.0</v>
      </c>
      <c r="E170" s="7">
        <v>629.65</v>
      </c>
      <c r="F170" s="8">
        <v>0.047010243786230484</v>
      </c>
      <c r="G170" s="7">
        <v>425.0</v>
      </c>
      <c r="H170" s="8">
        <v>0.41188235294117637</v>
      </c>
      <c r="I170" s="7">
        <v>595.0</v>
      </c>
      <c r="J170" s="8">
        <v>0.008487394957983117</v>
      </c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4" t="s">
        <v>180</v>
      </c>
      <c r="B171" s="5">
        <v>29278.4915846</v>
      </c>
      <c r="C171" s="7">
        <v>138.45</v>
      </c>
      <c r="D171" s="7">
        <v>11.78</v>
      </c>
      <c r="E171" s="7">
        <v>142.25</v>
      </c>
      <c r="F171" s="8">
        <v>0.0267135325131811</v>
      </c>
      <c r="G171" s="7">
        <v>82.5</v>
      </c>
      <c r="H171" s="8">
        <v>0.678181818181818</v>
      </c>
      <c r="I171" s="7">
        <v>135.05</v>
      </c>
      <c r="J171" s="8">
        <v>0.025175860792298978</v>
      </c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4" t="s">
        <v>181</v>
      </c>
      <c r="B172" s="5">
        <v>87098.03</v>
      </c>
      <c r="C172" s="7">
        <v>24025.0</v>
      </c>
      <c r="D172" s="7">
        <v>54.11</v>
      </c>
      <c r="E172" s="7">
        <v>27936.75</v>
      </c>
      <c r="F172" s="8">
        <v>0.14002165606235514</v>
      </c>
      <c r="G172" s="7">
        <v>17865.2</v>
      </c>
      <c r="H172" s="8">
        <v>0.34479322929494205</v>
      </c>
      <c r="I172" s="7">
        <v>23854.85</v>
      </c>
      <c r="J172" s="8">
        <v>0.007132721438198163</v>
      </c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4" t="s">
        <v>182</v>
      </c>
      <c r="B173" s="5">
        <v>7658.1331612</v>
      </c>
      <c r="C173" s="7">
        <v>1503.5</v>
      </c>
      <c r="D173" s="7">
        <v>27.61</v>
      </c>
      <c r="E173" s="7">
        <v>1953.7</v>
      </c>
      <c r="F173" s="8">
        <v>0.23043456006551674</v>
      </c>
      <c r="G173" s="7">
        <v>1355.5</v>
      </c>
      <c r="H173" s="8">
        <v>0.10918480265584656</v>
      </c>
      <c r="I173" s="7">
        <v>1480.55</v>
      </c>
      <c r="J173" s="8">
        <v>0.015500996251393095</v>
      </c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4" t="s">
        <v>183</v>
      </c>
      <c r="B174" s="5">
        <v>1620922.4391001</v>
      </c>
      <c r="C174" s="7">
        <v>2467.9</v>
      </c>
      <c r="D174" s="7">
        <v>25.09</v>
      </c>
      <c r="E174" s="7">
        <v>2856.15</v>
      </c>
      <c r="F174" s="8">
        <v>0.1359347373212191</v>
      </c>
      <c r="G174" s="7">
        <v>2180.0</v>
      </c>
      <c r="H174" s="8">
        <v>0.1320642201834863</v>
      </c>
      <c r="I174" s="7">
        <v>2471.6</v>
      </c>
      <c r="J174" s="8">
        <v>-0.0014970059880238785</v>
      </c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4" t="s">
        <v>184</v>
      </c>
      <c r="B175" s="5">
        <v>5515.515</v>
      </c>
      <c r="C175" s="7">
        <v>241.5</v>
      </c>
      <c r="D175" s="7">
        <v>12.67</v>
      </c>
      <c r="E175" s="7">
        <v>393.85</v>
      </c>
      <c r="F175" s="8">
        <v>0.38682239431255555</v>
      </c>
      <c r="G175" s="7">
        <v>169.25</v>
      </c>
      <c r="H175" s="8">
        <v>0.42688330871491875</v>
      </c>
      <c r="I175" s="7">
        <v>236.7</v>
      </c>
      <c r="J175" s="8">
        <v>0.020278833967046942</v>
      </c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4" t="s">
        <v>185</v>
      </c>
      <c r="B176" s="5">
        <v>1191.350885</v>
      </c>
      <c r="C176" s="7">
        <v>446.8</v>
      </c>
      <c r="D176" s="10" t="s">
        <v>0</v>
      </c>
      <c r="E176" s="7">
        <v>455.95</v>
      </c>
      <c r="F176" s="8">
        <v>0.020067989911174422</v>
      </c>
      <c r="G176" s="7">
        <v>444.0</v>
      </c>
      <c r="H176" s="8">
        <v>0.006306306306306332</v>
      </c>
      <c r="I176" s="7">
        <v>447.4</v>
      </c>
      <c r="J176" s="8">
        <v>-0.0013410818059900892</v>
      </c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4" t="s">
        <v>186</v>
      </c>
      <c r="B177" s="5">
        <v>129917.6</v>
      </c>
      <c r="C177" s="7">
        <v>604.0</v>
      </c>
      <c r="D177" s="7">
        <v>85.12</v>
      </c>
      <c r="E177" s="7">
        <v>678.8</v>
      </c>
      <c r="F177" s="8">
        <v>0.11019446081319971</v>
      </c>
      <c r="G177" s="7">
        <v>497.05</v>
      </c>
      <c r="H177" s="8">
        <v>0.21516950005029672</v>
      </c>
      <c r="I177" s="7">
        <v>598.4</v>
      </c>
      <c r="J177" s="8">
        <v>0.009358288770053515</v>
      </c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4" t="s">
        <v>187</v>
      </c>
      <c r="B178" s="5">
        <v>22430.59</v>
      </c>
      <c r="C178" s="7">
        <v>2900.45</v>
      </c>
      <c r="D178" s="7">
        <v>36.07</v>
      </c>
      <c r="E178" s="7">
        <v>3646.25</v>
      </c>
      <c r="F178" s="8">
        <v>0.2045389098388756</v>
      </c>
      <c r="G178" s="7">
        <v>2005.0</v>
      </c>
      <c r="H178" s="8">
        <v>0.4466084788029924</v>
      </c>
      <c r="I178" s="7">
        <v>2905.9</v>
      </c>
      <c r="J178" s="8">
        <v>-0.0018754946832307625</v>
      </c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4" t="s">
        <v>188</v>
      </c>
      <c r="B179" s="5">
        <v>67468.3198772</v>
      </c>
      <c r="C179" s="7">
        <v>468.9</v>
      </c>
      <c r="D179" s="7">
        <v>78.92</v>
      </c>
      <c r="E179" s="7">
        <v>648.85</v>
      </c>
      <c r="F179" s="8">
        <v>0.27733682669338067</v>
      </c>
      <c r="G179" s="7">
        <v>430.0</v>
      </c>
      <c r="H179" s="8">
        <v>0.09046511627906971</v>
      </c>
      <c r="I179" s="7">
        <v>464.7</v>
      </c>
      <c r="J179" s="8">
        <v>0.00903808908973529</v>
      </c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4" t="s">
        <v>189</v>
      </c>
      <c r="B180" s="5">
        <v>214719.0067183</v>
      </c>
      <c r="C180" s="7">
        <v>2417.65</v>
      </c>
      <c r="D180" s="7">
        <v>68.59</v>
      </c>
      <c r="E180" s="7">
        <v>2790.0</v>
      </c>
      <c r="F180" s="8">
        <v>0.13345878136200715</v>
      </c>
      <c r="G180" s="7">
        <v>1827.15</v>
      </c>
      <c r="H180" s="8">
        <v>0.32318091016063266</v>
      </c>
      <c r="I180" s="7">
        <v>2445.65</v>
      </c>
      <c r="J180" s="8">
        <v>-0.011448899065688058</v>
      </c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4" t="s">
        <v>190</v>
      </c>
      <c r="B181" s="5">
        <v>1794.8020805</v>
      </c>
      <c r="C181" s="7">
        <v>165.55</v>
      </c>
      <c r="D181" s="7">
        <v>17.83</v>
      </c>
      <c r="E181" s="7">
        <v>209.41</v>
      </c>
      <c r="F181" s="8">
        <v>0.2094455852156057</v>
      </c>
      <c r="G181" s="7">
        <v>116.75</v>
      </c>
      <c r="H181" s="8">
        <v>0.41798715203426134</v>
      </c>
      <c r="I181" s="7">
        <v>165.4</v>
      </c>
      <c r="J181" s="8">
        <v>9.068923821040247E-4</v>
      </c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4" t="s">
        <v>191</v>
      </c>
      <c r="B182" s="5">
        <v>61484.38668</v>
      </c>
      <c r="C182" s="7">
        <v>846.75</v>
      </c>
      <c r="D182" s="7">
        <v>46.19</v>
      </c>
      <c r="E182" s="7">
        <v>958.0</v>
      </c>
      <c r="F182" s="8">
        <v>0.11612734864300626</v>
      </c>
      <c r="G182" s="7">
        <v>712.0</v>
      </c>
      <c r="H182" s="8">
        <v>0.1892556179775281</v>
      </c>
      <c r="I182" s="7">
        <v>857.75</v>
      </c>
      <c r="J182" s="8">
        <v>-0.012824249489944622</v>
      </c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4" t="s">
        <v>192</v>
      </c>
      <c r="B183" s="5">
        <v>3951.357</v>
      </c>
      <c r="C183" s="7">
        <v>717.0</v>
      </c>
      <c r="D183" s="7">
        <v>39.87</v>
      </c>
      <c r="E183" s="7">
        <v>1375.0</v>
      </c>
      <c r="F183" s="8">
        <v>0.47854545454545455</v>
      </c>
      <c r="G183" s="7">
        <v>675.0</v>
      </c>
      <c r="H183" s="8">
        <v>0.06222222222222222</v>
      </c>
      <c r="I183" s="7">
        <v>726.2</v>
      </c>
      <c r="J183" s="8">
        <v>-0.012668686312310721</v>
      </c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4" t="s">
        <v>193</v>
      </c>
      <c r="B184" s="5">
        <v>22276.241535</v>
      </c>
      <c r="C184" s="7">
        <v>415.0</v>
      </c>
      <c r="D184" s="7">
        <v>52.87</v>
      </c>
      <c r="E184" s="7">
        <v>624.0</v>
      </c>
      <c r="F184" s="8">
        <v>0.3349358974358974</v>
      </c>
      <c r="G184" s="7">
        <v>358.15</v>
      </c>
      <c r="H184" s="8">
        <v>0.15873237470333668</v>
      </c>
      <c r="I184" s="7">
        <v>413.05</v>
      </c>
      <c r="J184" s="8">
        <v>0.004720978089819606</v>
      </c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4" t="s">
        <v>194</v>
      </c>
      <c r="B185" s="5">
        <v>26702.2965179</v>
      </c>
      <c r="C185" s="7">
        <v>805.9</v>
      </c>
      <c r="D185" s="7">
        <v>70.1</v>
      </c>
      <c r="E185" s="7">
        <v>1347.75</v>
      </c>
      <c r="F185" s="8">
        <v>0.4020404377666481</v>
      </c>
      <c r="G185" s="7">
        <v>770.55</v>
      </c>
      <c r="H185" s="8">
        <v>0.04587632210758552</v>
      </c>
      <c r="I185" s="7">
        <v>808.15</v>
      </c>
      <c r="J185" s="8">
        <v>-0.002784136608302914</v>
      </c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4" t="s">
        <v>195</v>
      </c>
      <c r="B186" s="5">
        <v>6945.4358366</v>
      </c>
      <c r="C186" s="7">
        <v>439.9</v>
      </c>
      <c r="D186" s="10" t="s">
        <v>0</v>
      </c>
      <c r="E186" s="7">
        <v>684.55</v>
      </c>
      <c r="F186" s="8">
        <v>0.3573880651522898</v>
      </c>
      <c r="G186" s="7">
        <v>357.7</v>
      </c>
      <c r="H186" s="8">
        <v>0.22980150964495386</v>
      </c>
      <c r="I186" s="7">
        <v>425.8</v>
      </c>
      <c r="J186" s="8">
        <v>0.03311413809300133</v>
      </c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4" t="s">
        <v>196</v>
      </c>
      <c r="B187" s="5">
        <v>36421.231513</v>
      </c>
      <c r="C187" s="7">
        <v>3446.95</v>
      </c>
      <c r="D187" s="7">
        <v>34.13</v>
      </c>
      <c r="E187" s="7">
        <v>5714.0</v>
      </c>
      <c r="F187" s="8">
        <v>0.396753587679384</v>
      </c>
      <c r="G187" s="7">
        <v>2923.35</v>
      </c>
      <c r="H187" s="8">
        <v>0.17910958318367623</v>
      </c>
      <c r="I187" s="7">
        <v>3640.5</v>
      </c>
      <c r="J187" s="8">
        <v>-0.05316577393215223</v>
      </c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4" t="s">
        <v>197</v>
      </c>
      <c r="B188" s="5">
        <v>57937.9387031</v>
      </c>
      <c r="C188" s="7">
        <v>20.15</v>
      </c>
      <c r="D188" s="7">
        <v>45.52</v>
      </c>
      <c r="E188" s="7">
        <v>24.75</v>
      </c>
      <c r="F188" s="8">
        <v>0.18585858585858592</v>
      </c>
      <c r="G188" s="7">
        <v>12.11</v>
      </c>
      <c r="H188" s="8">
        <v>0.6639141205615193</v>
      </c>
      <c r="I188" s="7">
        <v>19.9</v>
      </c>
      <c r="J188" s="8">
        <v>0.01256281407035176</v>
      </c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4" t="s">
        <v>198</v>
      </c>
      <c r="B189" s="5">
        <v>23948.9713712</v>
      </c>
      <c r="C189" s="7">
        <v>1453.65</v>
      </c>
      <c r="D189" s="7">
        <v>23.28</v>
      </c>
      <c r="E189" s="7">
        <v>3773.95</v>
      </c>
      <c r="F189" s="8">
        <v>0.6148200161634362</v>
      </c>
      <c r="G189" s="7">
        <v>1450.0</v>
      </c>
      <c r="H189" s="8">
        <v>0.0025172413793104077</v>
      </c>
      <c r="I189" s="7">
        <v>1497.85</v>
      </c>
      <c r="J189" s="8">
        <v>-0.029508962846746884</v>
      </c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4" t="s">
        <v>199</v>
      </c>
      <c r="B190" s="5">
        <v>3273.157</v>
      </c>
      <c r="C190" s="7">
        <v>6195.0</v>
      </c>
      <c r="D190" s="7">
        <v>34.69</v>
      </c>
      <c r="E190" s="7">
        <v>6572.75</v>
      </c>
      <c r="F190" s="8">
        <v>0.057472138754706935</v>
      </c>
      <c r="G190" s="7">
        <v>4932.05</v>
      </c>
      <c r="H190" s="8">
        <v>0.256069991180138</v>
      </c>
      <c r="I190" s="7">
        <v>6169.85</v>
      </c>
      <c r="J190" s="8">
        <v>0.004076274139565733</v>
      </c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4" t="s">
        <v>200</v>
      </c>
      <c r="B191" s="5">
        <v>5182.98923</v>
      </c>
      <c r="C191" s="7">
        <v>1688.15</v>
      </c>
      <c r="D191" s="7">
        <v>70.16</v>
      </c>
      <c r="E191" s="7">
        <v>2409.15</v>
      </c>
      <c r="F191" s="8">
        <v>0.2992756781437436</v>
      </c>
      <c r="G191" s="7">
        <v>1211.85</v>
      </c>
      <c r="H191" s="8">
        <v>0.3930354416800761</v>
      </c>
      <c r="I191" s="7">
        <v>1670.5</v>
      </c>
      <c r="J191" s="8">
        <v>0.010565698892547196</v>
      </c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4" t="s">
        <v>201</v>
      </c>
      <c r="B192" s="5">
        <v>4927.69342</v>
      </c>
      <c r="C192" s="7">
        <v>299.0</v>
      </c>
      <c r="D192" s="7">
        <v>35.85</v>
      </c>
      <c r="E192" s="7">
        <v>566.5</v>
      </c>
      <c r="F192" s="8">
        <v>0.47219770520741394</v>
      </c>
      <c r="G192" s="7">
        <v>288.0</v>
      </c>
      <c r="H192" s="8">
        <v>0.03819444444444445</v>
      </c>
      <c r="I192" s="7">
        <v>297.35</v>
      </c>
      <c r="J192" s="8">
        <v>0.0055490163107448365</v>
      </c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4" t="s">
        <v>202</v>
      </c>
      <c r="B193" s="5">
        <v>22715.5217056</v>
      </c>
      <c r="C193" s="7">
        <v>7701.2</v>
      </c>
      <c r="D193" s="7">
        <v>37.5</v>
      </c>
      <c r="E193" s="7">
        <v>10859.0</v>
      </c>
      <c r="F193" s="8">
        <v>0.29080025785063085</v>
      </c>
      <c r="G193" s="7">
        <v>7602.15</v>
      </c>
      <c r="H193" s="8">
        <v>0.013029208842235445</v>
      </c>
      <c r="I193" s="7">
        <v>7679.85</v>
      </c>
      <c r="J193" s="8">
        <v>0.0027800022135848297</v>
      </c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4" t="s">
        <v>203</v>
      </c>
      <c r="B194" s="5">
        <v>5752.7067025</v>
      </c>
      <c r="C194" s="7">
        <v>1071.5</v>
      </c>
      <c r="D194" s="7">
        <v>65.24</v>
      </c>
      <c r="E194" s="7">
        <v>1918.35</v>
      </c>
      <c r="F194" s="8">
        <v>0.4414470769150572</v>
      </c>
      <c r="G194" s="7">
        <v>1023.2</v>
      </c>
      <c r="H194" s="8">
        <v>0.04720484753713834</v>
      </c>
      <c r="I194" s="7">
        <v>1069.9</v>
      </c>
      <c r="J194" s="8">
        <v>0.0014954668660621636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4" t="s">
        <v>204</v>
      </c>
      <c r="B195" s="5">
        <v>247191.650802</v>
      </c>
      <c r="C195" s="7">
        <v>1031.05</v>
      </c>
      <c r="D195" s="7">
        <v>60.4</v>
      </c>
      <c r="E195" s="7">
        <v>1070.95</v>
      </c>
      <c r="F195" s="8">
        <v>0.03725664129978065</v>
      </c>
      <c r="G195" s="7">
        <v>784.8</v>
      </c>
      <c r="H195" s="8">
        <v>0.3137742099898063</v>
      </c>
      <c r="I195" s="7">
        <v>1032.85</v>
      </c>
      <c r="J195" s="8">
        <v>-0.0017427506414290116</v>
      </c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4" t="s">
        <v>205</v>
      </c>
      <c r="B196" s="11" t="s">
        <v>0</v>
      </c>
      <c r="C196" s="10" t="s">
        <v>0</v>
      </c>
      <c r="D196" s="10" t="s">
        <v>0</v>
      </c>
      <c r="E196" s="10" t="s">
        <v>0</v>
      </c>
      <c r="F196" s="12" t="s">
        <v>0</v>
      </c>
      <c r="G196" s="10" t="s">
        <v>0</v>
      </c>
      <c r="H196" s="12" t="s">
        <v>0</v>
      </c>
      <c r="I196" s="10" t="s">
        <v>0</v>
      </c>
      <c r="J196" s="12" t="s">
        <v>0</v>
      </c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>
      <c r="A197" s="4" t="s">
        <v>206</v>
      </c>
      <c r="B197" s="5">
        <v>9606.1541</v>
      </c>
      <c r="C197" s="7">
        <v>876.0</v>
      </c>
      <c r="D197" s="7">
        <v>19.98</v>
      </c>
      <c r="E197" s="7">
        <v>1051.85</v>
      </c>
      <c r="F197" s="8">
        <v>0.16718163236202874</v>
      </c>
      <c r="G197" s="7">
        <v>720.0</v>
      </c>
      <c r="H197" s="8">
        <v>0.21666666666666667</v>
      </c>
      <c r="I197" s="7">
        <v>883.3</v>
      </c>
      <c r="J197" s="8">
        <v>-0.008264462809917304</v>
      </c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4" t="s">
        <v>207</v>
      </c>
      <c r="B198" s="5">
        <v>73698.477067</v>
      </c>
      <c r="C198" s="7">
        <v>1134.8</v>
      </c>
      <c r="D198" s="7">
        <v>51.22</v>
      </c>
      <c r="E198" s="7">
        <v>1432.05</v>
      </c>
      <c r="F198" s="8">
        <v>0.20756956810167243</v>
      </c>
      <c r="G198" s="7">
        <v>557.23</v>
      </c>
      <c r="H198" s="8">
        <v>1.036501983023168</v>
      </c>
      <c r="I198" s="7">
        <v>1187.3</v>
      </c>
      <c r="J198" s="8">
        <v>-0.04421797355344058</v>
      </c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4" t="s">
        <v>208</v>
      </c>
      <c r="B199" s="5">
        <v>6524.233845</v>
      </c>
      <c r="C199" s="7">
        <v>590.7</v>
      </c>
      <c r="D199" s="7">
        <v>44.19</v>
      </c>
      <c r="E199" s="7">
        <v>748.0</v>
      </c>
      <c r="F199" s="8">
        <v>0.21029411764705877</v>
      </c>
      <c r="G199" s="7">
        <v>513.1</v>
      </c>
      <c r="H199" s="8">
        <v>0.1512375755213409</v>
      </c>
      <c r="I199" s="7">
        <v>575.3</v>
      </c>
      <c r="J199" s="8">
        <v>0.0267686424474189</v>
      </c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4" t="s">
        <v>209</v>
      </c>
      <c r="B200" s="5">
        <v>32766.2786899</v>
      </c>
      <c r="C200" s="7">
        <v>498.25</v>
      </c>
      <c r="D200" s="7">
        <v>69.25</v>
      </c>
      <c r="E200" s="7">
        <v>806.4</v>
      </c>
      <c r="F200" s="8">
        <v>0.38213045634920634</v>
      </c>
      <c r="G200" s="7">
        <v>451.2</v>
      </c>
      <c r="H200" s="8">
        <v>0.10427748226950358</v>
      </c>
      <c r="I200" s="7">
        <v>488.55</v>
      </c>
      <c r="J200" s="8">
        <v>0.019854671988537485</v>
      </c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4" t="s">
        <v>210</v>
      </c>
      <c r="B201" s="5">
        <v>13811.7</v>
      </c>
      <c r="C201" s="7">
        <v>2714.9</v>
      </c>
      <c r="D201" s="7">
        <v>61.31</v>
      </c>
      <c r="E201" s="7">
        <v>3797.6</v>
      </c>
      <c r="F201" s="8">
        <v>0.28510111649462816</v>
      </c>
      <c r="G201" s="7">
        <v>2506.2</v>
      </c>
      <c r="H201" s="8">
        <v>0.08327348176522237</v>
      </c>
      <c r="I201" s="7">
        <v>2750.75</v>
      </c>
      <c r="J201" s="8">
        <v>-0.013032809233845281</v>
      </c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4" t="s">
        <v>211</v>
      </c>
      <c r="B202" s="5">
        <v>478914.7</v>
      </c>
      <c r="C202" s="7">
        <v>2619.25</v>
      </c>
      <c r="D202" s="7">
        <v>19.81</v>
      </c>
      <c r="E202" s="7">
        <v>2933.8</v>
      </c>
      <c r="F202" s="8">
        <v>0.10721589747085697</v>
      </c>
      <c r="G202" s="7">
        <v>2026.0</v>
      </c>
      <c r="H202" s="8">
        <v>0.2928183613030602</v>
      </c>
      <c r="I202" s="7">
        <v>2612.8</v>
      </c>
      <c r="J202" s="8">
        <v>0.002468616044090561</v>
      </c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4" t="s">
        <v>212</v>
      </c>
      <c r="B203" s="5">
        <v>41307.1280064</v>
      </c>
      <c r="C203" s="7">
        <v>619.0</v>
      </c>
      <c r="D203" s="7">
        <v>31.44</v>
      </c>
      <c r="E203" s="7">
        <v>732.98</v>
      </c>
      <c r="F203" s="8">
        <v>0.15550219651286531</v>
      </c>
      <c r="G203" s="7">
        <v>525.0</v>
      </c>
      <c r="H203" s="8">
        <v>0.17904761904761904</v>
      </c>
      <c r="I203" s="7">
        <v>628.15</v>
      </c>
      <c r="J203" s="8">
        <v>-0.014566584414550629</v>
      </c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4" t="s">
        <v>213</v>
      </c>
      <c r="B204" s="5">
        <v>6502.435</v>
      </c>
      <c r="C204" s="7">
        <v>578.05</v>
      </c>
      <c r="D204" s="7">
        <v>114.36</v>
      </c>
      <c r="E204" s="7">
        <v>749.15</v>
      </c>
      <c r="F204" s="8">
        <v>0.22839217780150842</v>
      </c>
      <c r="G204" s="7">
        <v>328.73</v>
      </c>
      <c r="H204" s="8">
        <v>0.7584339731694701</v>
      </c>
      <c r="I204" s="7">
        <v>580.0</v>
      </c>
      <c r="J204" s="8">
        <v>-0.00336206896551732</v>
      </c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4" t="s">
        <v>214</v>
      </c>
      <c r="B205" s="5">
        <v>38859.14</v>
      </c>
      <c r="C205" s="7">
        <v>4338.0</v>
      </c>
      <c r="D205" s="7">
        <v>63.66</v>
      </c>
      <c r="E205" s="7">
        <v>4535.95</v>
      </c>
      <c r="F205" s="8">
        <v>0.043640251766443594</v>
      </c>
      <c r="G205" s="7">
        <v>2160.05</v>
      </c>
      <c r="H205" s="8">
        <v>1.0082868452119162</v>
      </c>
      <c r="I205" s="7">
        <v>4340.15</v>
      </c>
      <c r="J205" s="8">
        <v>-4.953745838276641E-4</v>
      </c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4" t="s">
        <v>215</v>
      </c>
      <c r="B206" s="5">
        <v>354002.5359556</v>
      </c>
      <c r="C206" s="7">
        <v>1780.5</v>
      </c>
      <c r="D206" s="7">
        <v>25.87</v>
      </c>
      <c r="E206" s="7">
        <v>1997.55</v>
      </c>
      <c r="F206" s="8">
        <v>0.10865810618007056</v>
      </c>
      <c r="G206" s="7">
        <v>1631.0</v>
      </c>
      <c r="H206" s="8">
        <v>0.09166155732679337</v>
      </c>
      <c r="I206" s="7">
        <v>1779.5</v>
      </c>
      <c r="J206" s="8">
        <v>5.61955605507165E-4</v>
      </c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4" t="s">
        <v>216</v>
      </c>
      <c r="B207" s="5">
        <v>1639.276373</v>
      </c>
      <c r="C207" s="7">
        <v>498.5</v>
      </c>
      <c r="D207" s="7">
        <v>30.76</v>
      </c>
      <c r="E207" s="7">
        <v>1000.0</v>
      </c>
      <c r="F207" s="8">
        <v>0.5015</v>
      </c>
      <c r="G207" s="7">
        <v>472.2</v>
      </c>
      <c r="H207" s="8">
        <v>0.05569673867005508</v>
      </c>
      <c r="I207" s="7">
        <v>503.15</v>
      </c>
      <c r="J207" s="8">
        <v>-0.00924177680612139</v>
      </c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4" t="s">
        <v>217</v>
      </c>
      <c r="B208" s="5">
        <v>93678.862</v>
      </c>
      <c r="C208" s="7">
        <v>916.75</v>
      </c>
      <c r="D208" s="7">
        <v>58.81</v>
      </c>
      <c r="E208" s="7">
        <v>955.65</v>
      </c>
      <c r="F208" s="8">
        <v>0.04070527912938835</v>
      </c>
      <c r="G208" s="7">
        <v>660.2</v>
      </c>
      <c r="H208" s="8">
        <v>0.3885943653438351</v>
      </c>
      <c r="I208" s="7">
        <v>914.9</v>
      </c>
      <c r="J208" s="8">
        <v>0.00202207891572852</v>
      </c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4" t="s">
        <v>218</v>
      </c>
      <c r="B209" s="5">
        <v>1528.0408125</v>
      </c>
      <c r="C209" s="7">
        <v>423.0</v>
      </c>
      <c r="D209" s="10" t="s">
        <v>0</v>
      </c>
      <c r="E209" s="7">
        <v>1156.35</v>
      </c>
      <c r="F209" s="8">
        <v>0.6341937994551822</v>
      </c>
      <c r="G209" s="7">
        <v>323.65</v>
      </c>
      <c r="H209" s="8">
        <v>0.30696740305885994</v>
      </c>
      <c r="I209" s="7">
        <v>427.8</v>
      </c>
      <c r="J209" s="8">
        <v>-0.01122019635343621</v>
      </c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4" t="s">
        <v>219</v>
      </c>
      <c r="B210" s="5">
        <v>17802.1935</v>
      </c>
      <c r="C210" s="7">
        <v>1118.0</v>
      </c>
      <c r="D210" s="7">
        <v>46.87</v>
      </c>
      <c r="E210" s="7">
        <v>1374.55</v>
      </c>
      <c r="F210" s="8">
        <v>0.186642901313157</v>
      </c>
      <c r="G210" s="7">
        <v>885.3</v>
      </c>
      <c r="H210" s="8">
        <v>0.262848751835536</v>
      </c>
      <c r="I210" s="7">
        <v>1112.5</v>
      </c>
      <c r="J210" s="8">
        <v>0.004943820224719101</v>
      </c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4" t="s">
        <v>220</v>
      </c>
      <c r="B211" s="5">
        <v>1347.5935652</v>
      </c>
      <c r="C211" s="7">
        <v>429.35</v>
      </c>
      <c r="D211" s="7">
        <v>20.29</v>
      </c>
      <c r="E211" s="7">
        <v>778.0</v>
      </c>
      <c r="F211" s="8">
        <v>0.4481362467866324</v>
      </c>
      <c r="G211" s="7">
        <v>428.9</v>
      </c>
      <c r="H211" s="8">
        <v>0.001049195616693974</v>
      </c>
      <c r="I211" s="7">
        <v>436.85</v>
      </c>
      <c r="J211" s="8">
        <v>-0.017168364427148905</v>
      </c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4" t="s">
        <v>221</v>
      </c>
      <c r="B212" s="5">
        <v>7063.23</v>
      </c>
      <c r="C212" s="7">
        <v>1380.05</v>
      </c>
      <c r="D212" s="7">
        <v>45.85</v>
      </c>
      <c r="E212" s="7">
        <v>3142.0</v>
      </c>
      <c r="F212" s="8">
        <v>0.5607733927434755</v>
      </c>
      <c r="G212" s="7">
        <v>1267.05</v>
      </c>
      <c r="H212" s="8">
        <v>0.08918353656130382</v>
      </c>
      <c r="I212" s="7">
        <v>1382.35</v>
      </c>
      <c r="J212" s="8">
        <v>-0.0016638333273049188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4" t="s">
        <v>222</v>
      </c>
      <c r="B213" s="5">
        <v>21081.42</v>
      </c>
      <c r="C213" s="7">
        <v>581.8</v>
      </c>
      <c r="D213" s="7">
        <v>17.2</v>
      </c>
      <c r="E213" s="7">
        <v>1118.0</v>
      </c>
      <c r="F213" s="8">
        <v>0.4796064400715564</v>
      </c>
      <c r="G213" s="7">
        <v>579.0</v>
      </c>
      <c r="H213" s="8">
        <v>0.004835924006908385</v>
      </c>
      <c r="I213" s="7">
        <v>592.4</v>
      </c>
      <c r="J213" s="8">
        <v>-0.01789331532748147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4" t="s">
        <v>223</v>
      </c>
      <c r="B214" s="5">
        <v>1992.0121939</v>
      </c>
      <c r="C214" s="7">
        <v>36.2</v>
      </c>
      <c r="D214" s="7">
        <v>593.93</v>
      </c>
      <c r="E214" s="7">
        <v>54.5</v>
      </c>
      <c r="F214" s="8">
        <v>0.33577981651376143</v>
      </c>
      <c r="G214" s="7">
        <v>18.7</v>
      </c>
      <c r="H214" s="8">
        <v>0.9358288770053478</v>
      </c>
      <c r="I214" s="7">
        <v>36.05</v>
      </c>
      <c r="J214" s="8">
        <v>0.004160887656033445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4" t="s">
        <v>224</v>
      </c>
      <c r="B215" s="5">
        <v>22166.9</v>
      </c>
      <c r="C215" s="7">
        <v>3020.0</v>
      </c>
      <c r="D215" s="7">
        <v>38.36</v>
      </c>
      <c r="E215" s="7">
        <v>3863.55</v>
      </c>
      <c r="F215" s="8">
        <v>0.2183354686751822</v>
      </c>
      <c r="G215" s="7">
        <v>2540.0</v>
      </c>
      <c r="H215" s="8">
        <v>0.1889763779527559</v>
      </c>
      <c r="I215" s="7">
        <v>3044.5</v>
      </c>
      <c r="J215" s="8">
        <v>-0.008047298406963376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4" t="s">
        <v>225</v>
      </c>
      <c r="B216" s="5">
        <v>4564.43</v>
      </c>
      <c r="C216" s="7">
        <v>1524.7</v>
      </c>
      <c r="D216" s="7">
        <v>17.12</v>
      </c>
      <c r="E216" s="7">
        <v>3925.0</v>
      </c>
      <c r="F216" s="8">
        <v>0.6115414012738853</v>
      </c>
      <c r="G216" s="7">
        <v>1515.1</v>
      </c>
      <c r="H216" s="8">
        <v>0.0063362154313247555</v>
      </c>
      <c r="I216" s="7">
        <v>1526.65</v>
      </c>
      <c r="J216" s="8">
        <v>-0.0012773065208135756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4" t="s">
        <v>226</v>
      </c>
      <c r="B217" s="5">
        <v>450686.7570293</v>
      </c>
      <c r="C217" s="7">
        <v>712.7</v>
      </c>
      <c r="D217" s="7">
        <v>23.63</v>
      </c>
      <c r="E217" s="7">
        <v>920.0</v>
      </c>
      <c r="F217" s="8">
        <v>0.22532608695652168</v>
      </c>
      <c r="G217" s="7">
        <v>588.0</v>
      </c>
      <c r="H217" s="8">
        <v>0.21207482993197288</v>
      </c>
      <c r="I217" s="7">
        <v>705.55</v>
      </c>
      <c r="J217" s="8">
        <v>0.01013393806250456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</sheetData>
  <conditionalFormatting sqref="B2:B217">
    <cfRule type="colorScale" priority="1">
      <colorScale>
        <cfvo type="min"/>
        <cfvo type="max"/>
        <color rgb="FFE0FFCC"/>
        <color rgb="FF57FF53"/>
      </colorScale>
    </cfRule>
  </conditionalFormatting>
  <conditionalFormatting sqref="J1:J217">
    <cfRule type="cellIs" dxfId="0" priority="2" operator="lessThan">
      <formula>0</formula>
    </cfRule>
  </conditionalFormatting>
  <conditionalFormatting sqref="J1:J217">
    <cfRule type="cellIs" dxfId="1" priority="3" operator="greaterThan">
      <formula>0</formula>
    </cfRule>
  </conditionalFormatting>
  <conditionalFormatting sqref="C2:C217">
    <cfRule type="notContainsBlanks" dxfId="2" priority="4">
      <formula>LEN(TRIM(C2))&gt;0</formula>
    </cfRule>
  </conditionalFormatting>
  <conditionalFormatting sqref="E2:E217">
    <cfRule type="notContainsBlanks" dxfId="3" priority="5">
      <formula>LEN(TRIM(E2))&gt;0</formula>
    </cfRule>
  </conditionalFormatting>
  <conditionalFormatting sqref="G2:G217">
    <cfRule type="notContainsBlanks" dxfId="4" priority="6">
      <formula>LEN(TRIM(G2))&gt;0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tr">
        <f>IFERROR(__xludf.DUMMYFUNCTION("QUERY('Data Set'!A:J, ""SELECT * WHERE D IS NOT NULL AND D &lt; 100 ORDER BY B DESC"")")," ")</f>
        <v> </v>
      </c>
      <c r="B1" s="14" t="str">
        <f>IFERROR(__xludf.DUMMYFUNCTION("""COMPUTED_VALUE"""),"Market cap (in Rs Cr.)")</f>
        <v>Market cap (in Rs Cr.)</v>
      </c>
      <c r="C1" s="14" t="str">
        <f>IFERROR(__xludf.DUMMYFUNCTION("""COMPUTED_VALUE"""),"Current price")</f>
        <v>Current price</v>
      </c>
      <c r="D1" s="14" t="str">
        <f>IFERROR(__xludf.DUMMYFUNCTION("""COMPUTED_VALUE"""),"PE Ratio")</f>
        <v>PE Ratio</v>
      </c>
      <c r="E1" s="14" t="str">
        <f>IFERROR(__xludf.DUMMYFUNCTION("""COMPUTED_VALUE"""),"52 Week High")</f>
        <v>52 Week High</v>
      </c>
      <c r="F1" s="14" t="str">
        <f>IFERROR(__xludf.DUMMYFUNCTION("""COMPUTED_VALUE"""),"% Below 52 week high")</f>
        <v>% Below 52 week high</v>
      </c>
      <c r="G1" s="14" t="str">
        <f>IFERROR(__xludf.DUMMYFUNCTION("""COMPUTED_VALUE"""),"52 Week Low")</f>
        <v>52 Week Low</v>
      </c>
      <c r="H1" s="14" t="str">
        <f>IFERROR(__xludf.DUMMYFUNCTION("""COMPUTED_VALUE"""),"% Above 52 Week low")</f>
        <v>% Above 52 Week low</v>
      </c>
      <c r="I1" s="14" t="str">
        <f>IFERROR(__xludf.DUMMYFUNCTION("""COMPUTED_VALUE"""),"Yesterday Closing Price")</f>
        <v>Yesterday Closing Price</v>
      </c>
      <c r="J1" s="14" t="str">
        <f>IFERROR(__xludf.DUMMYFUNCTION("""COMPUTED_VALUE"""),"% Change")</f>
        <v>% Change</v>
      </c>
      <c r="K1" s="15" t="s">
        <v>227</v>
      </c>
      <c r="L1" s="15" t="s">
        <v>228</v>
      </c>
      <c r="M1" s="15" t="s">
        <v>229</v>
      </c>
      <c r="N1" s="15" t="s">
        <v>230</v>
      </c>
      <c r="O1" s="15" t="s">
        <v>231</v>
      </c>
      <c r="P1" s="15" t="s">
        <v>232</v>
      </c>
    </row>
    <row r="2">
      <c r="A2" s="14" t="str">
        <f>IFERROR(__xludf.DUMMYFUNCTION("""COMPUTED_VALUE"""),"Reliance")</f>
        <v>Reliance</v>
      </c>
      <c r="B2" s="16">
        <f>IFERROR(__xludf.DUMMYFUNCTION("""COMPUTED_VALUE"""),1620922.4391001)</f>
        <v>1620922.439</v>
      </c>
      <c r="C2" s="14">
        <f>IFERROR(__xludf.DUMMYFUNCTION("""COMPUTED_VALUE"""),2467.9)</f>
        <v>2467.9</v>
      </c>
      <c r="D2" s="14">
        <f>IFERROR(__xludf.DUMMYFUNCTION("""COMPUTED_VALUE"""),25.09)</f>
        <v>25.09</v>
      </c>
      <c r="E2" s="14">
        <f>IFERROR(__xludf.DUMMYFUNCTION("""COMPUTED_VALUE"""),2856.15)</f>
        <v>2856.15</v>
      </c>
      <c r="F2" s="17">
        <f>IFERROR(__xludf.DUMMYFUNCTION("""COMPUTED_VALUE"""),0.1359347373212191)</f>
        <v>0.1359347373</v>
      </c>
      <c r="G2" s="14">
        <f>IFERROR(__xludf.DUMMYFUNCTION("""COMPUTED_VALUE"""),2180.0)</f>
        <v>2180</v>
      </c>
      <c r="H2" s="17">
        <f>IFERROR(__xludf.DUMMYFUNCTION("""COMPUTED_VALUE"""),0.1320642201834863)</f>
        <v>0.1320642202</v>
      </c>
      <c r="I2" s="14">
        <f>IFERROR(__xludf.DUMMYFUNCTION("""COMPUTED_VALUE"""),2471.6)</f>
        <v>2471.6</v>
      </c>
      <c r="J2" s="17">
        <f>IFERROR(__xludf.DUMMYFUNCTION("""COMPUTED_VALUE"""),-0.0014970059880238785)</f>
        <v>-0.001497005988</v>
      </c>
      <c r="K2" s="14" t="str">
        <f t="array" ref="K2:K1000">IF(LEN(A2:A1000), VLOOKUP(A2:A1000, 'NSEBSE Code'!A:B, 2, FALSE), "")</f>
        <v>Telecom and oil</v>
      </c>
      <c r="L2" s="14" t="str">
        <f t="array" ref="L2:L1000">IF(LEN(A2:A1000), VLOOKUP(A2:A1000, 'NSEBSE Code'!A:C, 3, FALSE), "")</f>
        <v>RELIANCE</v>
      </c>
      <c r="M2" s="15" t="str">
        <f t="array" ref="M2:M191">IF(E2:E191 &gt; 30, "Yes", "No")</f>
        <v>Yes</v>
      </c>
      <c r="N2" s="15" t="str">
        <f t="array" ref="N2:N191">IF(G2:G191 &lt; -30, "Yes", "No")</f>
        <v>No</v>
      </c>
      <c r="O2" s="15" t="str">
        <f t="array" ref="O2:O191">IF((D2:D191 &lt; 65) * (M2:M191 = "No") * (N2:N191 = "No"), "Good Stock", "")</f>
        <v/>
      </c>
      <c r="P2" s="14" t="str">
        <f t="array" ref="P2:P191">IFERROR(IF(B2:B191 &gt;= 0.6 * MAX(B2:B191), "Large Cap",
                         IF(B2:B191 &gt;= 0.4 * MAX(B2:B191), "Medium Cap", "Low Cap")), "")</f>
        <v>Large Cap</v>
      </c>
    </row>
    <row r="3">
      <c r="A3" s="14" t="str">
        <f>IFERROR(__xludf.DUMMYFUNCTION("""COMPUTED_VALUE"""),"TCS")</f>
        <v>TCS</v>
      </c>
      <c r="B3" s="16">
        <f>IFERROR(__xludf.DUMMYFUNCTION("""COMPUTED_VALUE"""),1234544.5174748)</f>
        <v>1234544.517</v>
      </c>
      <c r="C3" s="14">
        <f>IFERROR(__xludf.DUMMYFUNCTION("""COMPUTED_VALUE"""),3374.2)</f>
        <v>3374.2</v>
      </c>
      <c r="D3" s="14">
        <f>IFERROR(__xludf.DUMMYFUNCTION("""COMPUTED_VALUE"""),30.43)</f>
        <v>30.43</v>
      </c>
      <c r="E3" s="14">
        <f>IFERROR(__xludf.DUMMYFUNCTION("""COMPUTED_VALUE"""),4045.5)</f>
        <v>4045.5</v>
      </c>
      <c r="F3" s="17">
        <f>IFERROR(__xludf.DUMMYFUNCTION("""COMPUTED_VALUE"""),0.1659374613768385)</f>
        <v>0.1659374614</v>
      </c>
      <c r="G3" s="14">
        <f>IFERROR(__xludf.DUMMYFUNCTION("""COMPUTED_VALUE"""),2926.0)</f>
        <v>2926</v>
      </c>
      <c r="H3" s="17">
        <f>IFERROR(__xludf.DUMMYFUNCTION("""COMPUTED_VALUE"""),0.15317840054682152)</f>
        <v>0.1531784005</v>
      </c>
      <c r="I3" s="14">
        <f>IFERROR(__xludf.DUMMYFUNCTION("""COMPUTED_VALUE"""),3334.6)</f>
        <v>3334.6</v>
      </c>
      <c r="J3" s="17">
        <f>IFERROR(__xludf.DUMMYFUNCTION("""COMPUTED_VALUE"""),0.01187548731482034)</f>
        <v>0.01187548731</v>
      </c>
      <c r="K3" s="14" t="s">
        <v>233</v>
      </c>
      <c r="L3" s="14" t="s">
        <v>234</v>
      </c>
      <c r="M3" s="14" t="s">
        <v>235</v>
      </c>
      <c r="N3" s="14" t="s">
        <v>236</v>
      </c>
      <c r="O3" s="14" t="s">
        <v>237</v>
      </c>
      <c r="P3" s="14" t="s">
        <v>238</v>
      </c>
    </row>
    <row r="4">
      <c r="A4" s="14" t="str">
        <f>IFERROR(__xludf.DUMMYFUNCTION("""COMPUTED_VALUE"""),"HUL")</f>
        <v>HUL</v>
      </c>
      <c r="B4" s="16">
        <f>IFERROR(__xludf.DUMMYFUNCTION("""COMPUTED_VALUE"""),616301.326875)</f>
        <v>616301.3269</v>
      </c>
      <c r="C4" s="14">
        <f>IFERROR(__xludf.DUMMYFUNCTION("""COMPUTED_VALUE"""),2620.6)</f>
        <v>2620.6</v>
      </c>
      <c r="D4" s="14">
        <f>IFERROR(__xludf.DUMMYFUNCTION("""COMPUTED_VALUE"""),63.81)</f>
        <v>63.81</v>
      </c>
      <c r="E4" s="14">
        <f>IFERROR(__xludf.DUMMYFUNCTION("""COMPUTED_VALUE"""),2741.6)</f>
        <v>2741.6</v>
      </c>
      <c r="F4" s="17">
        <f>IFERROR(__xludf.DUMMYFUNCTION("""COMPUTED_VALUE"""),0.0441348117887365)</f>
        <v>0.04413481179</v>
      </c>
      <c r="G4" s="14">
        <f>IFERROR(__xludf.DUMMYFUNCTION("""COMPUTED_VALUE"""),1901.55)</f>
        <v>1901.55</v>
      </c>
      <c r="H4" s="17">
        <f>IFERROR(__xludf.DUMMYFUNCTION("""COMPUTED_VALUE"""),0.37813888669769397)</f>
        <v>0.3781388867</v>
      </c>
      <c r="I4" s="14">
        <f>IFERROR(__xludf.DUMMYFUNCTION("""COMPUTED_VALUE"""),2590.05)</f>
        <v>2590.05</v>
      </c>
      <c r="J4" s="17">
        <f>IFERROR(__xludf.DUMMYFUNCTION("""COMPUTED_VALUE"""),0.011795139089978852)</f>
        <v>0.01179513909</v>
      </c>
      <c r="K4" s="14" t="s">
        <v>239</v>
      </c>
      <c r="L4" s="14" t="s">
        <v>240</v>
      </c>
      <c r="M4" s="14" t="s">
        <v>235</v>
      </c>
      <c r="N4" s="14" t="s">
        <v>236</v>
      </c>
      <c r="O4" s="14" t="s">
        <v>237</v>
      </c>
      <c r="P4" s="14" t="s">
        <v>241</v>
      </c>
    </row>
    <row r="5">
      <c r="A5" s="14" t="str">
        <f>IFERROR(__xludf.DUMMYFUNCTION("""COMPUTED_VALUE"""),"SBI Bank")</f>
        <v>SBI Bank</v>
      </c>
      <c r="B5" s="16">
        <f>IFERROR(__xludf.DUMMYFUNCTION("""COMPUTED_VALUE"""),535431.3246675)</f>
        <v>535431.3247</v>
      </c>
      <c r="C5" s="14">
        <f>IFERROR(__xludf.DUMMYFUNCTION("""COMPUTED_VALUE"""),600.05)</f>
        <v>600.05</v>
      </c>
      <c r="D5" s="14">
        <f>IFERROR(__xludf.DUMMYFUNCTION("""COMPUTED_VALUE"""),13.0)</f>
        <v>13</v>
      </c>
      <c r="E5" s="14">
        <f>IFERROR(__xludf.DUMMYFUNCTION("""COMPUTED_VALUE"""),629.65)</f>
        <v>629.65</v>
      </c>
      <c r="F5" s="17">
        <f>IFERROR(__xludf.DUMMYFUNCTION("""COMPUTED_VALUE"""),0.047010243786230484)</f>
        <v>0.04701024379</v>
      </c>
      <c r="G5" s="14">
        <f>IFERROR(__xludf.DUMMYFUNCTION("""COMPUTED_VALUE"""),425.0)</f>
        <v>425</v>
      </c>
      <c r="H5" s="17">
        <f>IFERROR(__xludf.DUMMYFUNCTION("""COMPUTED_VALUE"""),0.41188235294117637)</f>
        <v>0.4118823529</v>
      </c>
      <c r="I5" s="14">
        <f>IFERROR(__xludf.DUMMYFUNCTION("""COMPUTED_VALUE"""),595.0)</f>
        <v>595</v>
      </c>
      <c r="J5" s="17">
        <f>IFERROR(__xludf.DUMMYFUNCTION("""COMPUTED_VALUE"""),0.008487394957983117)</f>
        <v>0.008487394958</v>
      </c>
      <c r="K5" s="14" t="s">
        <v>242</v>
      </c>
      <c r="L5" s="14" t="s">
        <v>243</v>
      </c>
      <c r="M5" s="14" t="s">
        <v>235</v>
      </c>
      <c r="N5" s="14" t="s">
        <v>236</v>
      </c>
      <c r="O5" s="14" t="s">
        <v>237</v>
      </c>
      <c r="P5" s="14" t="s">
        <v>241</v>
      </c>
    </row>
    <row r="6">
      <c r="A6" s="14" t="str">
        <f>IFERROR(__xludf.DUMMYFUNCTION("""COMPUTED_VALUE"""),"HDFC")</f>
        <v>HDFC</v>
      </c>
      <c r="B6" s="16">
        <f>IFERROR(__xludf.DUMMYFUNCTION("""COMPUTED_VALUE"""),478914.7)</f>
        <v>478914.7</v>
      </c>
      <c r="C6" s="14">
        <f>IFERROR(__xludf.DUMMYFUNCTION("""COMPUTED_VALUE"""),2619.25)</f>
        <v>2619.25</v>
      </c>
      <c r="D6" s="14">
        <f>IFERROR(__xludf.DUMMYFUNCTION("""COMPUTED_VALUE"""),19.81)</f>
        <v>19.81</v>
      </c>
      <c r="E6" s="14">
        <f>IFERROR(__xludf.DUMMYFUNCTION("""COMPUTED_VALUE"""),2933.8)</f>
        <v>2933.8</v>
      </c>
      <c r="F6" s="17">
        <f>IFERROR(__xludf.DUMMYFUNCTION("""COMPUTED_VALUE"""),0.10721589747085697)</f>
        <v>0.1072158975</v>
      </c>
      <c r="G6" s="14">
        <f>IFERROR(__xludf.DUMMYFUNCTION("""COMPUTED_VALUE"""),2026.0)</f>
        <v>2026</v>
      </c>
      <c r="H6" s="17">
        <f>IFERROR(__xludf.DUMMYFUNCTION("""COMPUTED_VALUE"""),0.2928183613030602)</f>
        <v>0.2928183613</v>
      </c>
      <c r="I6" s="14">
        <f>IFERROR(__xludf.DUMMYFUNCTION("""COMPUTED_VALUE"""),2612.8)</f>
        <v>2612.8</v>
      </c>
      <c r="J6" s="17">
        <f>IFERROR(__xludf.DUMMYFUNCTION("""COMPUTED_VALUE"""),0.002468616044090561)</f>
        <v>0.002468616044</v>
      </c>
      <c r="K6" s="14" t="s">
        <v>244</v>
      </c>
      <c r="L6" s="14" t="s">
        <v>211</v>
      </c>
      <c r="M6" s="14" t="s">
        <v>235</v>
      </c>
      <c r="N6" s="14" t="s">
        <v>236</v>
      </c>
      <c r="O6" s="14" t="s">
        <v>237</v>
      </c>
      <c r="P6" s="14" t="s">
        <v>241</v>
      </c>
    </row>
    <row r="7">
      <c r="A7" s="14" t="str">
        <f>IFERROR(__xludf.DUMMYFUNCTION("""COMPUTED_VALUE"""),"LIC")</f>
        <v>LIC</v>
      </c>
      <c r="B7" s="16">
        <f>IFERROR(__xludf.DUMMYFUNCTION("""COMPUTED_VALUE"""),450686.7570293)</f>
        <v>450686.757</v>
      </c>
      <c r="C7" s="14">
        <f>IFERROR(__xludf.DUMMYFUNCTION("""COMPUTED_VALUE"""),712.7)</f>
        <v>712.7</v>
      </c>
      <c r="D7" s="14">
        <f>IFERROR(__xludf.DUMMYFUNCTION("""COMPUTED_VALUE"""),23.63)</f>
        <v>23.63</v>
      </c>
      <c r="E7" s="14">
        <f>IFERROR(__xludf.DUMMYFUNCTION("""COMPUTED_VALUE"""),920.0)</f>
        <v>920</v>
      </c>
      <c r="F7" s="17">
        <f>IFERROR(__xludf.DUMMYFUNCTION("""COMPUTED_VALUE"""),0.22532608695652168)</f>
        <v>0.225326087</v>
      </c>
      <c r="G7" s="14">
        <f>IFERROR(__xludf.DUMMYFUNCTION("""COMPUTED_VALUE"""),588.0)</f>
        <v>588</v>
      </c>
      <c r="H7" s="17">
        <f>IFERROR(__xludf.DUMMYFUNCTION("""COMPUTED_VALUE"""),0.21207482993197288)</f>
        <v>0.2120748299</v>
      </c>
      <c r="I7" s="14">
        <f>IFERROR(__xludf.DUMMYFUNCTION("""COMPUTED_VALUE"""),705.55)</f>
        <v>705.55</v>
      </c>
      <c r="J7" s="17">
        <f>IFERROR(__xludf.DUMMYFUNCTION("""COMPUTED_VALUE"""),0.01013393806250456)</f>
        <v>0.01013393806</v>
      </c>
      <c r="K7" s="14" t="s">
        <v>245</v>
      </c>
      <c r="L7" s="14" t="s">
        <v>246</v>
      </c>
      <c r="M7" s="14" t="s">
        <v>235</v>
      </c>
      <c r="N7" s="14" t="s">
        <v>236</v>
      </c>
      <c r="O7" s="14" t="s">
        <v>237</v>
      </c>
      <c r="P7" s="14" t="s">
        <v>241</v>
      </c>
    </row>
    <row r="8">
      <c r="A8" s="14" t="str">
        <f>IFERROR(__xludf.DUMMYFUNCTION("""COMPUTED_VALUE"""),"Airtel")</f>
        <v>Airtel</v>
      </c>
      <c r="B8" s="16">
        <f>IFERROR(__xludf.DUMMYFUNCTION("""COMPUTED_VALUE"""),441027.3972459)</f>
        <v>441027.3972</v>
      </c>
      <c r="C8" s="14">
        <f>IFERROR(__xludf.DUMMYFUNCTION("""COMPUTED_VALUE"""),764.6)</f>
        <v>764.6</v>
      </c>
      <c r="D8" s="14">
        <f>IFERROR(__xludf.DUMMYFUNCTION("""COMPUTED_VALUE"""),65.86)</f>
        <v>65.86</v>
      </c>
      <c r="E8" s="14">
        <f>IFERROR(__xludf.DUMMYFUNCTION("""COMPUTED_VALUE"""),860.55)</f>
        <v>860.55</v>
      </c>
      <c r="F8" s="17">
        <f>IFERROR(__xludf.DUMMYFUNCTION("""COMPUTED_VALUE"""),0.11149846028702566)</f>
        <v>0.1114984603</v>
      </c>
      <c r="G8" s="14">
        <f>IFERROR(__xludf.DUMMYFUNCTION("""COMPUTED_VALUE"""),628.75)</f>
        <v>628.75</v>
      </c>
      <c r="H8" s="17">
        <f>IFERROR(__xludf.DUMMYFUNCTION("""COMPUTED_VALUE"""),0.2160636182902585)</f>
        <v>0.2160636183</v>
      </c>
      <c r="I8" s="14">
        <f>IFERROR(__xludf.DUMMYFUNCTION("""COMPUTED_VALUE"""),756.9)</f>
        <v>756.9</v>
      </c>
      <c r="J8" s="17">
        <f>IFERROR(__xludf.DUMMYFUNCTION("""COMPUTED_VALUE"""),0.010173074382349117)</f>
        <v>0.01017307438</v>
      </c>
      <c r="K8" s="14" t="s">
        <v>247</v>
      </c>
      <c r="L8" s="14" t="s">
        <v>248</v>
      </c>
      <c r="M8" s="14" t="s">
        <v>235</v>
      </c>
      <c r="N8" s="14" t="s">
        <v>236</v>
      </c>
      <c r="O8" s="14" t="s">
        <v>237</v>
      </c>
      <c r="P8" s="14" t="s">
        <v>241</v>
      </c>
    </row>
    <row r="9">
      <c r="A9" s="14" t="str">
        <f>IFERROR(__xludf.DUMMYFUNCTION("""COMPUTED_VALUE"""),"Bajaj Finance")</f>
        <v>Bajaj Finance</v>
      </c>
      <c r="B9" s="16">
        <f>IFERROR(__xludf.DUMMYFUNCTION("""COMPUTED_VALUE"""),361172.6351402)</f>
        <v>361172.6351</v>
      </c>
      <c r="C9" s="14">
        <f>IFERROR(__xludf.DUMMYFUNCTION("""COMPUTED_VALUE"""),5977.0)</f>
        <v>5977</v>
      </c>
      <c r="D9" s="14">
        <f>IFERROR(__xludf.DUMMYFUNCTION("""COMPUTED_VALUE"""),36.52)</f>
        <v>36.52</v>
      </c>
      <c r="E9" s="14">
        <f>IFERROR(__xludf.DUMMYFUNCTION("""COMPUTED_VALUE"""),8045.0)</f>
        <v>8045</v>
      </c>
      <c r="F9" s="17">
        <f>IFERROR(__xludf.DUMMYFUNCTION("""COMPUTED_VALUE"""),0.25705407085146054)</f>
        <v>0.2570540709</v>
      </c>
      <c r="G9" s="14">
        <f>IFERROR(__xludf.DUMMYFUNCTION("""COMPUTED_VALUE"""),5220.0)</f>
        <v>5220</v>
      </c>
      <c r="H9" s="17">
        <f>IFERROR(__xludf.DUMMYFUNCTION("""COMPUTED_VALUE"""),0.1450191570881226)</f>
        <v>0.1450191571</v>
      </c>
      <c r="I9" s="14">
        <f>IFERROR(__xludf.DUMMYFUNCTION("""COMPUTED_VALUE"""),5898.4)</f>
        <v>5898.4</v>
      </c>
      <c r="J9" s="17">
        <f>IFERROR(__xludf.DUMMYFUNCTION("""COMPUTED_VALUE"""),0.013325647633256539)</f>
        <v>0.01332564763</v>
      </c>
      <c r="K9" s="14" t="s">
        <v>249</v>
      </c>
      <c r="L9" s="14" t="s">
        <v>250</v>
      </c>
      <c r="M9" s="14" t="s">
        <v>235</v>
      </c>
      <c r="N9" s="14" t="s">
        <v>236</v>
      </c>
      <c r="O9" s="14" t="s">
        <v>237</v>
      </c>
      <c r="P9" s="14" t="s">
        <v>241</v>
      </c>
    </row>
    <row r="10">
      <c r="A10" s="14" t="str">
        <f>IFERROR(__xludf.DUMMYFUNCTION("""COMPUTED_VALUE"""),"Kotak Bank")</f>
        <v>Kotak Bank</v>
      </c>
      <c r="B10" s="16">
        <f>IFERROR(__xludf.DUMMYFUNCTION("""COMPUTED_VALUE"""),354002.5359556)</f>
        <v>354002.536</v>
      </c>
      <c r="C10" s="14">
        <f>IFERROR(__xludf.DUMMYFUNCTION("""COMPUTED_VALUE"""),1780.5)</f>
        <v>1780.5</v>
      </c>
      <c r="D10" s="14">
        <f>IFERROR(__xludf.DUMMYFUNCTION("""COMPUTED_VALUE"""),25.87)</f>
        <v>25.87</v>
      </c>
      <c r="E10" s="14">
        <f>IFERROR(__xludf.DUMMYFUNCTION("""COMPUTED_VALUE"""),1997.55)</f>
        <v>1997.55</v>
      </c>
      <c r="F10" s="17">
        <f>IFERROR(__xludf.DUMMYFUNCTION("""COMPUTED_VALUE"""),0.10865810618007056)</f>
        <v>0.1086581062</v>
      </c>
      <c r="G10" s="14">
        <f>IFERROR(__xludf.DUMMYFUNCTION("""COMPUTED_VALUE"""),1631.0)</f>
        <v>1631</v>
      </c>
      <c r="H10" s="17">
        <f>IFERROR(__xludf.DUMMYFUNCTION("""COMPUTED_VALUE"""),0.09166155732679337)</f>
        <v>0.09166155733</v>
      </c>
      <c r="I10" s="14">
        <f>IFERROR(__xludf.DUMMYFUNCTION("""COMPUTED_VALUE"""),1779.5)</f>
        <v>1779.5</v>
      </c>
      <c r="J10" s="17">
        <f>IFERROR(__xludf.DUMMYFUNCTION("""COMPUTED_VALUE"""),5.61955605507165E-4)</f>
        <v>0.0005619556055</v>
      </c>
      <c r="K10" s="14" t="s">
        <v>242</v>
      </c>
      <c r="L10" s="14" t="s">
        <v>251</v>
      </c>
      <c r="M10" s="14" t="s">
        <v>235</v>
      </c>
      <c r="N10" s="14" t="s">
        <v>236</v>
      </c>
      <c r="O10" s="14" t="s">
        <v>237</v>
      </c>
      <c r="P10" s="14" t="s">
        <v>241</v>
      </c>
    </row>
    <row r="11">
      <c r="A11" s="14" t="str">
        <f>IFERROR(__xludf.DUMMYFUNCTION("""COMPUTED_VALUE"""),"L&amp;T")</f>
        <v>L&amp;T</v>
      </c>
      <c r="B11" s="16">
        <f>IFERROR(__xludf.DUMMYFUNCTION("""COMPUTED_VALUE"""),302617.166625)</f>
        <v>302617.1666</v>
      </c>
      <c r="C11" s="14">
        <f>IFERROR(__xludf.DUMMYFUNCTION("""COMPUTED_VALUE"""),2153.75)</f>
        <v>2153.75</v>
      </c>
      <c r="D11" s="14">
        <f>IFERROR(__xludf.DUMMYFUNCTION("""COMPUTED_VALUE"""),31.53)</f>
        <v>31.53</v>
      </c>
      <c r="E11" s="14">
        <f>IFERROR(__xludf.DUMMYFUNCTION("""COMPUTED_VALUE"""),2210.5)</f>
        <v>2210.5</v>
      </c>
      <c r="F11" s="17">
        <f>IFERROR(__xludf.DUMMYFUNCTION("""COMPUTED_VALUE"""),0.025672924677674736)</f>
        <v>0.02567292468</v>
      </c>
      <c r="G11" s="14">
        <f>IFERROR(__xludf.DUMMYFUNCTION("""COMPUTED_VALUE"""),1456.8)</f>
        <v>1456.8</v>
      </c>
      <c r="H11" s="17">
        <f>IFERROR(__xludf.DUMMYFUNCTION("""COMPUTED_VALUE"""),0.4784115870400879)</f>
        <v>0.478411587</v>
      </c>
      <c r="I11" s="14">
        <f>IFERROR(__xludf.DUMMYFUNCTION("""COMPUTED_VALUE"""),2160.2)</f>
        <v>2160.2</v>
      </c>
      <c r="J11" s="17">
        <f>IFERROR(__xludf.DUMMYFUNCTION("""COMPUTED_VALUE"""),-0.0029858346449401995)</f>
        <v>-0.002985834645</v>
      </c>
      <c r="K11" s="14" t="s">
        <v>252</v>
      </c>
      <c r="L11" s="14" t="s">
        <v>253</v>
      </c>
      <c r="M11" s="14" t="s">
        <v>235</v>
      </c>
      <c r="N11" s="14" t="s">
        <v>236</v>
      </c>
      <c r="O11" s="14" t="s">
        <v>237</v>
      </c>
      <c r="P11" s="14" t="s">
        <v>241</v>
      </c>
    </row>
    <row r="12">
      <c r="A12" s="14" t="str">
        <f>IFERROR(__xludf.DUMMYFUNCTION("""COMPUTED_VALUE"""),"Axis Bank")</f>
        <v>Axis Bank</v>
      </c>
      <c r="B12" s="16">
        <f>IFERROR(__xludf.DUMMYFUNCTION("""COMPUTED_VALUE"""),287213.2945283)</f>
        <v>287213.2945</v>
      </c>
      <c r="C12" s="14">
        <f>IFERROR(__xludf.DUMMYFUNCTION("""COMPUTED_VALUE"""),933.9)</f>
        <v>933.9</v>
      </c>
      <c r="D12" s="14">
        <f>IFERROR(__xludf.DUMMYFUNCTION("""COMPUTED_VALUE"""),15.67)</f>
        <v>15.67</v>
      </c>
      <c r="E12" s="14">
        <f>IFERROR(__xludf.DUMMYFUNCTION("""COMPUTED_VALUE"""),970.0)</f>
        <v>970</v>
      </c>
      <c r="F12" s="17">
        <f>IFERROR(__xludf.DUMMYFUNCTION("""COMPUTED_VALUE"""),0.03721649484536085)</f>
        <v>0.03721649485</v>
      </c>
      <c r="G12" s="14">
        <f>IFERROR(__xludf.DUMMYFUNCTION("""COMPUTED_VALUE"""),618.25)</f>
        <v>618.25</v>
      </c>
      <c r="H12" s="17">
        <f>IFERROR(__xludf.DUMMYFUNCTION("""COMPUTED_VALUE"""),0.5105539830165791)</f>
        <v>0.510553983</v>
      </c>
      <c r="I12" s="14">
        <f>IFERROR(__xludf.DUMMYFUNCTION("""COMPUTED_VALUE"""),935.55)</f>
        <v>935.55</v>
      </c>
      <c r="J12" s="17">
        <f>IFERROR(__xludf.DUMMYFUNCTION("""COMPUTED_VALUE"""),-0.0017636684303350728)</f>
        <v>-0.00176366843</v>
      </c>
      <c r="K12" s="14" t="s">
        <v>242</v>
      </c>
      <c r="L12" s="14" t="s">
        <v>254</v>
      </c>
      <c r="M12" s="14" t="s">
        <v>235</v>
      </c>
      <c r="N12" s="14" t="s">
        <v>236</v>
      </c>
      <c r="O12" s="14" t="s">
        <v>237</v>
      </c>
      <c r="P12" s="14" t="s">
        <v>241</v>
      </c>
    </row>
    <row r="13">
      <c r="A13" s="14" t="str">
        <f>IFERROR(__xludf.DUMMYFUNCTION("""COMPUTED_VALUE"""),"Asian Paints")</f>
        <v>Asian Paints</v>
      </c>
      <c r="B13" s="16">
        <f>IFERROR(__xludf.DUMMYFUNCTION("""COMPUTED_VALUE"""),278960.0995659)</f>
        <v>278960.0996</v>
      </c>
      <c r="C13" s="14">
        <f>IFERROR(__xludf.DUMMYFUNCTION("""COMPUTED_VALUE"""),2912.0)</f>
        <v>2912</v>
      </c>
      <c r="D13" s="14">
        <f>IFERROR(__xludf.DUMMYFUNCTION("""COMPUTED_VALUE"""),76.19)</f>
        <v>76.19</v>
      </c>
      <c r="E13" s="14">
        <f>IFERROR(__xludf.DUMMYFUNCTION("""COMPUTED_VALUE"""),3582.9)</f>
        <v>3582.9</v>
      </c>
      <c r="F13" s="17">
        <f>IFERROR(__xludf.DUMMYFUNCTION("""COMPUTED_VALUE"""),0.18725055122945103)</f>
        <v>0.1872505512</v>
      </c>
      <c r="G13" s="14">
        <f>IFERROR(__xludf.DUMMYFUNCTION("""COMPUTED_VALUE"""),2560.0)</f>
        <v>2560</v>
      </c>
      <c r="H13" s="17">
        <f>IFERROR(__xludf.DUMMYFUNCTION("""COMPUTED_VALUE"""),0.1375)</f>
        <v>0.1375</v>
      </c>
      <c r="I13" s="14">
        <f>IFERROR(__xludf.DUMMYFUNCTION("""COMPUTED_VALUE"""),2915.95)</f>
        <v>2915.95</v>
      </c>
      <c r="J13" s="17">
        <f>IFERROR(__xludf.DUMMYFUNCTION("""COMPUTED_VALUE"""),-0.0013546185634183776)</f>
        <v>-0.001354618563</v>
      </c>
      <c r="K13" s="14" t="s">
        <v>255</v>
      </c>
      <c r="L13" s="14" t="s">
        <v>256</v>
      </c>
      <c r="M13" s="14" t="s">
        <v>235</v>
      </c>
      <c r="N13" s="14" t="s">
        <v>236</v>
      </c>
      <c r="O13" s="14" t="s">
        <v>237</v>
      </c>
      <c r="P13" s="14" t="s">
        <v>241</v>
      </c>
    </row>
    <row r="14">
      <c r="A14" s="14" t="str">
        <f>IFERROR(__xludf.DUMMYFUNCTION("""COMPUTED_VALUE"""),"Maruti Suzuki")</f>
        <v>Maruti Suzuki</v>
      </c>
      <c r="B14" s="16">
        <f>IFERROR(__xludf.DUMMYFUNCTION("""COMPUTED_VALUE"""),255438.4185926)</f>
        <v>255438.4186</v>
      </c>
      <c r="C14" s="14">
        <f>IFERROR(__xludf.DUMMYFUNCTION("""COMPUTED_VALUE"""),8454.2)</f>
        <v>8454.2</v>
      </c>
      <c r="D14" s="14">
        <f>IFERROR(__xludf.DUMMYFUNCTION("""COMPUTED_VALUE"""),42.1)</f>
        <v>42.1</v>
      </c>
      <c r="E14" s="14">
        <f>IFERROR(__xludf.DUMMYFUNCTION("""COMPUTED_VALUE"""),9769.0)</f>
        <v>9769</v>
      </c>
      <c r="F14" s="17">
        <f>IFERROR(__xludf.DUMMYFUNCTION("""COMPUTED_VALUE"""),0.13458900603951268)</f>
        <v>0.134589006</v>
      </c>
      <c r="G14" s="14">
        <f>IFERROR(__xludf.DUMMYFUNCTION("""COMPUTED_VALUE"""),6536.55)</f>
        <v>6536.55</v>
      </c>
      <c r="H14" s="17">
        <f>IFERROR(__xludf.DUMMYFUNCTION("""COMPUTED_VALUE"""),0.2933734156397489)</f>
        <v>0.2933734156</v>
      </c>
      <c r="I14" s="14">
        <f>IFERROR(__xludf.DUMMYFUNCTION("""COMPUTED_VALUE"""),8369.2)</f>
        <v>8369.2</v>
      </c>
      <c r="J14" s="17">
        <f>IFERROR(__xludf.DUMMYFUNCTION("""COMPUTED_VALUE"""),0.010156287339291688)</f>
        <v>0.01015628734</v>
      </c>
      <c r="K14" s="14" t="s">
        <v>257</v>
      </c>
      <c r="L14" s="14" t="s">
        <v>258</v>
      </c>
      <c r="M14" s="14" t="s">
        <v>235</v>
      </c>
      <c r="N14" s="14" t="s">
        <v>236</v>
      </c>
      <c r="O14" s="14" t="s">
        <v>237</v>
      </c>
      <c r="P14" s="14" t="s">
        <v>241</v>
      </c>
    </row>
    <row r="15">
      <c r="A15" s="14" t="str">
        <f>IFERROR(__xludf.DUMMYFUNCTION("""COMPUTED_VALUE"""),"Sun pharma")</f>
        <v>Sun pharma</v>
      </c>
      <c r="B15" s="16">
        <f>IFERROR(__xludf.DUMMYFUNCTION("""COMPUTED_VALUE"""),247191.650802)</f>
        <v>247191.6508</v>
      </c>
      <c r="C15" s="14">
        <f>IFERROR(__xludf.DUMMYFUNCTION("""COMPUTED_VALUE"""),1031.05)</f>
        <v>1031.05</v>
      </c>
      <c r="D15" s="14">
        <f>IFERROR(__xludf.DUMMYFUNCTION("""COMPUTED_VALUE"""),60.4)</f>
        <v>60.4</v>
      </c>
      <c r="E15" s="14">
        <f>IFERROR(__xludf.DUMMYFUNCTION("""COMPUTED_VALUE"""),1070.95)</f>
        <v>1070.95</v>
      </c>
      <c r="F15" s="17">
        <f>IFERROR(__xludf.DUMMYFUNCTION("""COMPUTED_VALUE"""),0.03725664129978065)</f>
        <v>0.0372566413</v>
      </c>
      <c r="G15" s="14">
        <f>IFERROR(__xludf.DUMMYFUNCTION("""COMPUTED_VALUE"""),784.8)</f>
        <v>784.8</v>
      </c>
      <c r="H15" s="17">
        <f>IFERROR(__xludf.DUMMYFUNCTION("""COMPUTED_VALUE"""),0.3137742099898063)</f>
        <v>0.31377421</v>
      </c>
      <c r="I15" s="14">
        <f>IFERROR(__xludf.DUMMYFUNCTION("""COMPUTED_VALUE"""),1032.85)</f>
        <v>1032.85</v>
      </c>
      <c r="J15" s="17">
        <f>IFERROR(__xludf.DUMMYFUNCTION("""COMPUTED_VALUE"""),-0.0017427506414290116)</f>
        <v>-0.001742750641</v>
      </c>
      <c r="K15" s="14" t="s">
        <v>259</v>
      </c>
      <c r="L15" s="14" t="s">
        <v>260</v>
      </c>
      <c r="M15" s="14" t="s">
        <v>235</v>
      </c>
      <c r="N15" s="14" t="s">
        <v>236</v>
      </c>
      <c r="O15" s="14" t="s">
        <v>237</v>
      </c>
      <c r="P15" s="14" t="s">
        <v>241</v>
      </c>
    </row>
    <row r="16">
      <c r="A16" s="14" t="str">
        <f>IFERROR(__xludf.DUMMYFUNCTION("""COMPUTED_VALUE"""),"Bajaj Finserv")</f>
        <v>Bajaj Finserv</v>
      </c>
      <c r="B16" s="16">
        <f>IFERROR(__xludf.DUMMYFUNCTION("""COMPUTED_VALUE"""),221292.5064376)</f>
        <v>221292.5064</v>
      </c>
      <c r="C16" s="14">
        <f>IFERROR(__xludf.DUMMYFUNCTION("""COMPUTED_VALUE"""),1391.0)</f>
        <v>1391</v>
      </c>
      <c r="D16" s="14">
        <f>IFERROR(__xludf.DUMMYFUNCTION("""COMPUTED_VALUE"""),40.48)</f>
        <v>40.48</v>
      </c>
      <c r="E16" s="14">
        <f>IFERROR(__xludf.DUMMYFUNCTION("""COMPUTED_VALUE"""),3724.2)</f>
        <v>3724.2</v>
      </c>
      <c r="F16" s="17">
        <f>IFERROR(__xludf.DUMMYFUNCTION("""COMPUTED_VALUE"""),0.6264969657913109)</f>
        <v>0.6264969658</v>
      </c>
      <c r="G16" s="14">
        <f>IFERROR(__xludf.DUMMYFUNCTION("""COMPUTED_VALUE"""),1374.35)</f>
        <v>1374.35</v>
      </c>
      <c r="H16" s="17">
        <f>IFERROR(__xludf.DUMMYFUNCTION("""COMPUTED_VALUE"""),0.012114817913923012)</f>
        <v>0.01211481791</v>
      </c>
      <c r="I16" s="14">
        <f>IFERROR(__xludf.DUMMYFUNCTION("""COMPUTED_VALUE"""),1387.8)</f>
        <v>1387.8</v>
      </c>
      <c r="J16" s="17">
        <f>IFERROR(__xludf.DUMMYFUNCTION("""COMPUTED_VALUE"""),0.002305807753278603)</f>
        <v>0.002305807753</v>
      </c>
      <c r="K16" s="14" t="s">
        <v>244</v>
      </c>
      <c r="L16" s="14" t="s">
        <v>261</v>
      </c>
      <c r="M16" s="14" t="s">
        <v>235</v>
      </c>
      <c r="N16" s="14" t="s">
        <v>236</v>
      </c>
      <c r="O16" s="14" t="s">
        <v>237</v>
      </c>
      <c r="P16" s="14" t="s">
        <v>241</v>
      </c>
    </row>
    <row r="17">
      <c r="A17" s="14" t="str">
        <f>IFERROR(__xludf.DUMMYFUNCTION("""COMPUTED_VALUE"""),"Titan")</f>
        <v>Titan</v>
      </c>
      <c r="B17" s="16">
        <f>IFERROR(__xludf.DUMMYFUNCTION("""COMPUTED_VALUE"""),214719.0067183)</f>
        <v>214719.0067</v>
      </c>
      <c r="C17" s="14">
        <f>IFERROR(__xludf.DUMMYFUNCTION("""COMPUTED_VALUE"""),2417.65)</f>
        <v>2417.65</v>
      </c>
      <c r="D17" s="14">
        <f>IFERROR(__xludf.DUMMYFUNCTION("""COMPUTED_VALUE"""),68.59)</f>
        <v>68.59</v>
      </c>
      <c r="E17" s="14">
        <f>IFERROR(__xludf.DUMMYFUNCTION("""COMPUTED_VALUE"""),2790.0)</f>
        <v>2790</v>
      </c>
      <c r="F17" s="17">
        <f>IFERROR(__xludf.DUMMYFUNCTION("""COMPUTED_VALUE"""),0.13345878136200715)</f>
        <v>0.1334587814</v>
      </c>
      <c r="G17" s="14">
        <f>IFERROR(__xludf.DUMMYFUNCTION("""COMPUTED_VALUE"""),1827.15)</f>
        <v>1827.15</v>
      </c>
      <c r="H17" s="17">
        <f>IFERROR(__xludf.DUMMYFUNCTION("""COMPUTED_VALUE"""),0.32318091016063266)</f>
        <v>0.3231809102</v>
      </c>
      <c r="I17" s="14">
        <f>IFERROR(__xludf.DUMMYFUNCTION("""COMPUTED_VALUE"""),2445.65)</f>
        <v>2445.65</v>
      </c>
      <c r="J17" s="17">
        <f>IFERROR(__xludf.DUMMYFUNCTION("""COMPUTED_VALUE"""),-0.011448899065688058)</f>
        <v>-0.01144889907</v>
      </c>
      <c r="K17" s="14" t="s">
        <v>262</v>
      </c>
      <c r="L17" s="14" t="s">
        <v>263</v>
      </c>
      <c r="M17" s="14" t="s">
        <v>235</v>
      </c>
      <c r="N17" s="14" t="s">
        <v>236</v>
      </c>
      <c r="O17" s="14" t="s">
        <v>237</v>
      </c>
      <c r="P17" s="14" t="s">
        <v>241</v>
      </c>
    </row>
    <row r="18">
      <c r="A18" s="14" t="str">
        <f>IFERROR(__xludf.DUMMYFUNCTION("""COMPUTED_VALUE"""),"Ultratech Cement")</f>
        <v>Ultratech Cement</v>
      </c>
      <c r="B18" s="16">
        <f>IFERROR(__xludf.DUMMYFUNCTION("""COMPUTED_VALUE"""),208975.8)</f>
        <v>208975.8</v>
      </c>
      <c r="C18" s="14">
        <f>IFERROR(__xludf.DUMMYFUNCTION("""COMPUTED_VALUE"""),7244.95)</f>
        <v>7244.95</v>
      </c>
      <c r="D18" s="14">
        <f>IFERROR(__xludf.DUMMYFUNCTION("""COMPUTED_VALUE"""),31.35)</f>
        <v>31.35</v>
      </c>
      <c r="E18" s="14">
        <f>IFERROR(__xludf.DUMMYFUNCTION("""COMPUTED_VALUE"""),7946.0)</f>
        <v>7946</v>
      </c>
      <c r="F18" s="17">
        <f>IFERROR(__xludf.DUMMYFUNCTION("""COMPUTED_VALUE"""),0.08822678077019887)</f>
        <v>0.08822678077</v>
      </c>
      <c r="G18" s="14">
        <f>IFERROR(__xludf.DUMMYFUNCTION("""COMPUTED_VALUE"""),5157.05)</f>
        <v>5157.05</v>
      </c>
      <c r="H18" s="17">
        <f>IFERROR(__xludf.DUMMYFUNCTION("""COMPUTED_VALUE"""),0.4048632454600982)</f>
        <v>0.4048632455</v>
      </c>
      <c r="I18" s="14">
        <f>IFERROR(__xludf.DUMMYFUNCTION("""COMPUTED_VALUE"""),7153.35)</f>
        <v>7153.35</v>
      </c>
      <c r="J18" s="17">
        <f>IFERROR(__xludf.DUMMYFUNCTION("""COMPUTED_VALUE"""),0.012805189177098764)</f>
        <v>0.01280518918</v>
      </c>
      <c r="K18" s="14" t="s">
        <v>264</v>
      </c>
      <c r="L18" s="14" t="s">
        <v>265</v>
      </c>
      <c r="M18" s="14" t="s">
        <v>235</v>
      </c>
      <c r="N18" s="14" t="s">
        <v>236</v>
      </c>
      <c r="O18" s="14" t="s">
        <v>237</v>
      </c>
      <c r="P18" s="14" t="s">
        <v>241</v>
      </c>
    </row>
    <row r="19">
      <c r="A19" s="14" t="str">
        <f>IFERROR(__xludf.DUMMYFUNCTION("""COMPUTED_VALUE"""),"Nestle")</f>
        <v>Nestle</v>
      </c>
      <c r="B19" s="16">
        <f>IFERROR(__xludf.DUMMYFUNCTION("""COMPUTED_VALUE"""),190752.2)</f>
        <v>190752.2</v>
      </c>
      <c r="C19" s="14">
        <f>IFERROR(__xludf.DUMMYFUNCTION("""COMPUTED_VALUE"""),19782.3)</f>
        <v>19782.3</v>
      </c>
      <c r="D19" s="14">
        <f>IFERROR(__xludf.DUMMYFUNCTION("""COMPUTED_VALUE"""),88.1)</f>
        <v>88.1</v>
      </c>
      <c r="E19" s="14">
        <f>IFERROR(__xludf.DUMMYFUNCTION("""COMPUTED_VALUE"""),21050.0)</f>
        <v>21050</v>
      </c>
      <c r="F19" s="17">
        <f>IFERROR(__xludf.DUMMYFUNCTION("""COMPUTED_VALUE"""),0.060223277909738755)</f>
        <v>0.06022327791</v>
      </c>
      <c r="G19" s="14">
        <f>IFERROR(__xludf.DUMMYFUNCTION("""COMPUTED_VALUE"""),16000.0)</f>
        <v>16000</v>
      </c>
      <c r="H19" s="17">
        <f>IFERROR(__xludf.DUMMYFUNCTION("""COMPUTED_VALUE"""),0.23639374999999996)</f>
        <v>0.23639375</v>
      </c>
      <c r="I19" s="14">
        <f>IFERROR(__xludf.DUMMYFUNCTION("""COMPUTED_VALUE"""),19873.25)</f>
        <v>19873.25</v>
      </c>
      <c r="J19" s="17">
        <f>IFERROR(__xludf.DUMMYFUNCTION("""COMPUTED_VALUE"""),-0.004576503591511238)</f>
        <v>-0.004576503592</v>
      </c>
      <c r="K19" s="14" t="s">
        <v>239</v>
      </c>
      <c r="L19" s="14" t="s">
        <v>266</v>
      </c>
      <c r="M19" s="14" t="s">
        <v>235</v>
      </c>
      <c r="N19" s="14" t="s">
        <v>236</v>
      </c>
      <c r="O19" s="14" t="s">
        <v>237</v>
      </c>
      <c r="P19" s="14" t="s">
        <v>241</v>
      </c>
    </row>
    <row r="20">
      <c r="A20" s="14" t="str">
        <f>IFERROR(__xludf.DUMMYFUNCTION("""COMPUTED_VALUE"""),"M&amp;M")</f>
        <v>M&amp;M</v>
      </c>
      <c r="B20" s="16">
        <f>IFERROR(__xludf.DUMMYFUNCTION("""COMPUTED_VALUE"""),158785.3716893)</f>
        <v>158785.3717</v>
      </c>
      <c r="C20" s="14">
        <f>IFERROR(__xludf.DUMMYFUNCTION("""COMPUTED_VALUE"""),1327.55)</f>
        <v>1327.55</v>
      </c>
      <c r="D20" s="14">
        <f>IFERROR(__xludf.DUMMYFUNCTION("""COMPUTED_VALUE"""),16.12)</f>
        <v>16.12</v>
      </c>
      <c r="E20" s="14">
        <f>IFERROR(__xludf.DUMMYFUNCTION("""COMPUTED_VALUE"""),1366.55)</f>
        <v>1366.55</v>
      </c>
      <c r="F20" s="17">
        <f>IFERROR(__xludf.DUMMYFUNCTION("""COMPUTED_VALUE"""),0.028539021623797154)</f>
        <v>0.02853902162</v>
      </c>
      <c r="G20" s="14">
        <f>IFERROR(__xludf.DUMMYFUNCTION("""COMPUTED_VALUE"""),671.15)</f>
        <v>671.15</v>
      </c>
      <c r="H20" s="17">
        <f>IFERROR(__xludf.DUMMYFUNCTION("""COMPUTED_VALUE"""),0.9780227966922447)</f>
        <v>0.9780227967</v>
      </c>
      <c r="I20" s="14">
        <f>IFERROR(__xludf.DUMMYFUNCTION("""COMPUTED_VALUE"""),1319.9)</f>
        <v>1319.9</v>
      </c>
      <c r="J20" s="17">
        <f>IFERROR(__xludf.DUMMYFUNCTION("""COMPUTED_VALUE"""),0.005795893628305071)</f>
        <v>0.005795893628</v>
      </c>
      <c r="K20" s="14" t="s">
        <v>257</v>
      </c>
      <c r="L20" s="14" t="s">
        <v>22</v>
      </c>
      <c r="M20" s="14" t="s">
        <v>235</v>
      </c>
      <c r="N20" s="14" t="s">
        <v>236</v>
      </c>
      <c r="O20" s="14" t="s">
        <v>237</v>
      </c>
      <c r="P20" s="14" t="s">
        <v>241</v>
      </c>
    </row>
    <row r="21">
      <c r="A21" s="14" t="str">
        <f>IFERROR(__xludf.DUMMYFUNCTION("""COMPUTED_VALUE"""),"Tata Steel")</f>
        <v>Tata Steel</v>
      </c>
      <c r="B21" s="16">
        <f>IFERROR(__xludf.DUMMYFUNCTION("""COMPUTED_VALUE"""),147293.6037181)</f>
        <v>147293.6037</v>
      </c>
      <c r="C21" s="14">
        <f>IFERROR(__xludf.DUMMYFUNCTION("""COMPUTED_VALUE"""),120.45)</f>
        <v>120.45</v>
      </c>
      <c r="D21" s="14">
        <f>IFERROR(__xludf.DUMMYFUNCTION("""COMPUTED_VALUE"""),5.13)</f>
        <v>5.13</v>
      </c>
      <c r="E21" s="14">
        <f>IFERROR(__xludf.DUMMYFUNCTION("""COMPUTED_VALUE"""),138.63)</f>
        <v>138.63</v>
      </c>
      <c r="F21" s="17">
        <f>IFERROR(__xludf.DUMMYFUNCTION("""COMPUTED_VALUE"""),0.1311404457909543)</f>
        <v>0.1311404458</v>
      </c>
      <c r="G21" s="14">
        <f>IFERROR(__xludf.DUMMYFUNCTION("""COMPUTED_VALUE"""),82.71)</f>
        <v>82.71</v>
      </c>
      <c r="H21" s="17">
        <f>IFERROR(__xludf.DUMMYFUNCTION("""COMPUTED_VALUE"""),0.45629307217990583)</f>
        <v>0.4562930722</v>
      </c>
      <c r="I21" s="14">
        <f>IFERROR(__xludf.DUMMYFUNCTION("""COMPUTED_VALUE"""),118.05)</f>
        <v>118.05</v>
      </c>
      <c r="J21" s="17">
        <f>IFERROR(__xludf.DUMMYFUNCTION("""COMPUTED_VALUE"""),0.020330368487928893)</f>
        <v>0.02033036849</v>
      </c>
      <c r="K21" s="14" t="s">
        <v>252</v>
      </c>
      <c r="L21" s="14" t="s">
        <v>267</v>
      </c>
      <c r="M21" s="14" t="s">
        <v>235</v>
      </c>
      <c r="N21" s="14" t="s">
        <v>236</v>
      </c>
      <c r="O21" s="14" t="s">
        <v>237</v>
      </c>
      <c r="P21" s="14" t="s">
        <v>241</v>
      </c>
    </row>
    <row r="22">
      <c r="A22" s="14" t="str">
        <f>IFERROR(__xludf.DUMMYFUNCTION("""COMPUTED_VALUE"""),"SBI life Insurance")</f>
        <v>SBI life Insurance</v>
      </c>
      <c r="B22" s="16">
        <f>IFERROR(__xludf.DUMMYFUNCTION("""COMPUTED_VALUE"""),130568.986925)</f>
        <v>130568.9869</v>
      </c>
      <c r="C22" s="14">
        <f>IFERROR(__xludf.DUMMYFUNCTION("""COMPUTED_VALUE"""),1307.0)</f>
        <v>1307</v>
      </c>
      <c r="D22" s="14">
        <f>IFERROR(__xludf.DUMMYFUNCTION("""COMPUTED_VALUE"""),78.07)</f>
        <v>78.07</v>
      </c>
      <c r="E22" s="14">
        <f>IFERROR(__xludf.DUMMYFUNCTION("""COMPUTED_VALUE"""),1340.35)</f>
        <v>1340.35</v>
      </c>
      <c r="F22" s="17">
        <f>IFERROR(__xludf.DUMMYFUNCTION("""COMPUTED_VALUE"""),0.024881560786361705)</f>
        <v>0.02488156079</v>
      </c>
      <c r="G22" s="14">
        <f>IFERROR(__xludf.DUMMYFUNCTION("""COMPUTED_VALUE"""),1003.5)</f>
        <v>1003.5</v>
      </c>
      <c r="H22" s="17">
        <f>IFERROR(__xludf.DUMMYFUNCTION("""COMPUTED_VALUE"""),0.3024414549078226)</f>
        <v>0.3024414549</v>
      </c>
      <c r="I22" s="14">
        <f>IFERROR(__xludf.DUMMYFUNCTION("""COMPUTED_VALUE"""),1315.7)</f>
        <v>1315.7</v>
      </c>
      <c r="J22" s="17">
        <f>IFERROR(__xludf.DUMMYFUNCTION("""COMPUTED_VALUE"""),-0.006612449646576001)</f>
        <v>-0.006612449647</v>
      </c>
      <c r="K22" s="14" t="s">
        <v>245</v>
      </c>
      <c r="L22" s="14" t="s">
        <v>268</v>
      </c>
      <c r="M22" s="14" t="s">
        <v>235</v>
      </c>
      <c r="N22" s="14" t="s">
        <v>236</v>
      </c>
      <c r="O22" s="14" t="s">
        <v>237</v>
      </c>
      <c r="P22" s="14" t="s">
        <v>241</v>
      </c>
    </row>
    <row r="23">
      <c r="A23" s="14" t="str">
        <f>IFERROR(__xludf.DUMMYFUNCTION("""COMPUTED_VALUE"""),"HDFC life Insurance")</f>
        <v>HDFC life Insurance</v>
      </c>
      <c r="B23" s="16">
        <f>IFERROR(__xludf.DUMMYFUNCTION("""COMPUTED_VALUE"""),129917.6)</f>
        <v>129917.6</v>
      </c>
      <c r="C23" s="14">
        <f>IFERROR(__xludf.DUMMYFUNCTION("""COMPUTED_VALUE"""),604.0)</f>
        <v>604</v>
      </c>
      <c r="D23" s="14">
        <f>IFERROR(__xludf.DUMMYFUNCTION("""COMPUTED_VALUE"""),85.12)</f>
        <v>85.12</v>
      </c>
      <c r="E23" s="14">
        <f>IFERROR(__xludf.DUMMYFUNCTION("""COMPUTED_VALUE"""),678.8)</f>
        <v>678.8</v>
      </c>
      <c r="F23" s="17">
        <f>IFERROR(__xludf.DUMMYFUNCTION("""COMPUTED_VALUE"""),0.11019446081319971)</f>
        <v>0.1101944608</v>
      </c>
      <c r="G23" s="14">
        <f>IFERROR(__xludf.DUMMYFUNCTION("""COMPUTED_VALUE"""),497.05)</f>
        <v>497.05</v>
      </c>
      <c r="H23" s="17">
        <f>IFERROR(__xludf.DUMMYFUNCTION("""COMPUTED_VALUE"""),0.21516950005029672)</f>
        <v>0.2151695001</v>
      </c>
      <c r="I23" s="14">
        <f>IFERROR(__xludf.DUMMYFUNCTION("""COMPUTED_VALUE"""),598.4)</f>
        <v>598.4</v>
      </c>
      <c r="J23" s="17">
        <f>IFERROR(__xludf.DUMMYFUNCTION("""COMPUTED_VALUE"""),0.009358288770053515)</f>
        <v>0.00935828877</v>
      </c>
      <c r="K23" s="14" t="s">
        <v>245</v>
      </c>
      <c r="L23" s="14" t="s">
        <v>269</v>
      </c>
      <c r="M23" s="14" t="s">
        <v>235</v>
      </c>
      <c r="N23" s="14" t="s">
        <v>236</v>
      </c>
      <c r="O23" s="14" t="s">
        <v>237</v>
      </c>
      <c r="P23" s="14" t="s">
        <v>241</v>
      </c>
    </row>
    <row r="24">
      <c r="A24" s="14" t="str">
        <f>IFERROR(__xludf.DUMMYFUNCTION("""COMPUTED_VALUE"""),"Pidilite Industries")</f>
        <v>Pidilite Industries</v>
      </c>
      <c r="B24" s="16">
        <f>IFERROR(__xludf.DUMMYFUNCTION("""COMPUTED_VALUE"""),127340.0)</f>
        <v>127340</v>
      </c>
      <c r="C24" s="14">
        <f>IFERROR(__xludf.DUMMYFUNCTION("""COMPUTED_VALUE"""),2513.0)</f>
        <v>2513</v>
      </c>
      <c r="D24" s="14">
        <f>IFERROR(__xludf.DUMMYFUNCTION("""COMPUTED_VALUE"""),98.38)</f>
        <v>98.38</v>
      </c>
      <c r="E24" s="14">
        <f>IFERROR(__xludf.DUMMYFUNCTION("""COMPUTED_VALUE"""),2918.95)</f>
        <v>2918.95</v>
      </c>
      <c r="F24" s="17">
        <f>IFERROR(__xludf.DUMMYFUNCTION("""COMPUTED_VALUE"""),0.13907398208259814)</f>
        <v>0.1390739821</v>
      </c>
      <c r="G24" s="14">
        <f>IFERROR(__xludf.DUMMYFUNCTION("""COMPUTED_VALUE"""),1988.55)</f>
        <v>1988.55</v>
      </c>
      <c r="H24" s="17">
        <f>IFERROR(__xludf.DUMMYFUNCTION("""COMPUTED_VALUE"""),0.26373488220059843)</f>
        <v>0.2637348822</v>
      </c>
      <c r="I24" s="14">
        <f>IFERROR(__xludf.DUMMYFUNCTION("""COMPUTED_VALUE"""),2495.5)</f>
        <v>2495.5</v>
      </c>
      <c r="J24" s="17">
        <f>IFERROR(__xludf.DUMMYFUNCTION("""COMPUTED_VALUE"""),0.0070126227208976155)</f>
        <v>0.007012622721</v>
      </c>
      <c r="K24" s="14" t="s">
        <v>270</v>
      </c>
      <c r="L24" s="14" t="s">
        <v>271</v>
      </c>
      <c r="M24" s="14" t="s">
        <v>235</v>
      </c>
      <c r="N24" s="14" t="s">
        <v>236</v>
      </c>
      <c r="O24" s="14" t="s">
        <v>237</v>
      </c>
      <c r="P24" s="14" t="s">
        <v>241</v>
      </c>
    </row>
    <row r="25">
      <c r="A25" s="14" t="str">
        <f>IFERROR(__xludf.DUMMYFUNCTION("""COMPUTED_VALUE"""),"L&amp;T Infotech")</f>
        <v>L&amp;T Infotech</v>
      </c>
      <c r="B25" s="16">
        <f>IFERROR(__xludf.DUMMYFUNCTION("""COMPUTED_VALUE"""),126813.4)</f>
        <v>126813.4</v>
      </c>
      <c r="C25" s="14">
        <f>IFERROR(__xludf.DUMMYFUNCTION("""COMPUTED_VALUE"""),4289.8)</f>
        <v>4289.8</v>
      </c>
      <c r="D25" s="14">
        <f>IFERROR(__xludf.DUMMYFUNCTION("""COMPUTED_VALUE"""),34.73)</f>
        <v>34.73</v>
      </c>
      <c r="E25" s="14">
        <f>IFERROR(__xludf.DUMMYFUNCTION("""COMPUTED_VALUE"""),4293.25)</f>
        <v>4293.25</v>
      </c>
      <c r="F25" s="17">
        <f>IFERROR(__xludf.DUMMYFUNCTION("""COMPUTED_VALUE"""),8.035870261456514E-4)</f>
        <v>0.0008035870261</v>
      </c>
      <c r="G25" s="14">
        <f>IFERROR(__xludf.DUMMYFUNCTION("""COMPUTED_VALUE"""),4147.45)</f>
        <v>4147.45</v>
      </c>
      <c r="H25" s="17">
        <f>IFERROR(__xludf.DUMMYFUNCTION("""COMPUTED_VALUE"""),0.03432229442187377)</f>
        <v>0.03432229442</v>
      </c>
      <c r="I25" s="14">
        <f>IFERROR(__xludf.DUMMYFUNCTION("""COMPUTED_VALUE"""),4279.2)</f>
        <v>4279.2</v>
      </c>
      <c r="J25" s="17">
        <f>IFERROR(__xludf.DUMMYFUNCTION("""COMPUTED_VALUE"""),0.0024770985230885127)</f>
        <v>0.002477098523</v>
      </c>
      <c r="K25" s="14" t="s">
        <v>233</v>
      </c>
      <c r="L25" s="14" t="s">
        <v>272</v>
      </c>
      <c r="M25" s="14" t="s">
        <v>235</v>
      </c>
      <c r="N25" s="14" t="s">
        <v>236</v>
      </c>
      <c r="O25" s="14" t="s">
        <v>237</v>
      </c>
      <c r="P25" s="14" t="s">
        <v>241</v>
      </c>
    </row>
    <row r="26">
      <c r="A26" s="14" t="str">
        <f>IFERROR(__xludf.DUMMYFUNCTION("""COMPUTED_VALUE"""),"Britannia")</f>
        <v>Britannia</v>
      </c>
      <c r="B26" s="16">
        <f>IFERROR(__xludf.DUMMYFUNCTION("""COMPUTED_VALUE"""),104442.9)</f>
        <v>104442.9</v>
      </c>
      <c r="C26" s="14">
        <f>IFERROR(__xludf.DUMMYFUNCTION("""COMPUTED_VALUE"""),4328.0)</f>
        <v>4328</v>
      </c>
      <c r="D26" s="14">
        <f>IFERROR(__xludf.DUMMYFUNCTION("""COMPUTED_VALUE"""),65.9)</f>
        <v>65.9</v>
      </c>
      <c r="E26" s="14">
        <f>IFERROR(__xludf.DUMMYFUNCTION("""COMPUTED_VALUE"""),4537.0)</f>
        <v>4537</v>
      </c>
      <c r="F26" s="17">
        <f>IFERROR(__xludf.DUMMYFUNCTION("""COMPUTED_VALUE"""),0.046065682168834034)</f>
        <v>0.04606568217</v>
      </c>
      <c r="G26" s="14">
        <f>IFERROR(__xludf.DUMMYFUNCTION("""COMPUTED_VALUE"""),3050.0)</f>
        <v>3050</v>
      </c>
      <c r="H26" s="17">
        <f>IFERROR(__xludf.DUMMYFUNCTION("""COMPUTED_VALUE"""),0.4190163934426229)</f>
        <v>0.4190163934</v>
      </c>
      <c r="I26" s="14">
        <f>IFERROR(__xludf.DUMMYFUNCTION("""COMPUTED_VALUE"""),4299.25)</f>
        <v>4299.25</v>
      </c>
      <c r="J26" s="17">
        <f>IFERROR(__xludf.DUMMYFUNCTION("""COMPUTED_VALUE"""),0.006687212885968483)</f>
        <v>0.006687212886</v>
      </c>
      <c r="K26" s="14" t="s">
        <v>239</v>
      </c>
      <c r="L26" s="14" t="s">
        <v>273</v>
      </c>
      <c r="M26" s="14" t="s">
        <v>235</v>
      </c>
      <c r="N26" s="14" t="s">
        <v>236</v>
      </c>
      <c r="O26" s="14" t="s">
        <v>237</v>
      </c>
      <c r="P26" s="14" t="s">
        <v>241</v>
      </c>
    </row>
    <row r="27">
      <c r="A27" s="14" t="str">
        <f>IFERROR(__xludf.DUMMYFUNCTION("""COMPUTED_VALUE"""),"Ambuja Cement")</f>
        <v>Ambuja Cement</v>
      </c>
      <c r="B27" s="16">
        <f>IFERROR(__xludf.DUMMYFUNCTION("""COMPUTED_VALUE"""),102995.3567038)</f>
        <v>102995.3567</v>
      </c>
      <c r="C27" s="14">
        <f>IFERROR(__xludf.DUMMYFUNCTION("""COMPUTED_VALUE"""),518.7)</f>
        <v>518.7</v>
      </c>
      <c r="D27" s="14">
        <f>IFERROR(__xludf.DUMMYFUNCTION("""COMPUTED_VALUE"""),57.36)</f>
        <v>57.36</v>
      </c>
      <c r="E27" s="14">
        <f>IFERROR(__xludf.DUMMYFUNCTION("""COMPUTED_VALUE"""),598.15)</f>
        <v>598.15</v>
      </c>
      <c r="F27" s="17">
        <f>IFERROR(__xludf.DUMMYFUNCTION("""COMPUTED_VALUE"""),0.13282621416032755)</f>
        <v>0.1328262142</v>
      </c>
      <c r="G27" s="14">
        <f>IFERROR(__xludf.DUMMYFUNCTION("""COMPUTED_VALUE"""),274.0)</f>
        <v>274</v>
      </c>
      <c r="H27" s="17">
        <f>IFERROR(__xludf.DUMMYFUNCTION("""COMPUTED_VALUE"""),0.8930656934306571)</f>
        <v>0.8930656934</v>
      </c>
      <c r="I27" s="14">
        <f>IFERROR(__xludf.DUMMYFUNCTION("""COMPUTED_VALUE"""),510.4)</f>
        <v>510.4</v>
      </c>
      <c r="J27" s="17">
        <f>IFERROR(__xludf.DUMMYFUNCTION("""COMPUTED_VALUE"""),0.01626175548589355)</f>
        <v>0.01626175549</v>
      </c>
      <c r="K27" s="14" t="s">
        <v>264</v>
      </c>
      <c r="L27" s="14" t="s">
        <v>274</v>
      </c>
      <c r="M27" s="14" t="s">
        <v>235</v>
      </c>
      <c r="N27" s="14" t="s">
        <v>236</v>
      </c>
      <c r="O27" s="14" t="s">
        <v>237</v>
      </c>
      <c r="P27" s="14" t="s">
        <v>241</v>
      </c>
    </row>
    <row r="28">
      <c r="A28" s="14" t="str">
        <f>IFERROR(__xludf.DUMMYFUNCTION("""COMPUTED_VALUE"""),"Bajaj Auto")</f>
        <v>Bajaj Auto</v>
      </c>
      <c r="B28" s="16">
        <f>IFERROR(__xludf.DUMMYFUNCTION("""COMPUTED_VALUE"""),101964.8629622)</f>
        <v>101964.863</v>
      </c>
      <c r="C28" s="14">
        <f>IFERROR(__xludf.DUMMYFUNCTION("""COMPUTED_VALUE"""),3602.45)</f>
        <v>3602.45</v>
      </c>
      <c r="D28" s="14">
        <f>IFERROR(__xludf.DUMMYFUNCTION("""COMPUTED_VALUE"""),17.79)</f>
        <v>17.79</v>
      </c>
      <c r="E28" s="14">
        <f>IFERROR(__xludf.DUMMYFUNCTION("""COMPUTED_VALUE"""),4131.75)</f>
        <v>4131.75</v>
      </c>
      <c r="F28" s="17">
        <f>IFERROR(__xludf.DUMMYFUNCTION("""COMPUTED_VALUE"""),0.12810552429358024)</f>
        <v>0.1281055243</v>
      </c>
      <c r="G28" s="14">
        <f>IFERROR(__xludf.DUMMYFUNCTION("""COMPUTED_VALUE"""),3125.0)</f>
        <v>3125</v>
      </c>
      <c r="H28" s="17">
        <f>IFERROR(__xludf.DUMMYFUNCTION("""COMPUTED_VALUE"""),0.15278399999999995)</f>
        <v>0.152784</v>
      </c>
      <c r="I28" s="14">
        <f>IFERROR(__xludf.DUMMYFUNCTION("""COMPUTED_VALUE"""),3570.3)</f>
        <v>3570.3</v>
      </c>
      <c r="J28" s="17">
        <f>IFERROR(__xludf.DUMMYFUNCTION("""COMPUTED_VALUE"""),0.009004845531187753)</f>
        <v>0.009004845531</v>
      </c>
      <c r="K28" s="14" t="s">
        <v>257</v>
      </c>
      <c r="L28" s="14" t="s">
        <v>275</v>
      </c>
      <c r="M28" s="14" t="s">
        <v>235</v>
      </c>
      <c r="N28" s="14" t="s">
        <v>236</v>
      </c>
      <c r="O28" s="14" t="s">
        <v>237</v>
      </c>
      <c r="P28" s="14" t="s">
        <v>241</v>
      </c>
    </row>
    <row r="29">
      <c r="A29" s="14" t="str">
        <f>IFERROR(__xludf.DUMMYFUNCTION("""COMPUTED_VALUE"""),"Tech Mahindra")</f>
        <v>Tech Mahindra</v>
      </c>
      <c r="B29" s="16">
        <f>IFERROR(__xludf.DUMMYFUNCTION("""COMPUTED_VALUE"""),97631.0184537)</f>
        <v>97631.01845</v>
      </c>
      <c r="C29" s="14">
        <f>IFERROR(__xludf.DUMMYFUNCTION("""COMPUTED_VALUE"""),1002.8)</f>
        <v>1002.8</v>
      </c>
      <c r="D29" s="14">
        <f>IFERROR(__xludf.DUMMYFUNCTION("""COMPUTED_VALUE"""),16.8)</f>
        <v>16.8</v>
      </c>
      <c r="E29" s="14">
        <f>IFERROR(__xludf.DUMMYFUNCTION("""COMPUTED_VALUE"""),1751.0)</f>
        <v>1751</v>
      </c>
      <c r="F29" s="17">
        <f>IFERROR(__xludf.DUMMYFUNCTION("""COMPUTED_VALUE"""),0.42729868646487723)</f>
        <v>0.4272986865</v>
      </c>
      <c r="G29" s="14">
        <f>IFERROR(__xludf.DUMMYFUNCTION("""COMPUTED_VALUE"""),943.7)</f>
        <v>943.7</v>
      </c>
      <c r="H29" s="17">
        <f>IFERROR(__xludf.DUMMYFUNCTION("""COMPUTED_VALUE"""),0.06262583448129692)</f>
        <v>0.06262583448</v>
      </c>
      <c r="I29" s="14">
        <f>IFERROR(__xludf.DUMMYFUNCTION("""COMPUTED_VALUE"""),1001.55)</f>
        <v>1001.55</v>
      </c>
      <c r="J29" s="17">
        <f>IFERROR(__xludf.DUMMYFUNCTION("""COMPUTED_VALUE"""),0.0012480654984773601)</f>
        <v>0.001248065498</v>
      </c>
      <c r="K29" s="14" t="s">
        <v>233</v>
      </c>
      <c r="L29" s="14" t="s">
        <v>276</v>
      </c>
      <c r="M29" s="14" t="s">
        <v>235</v>
      </c>
      <c r="N29" s="14" t="s">
        <v>236</v>
      </c>
      <c r="O29" s="14" t="s">
        <v>237</v>
      </c>
      <c r="P29" s="14" t="s">
        <v>241</v>
      </c>
    </row>
    <row r="30">
      <c r="A30" s="14" t="str">
        <f>IFERROR(__xludf.DUMMYFUNCTION("""COMPUTED_VALUE"""),"Dabur")</f>
        <v>Dabur</v>
      </c>
      <c r="B30" s="16">
        <f>IFERROR(__xludf.DUMMYFUNCTION("""COMPUTED_VALUE"""),96383.9372552)</f>
        <v>96383.93726</v>
      </c>
      <c r="C30" s="14">
        <f>IFERROR(__xludf.DUMMYFUNCTION("""COMPUTED_VALUE"""),544.0)</f>
        <v>544</v>
      </c>
      <c r="D30" s="14">
        <f>IFERROR(__xludf.DUMMYFUNCTION("""COMPUTED_VALUE"""),55.79)</f>
        <v>55.79</v>
      </c>
      <c r="E30" s="14">
        <f>IFERROR(__xludf.DUMMYFUNCTION("""COMPUTED_VALUE"""),610.75)</f>
        <v>610.75</v>
      </c>
      <c r="F30" s="17">
        <f>IFERROR(__xludf.DUMMYFUNCTION("""COMPUTED_VALUE"""),0.10929185427752763)</f>
        <v>0.1092918543</v>
      </c>
      <c r="G30" s="14">
        <f>IFERROR(__xludf.DUMMYFUNCTION("""COMPUTED_VALUE"""),482.25)</f>
        <v>482.25</v>
      </c>
      <c r="H30" s="17">
        <f>IFERROR(__xludf.DUMMYFUNCTION("""COMPUTED_VALUE"""),0.12804561949196475)</f>
        <v>0.1280456195</v>
      </c>
      <c r="I30" s="14">
        <f>IFERROR(__xludf.DUMMYFUNCTION("""COMPUTED_VALUE"""),544.95)</f>
        <v>544.95</v>
      </c>
      <c r="J30" s="17">
        <f>IFERROR(__xludf.DUMMYFUNCTION("""COMPUTED_VALUE"""),-0.0017432791999266821)</f>
        <v>-0.0017432792</v>
      </c>
      <c r="K30" s="14" t="s">
        <v>239</v>
      </c>
      <c r="L30" s="14" t="s">
        <v>277</v>
      </c>
      <c r="M30" s="14" t="s">
        <v>235</v>
      </c>
      <c r="N30" s="14" t="s">
        <v>236</v>
      </c>
      <c r="O30" s="14" t="s">
        <v>237</v>
      </c>
      <c r="P30" s="14" t="s">
        <v>241</v>
      </c>
    </row>
    <row r="31">
      <c r="A31" s="14" t="str">
        <f>IFERROR(__xludf.DUMMYFUNCTION("""COMPUTED_VALUE"""),"Bank of Baroda")</f>
        <v>Bank of Baroda</v>
      </c>
      <c r="B31" s="16">
        <f>IFERROR(__xludf.DUMMYFUNCTION("""COMPUTED_VALUE"""),95565.8761753)</f>
        <v>95565.87618</v>
      </c>
      <c r="C31" s="14">
        <f>IFERROR(__xludf.DUMMYFUNCTION("""COMPUTED_VALUE"""),184.9)</f>
        <v>184.9</v>
      </c>
      <c r="D31" s="14">
        <f>IFERROR(__xludf.DUMMYFUNCTION("""COMPUTED_VALUE"""),9.72)</f>
        <v>9.72</v>
      </c>
      <c r="E31" s="14">
        <f>IFERROR(__xludf.DUMMYFUNCTION("""COMPUTED_VALUE"""),197.2)</f>
        <v>197.2</v>
      </c>
      <c r="F31" s="17">
        <f>IFERROR(__xludf.DUMMYFUNCTION("""COMPUTED_VALUE"""),0.06237322515212974)</f>
        <v>0.06237322515</v>
      </c>
      <c r="G31" s="14">
        <f>IFERROR(__xludf.DUMMYFUNCTION("""COMPUTED_VALUE"""),89.9)</f>
        <v>89.9</v>
      </c>
      <c r="H31" s="17">
        <f>IFERROR(__xludf.DUMMYFUNCTION("""COMPUTED_VALUE"""),1.0567296996662958)</f>
        <v>1.0567297</v>
      </c>
      <c r="I31" s="14">
        <f>IFERROR(__xludf.DUMMYFUNCTION("""COMPUTED_VALUE"""),181.8)</f>
        <v>181.8</v>
      </c>
      <c r="J31" s="17">
        <f>IFERROR(__xludf.DUMMYFUNCTION("""COMPUTED_VALUE"""),0.01705170517051702)</f>
        <v>0.01705170517</v>
      </c>
      <c r="K31" s="14" t="s">
        <v>242</v>
      </c>
      <c r="L31" s="14" t="s">
        <v>278</v>
      </c>
      <c r="M31" s="14" t="s">
        <v>235</v>
      </c>
      <c r="N31" s="14" t="s">
        <v>236</v>
      </c>
      <c r="O31" s="14" t="s">
        <v>237</v>
      </c>
      <c r="P31" s="14" t="s">
        <v>241</v>
      </c>
    </row>
    <row r="32">
      <c r="A32" s="14" t="str">
        <f>IFERROR(__xludf.DUMMYFUNCTION("""COMPUTED_VALUE"""),"Godrej Consumer")</f>
        <v>Godrej Consumer</v>
      </c>
      <c r="B32" s="16">
        <f>IFERROR(__xludf.DUMMYFUNCTION("""COMPUTED_VALUE"""),93678.862)</f>
        <v>93678.862</v>
      </c>
      <c r="C32" s="14">
        <f>IFERROR(__xludf.DUMMYFUNCTION("""COMPUTED_VALUE"""),916.75)</f>
        <v>916.75</v>
      </c>
      <c r="D32" s="14">
        <f>IFERROR(__xludf.DUMMYFUNCTION("""COMPUTED_VALUE"""),58.81)</f>
        <v>58.81</v>
      </c>
      <c r="E32" s="14">
        <f>IFERROR(__xludf.DUMMYFUNCTION("""COMPUTED_VALUE"""),955.65)</f>
        <v>955.65</v>
      </c>
      <c r="F32" s="17">
        <f>IFERROR(__xludf.DUMMYFUNCTION("""COMPUTED_VALUE"""),0.04070527912938835)</f>
        <v>0.04070527913</v>
      </c>
      <c r="G32" s="14">
        <f>IFERROR(__xludf.DUMMYFUNCTION("""COMPUTED_VALUE"""),660.2)</f>
        <v>660.2</v>
      </c>
      <c r="H32" s="17">
        <f>IFERROR(__xludf.DUMMYFUNCTION("""COMPUTED_VALUE"""),0.3885943653438351)</f>
        <v>0.3885943653</v>
      </c>
      <c r="I32" s="14">
        <f>IFERROR(__xludf.DUMMYFUNCTION("""COMPUTED_VALUE"""),914.9)</f>
        <v>914.9</v>
      </c>
      <c r="J32" s="17">
        <f>IFERROR(__xludf.DUMMYFUNCTION("""COMPUTED_VALUE"""),0.00202207891572852)</f>
        <v>0.002022078916</v>
      </c>
      <c r="K32" s="14" t="s">
        <v>239</v>
      </c>
      <c r="L32" s="14" t="s">
        <v>279</v>
      </c>
      <c r="M32" s="14" t="s">
        <v>235</v>
      </c>
      <c r="N32" s="14" t="s">
        <v>236</v>
      </c>
      <c r="O32" s="14" t="s">
        <v>237</v>
      </c>
      <c r="P32" s="14" t="s">
        <v>241</v>
      </c>
    </row>
    <row r="33">
      <c r="A33" s="14" t="str">
        <f>IFERROR(__xludf.DUMMYFUNCTION("""COMPUTED_VALUE"""),"Divi's Lab")</f>
        <v>Divi's Lab</v>
      </c>
      <c r="B33" s="16">
        <f>IFERROR(__xludf.DUMMYFUNCTION("""COMPUTED_VALUE"""),88977.11)</f>
        <v>88977.11</v>
      </c>
      <c r="C33" s="14">
        <f>IFERROR(__xludf.DUMMYFUNCTION("""COMPUTED_VALUE"""),3352.15)</f>
        <v>3352.15</v>
      </c>
      <c r="D33" s="14">
        <f>IFERROR(__xludf.DUMMYFUNCTION("""COMPUTED_VALUE"""),29.74)</f>
        <v>29.74</v>
      </c>
      <c r="E33" s="14">
        <f>IFERROR(__xludf.DUMMYFUNCTION("""COMPUTED_VALUE"""),4668.0)</f>
        <v>4668</v>
      </c>
      <c r="F33" s="17">
        <f>IFERROR(__xludf.DUMMYFUNCTION("""COMPUTED_VALUE"""),0.28188731790916877)</f>
        <v>0.2818873179</v>
      </c>
      <c r="G33" s="14">
        <f>IFERROR(__xludf.DUMMYFUNCTION("""COMPUTED_VALUE"""),3195.15)</f>
        <v>3195.15</v>
      </c>
      <c r="H33" s="17">
        <f>IFERROR(__xludf.DUMMYFUNCTION("""COMPUTED_VALUE"""),0.049136973225044206)</f>
        <v>0.04913697323</v>
      </c>
      <c r="I33" s="14">
        <f>IFERROR(__xludf.DUMMYFUNCTION("""COMPUTED_VALUE"""),3305.3)</f>
        <v>3305.3</v>
      </c>
      <c r="J33" s="17">
        <f>IFERROR(__xludf.DUMMYFUNCTION("""COMPUTED_VALUE"""),0.014174205064593201)</f>
        <v>0.01417420506</v>
      </c>
      <c r="K33" s="14" t="s">
        <v>259</v>
      </c>
      <c r="L33" s="14" t="s">
        <v>280</v>
      </c>
      <c r="M33" s="14" t="s">
        <v>235</v>
      </c>
      <c r="N33" s="14" t="s">
        <v>236</v>
      </c>
      <c r="O33" s="14" t="s">
        <v>237</v>
      </c>
      <c r="P33" s="14" t="s">
        <v>241</v>
      </c>
    </row>
    <row r="34">
      <c r="A34" s="14" t="str">
        <f>IFERROR(__xludf.DUMMYFUNCTION("""COMPUTED_VALUE"""),"Shree Cement")</f>
        <v>Shree Cement</v>
      </c>
      <c r="B34" s="16">
        <f>IFERROR(__xludf.DUMMYFUNCTION("""COMPUTED_VALUE"""),87098.03)</f>
        <v>87098.03</v>
      </c>
      <c r="C34" s="14">
        <f>IFERROR(__xludf.DUMMYFUNCTION("""COMPUTED_VALUE"""),24025.0)</f>
        <v>24025</v>
      </c>
      <c r="D34" s="14">
        <f>IFERROR(__xludf.DUMMYFUNCTION("""COMPUTED_VALUE"""),54.11)</f>
        <v>54.11</v>
      </c>
      <c r="E34" s="14">
        <f>IFERROR(__xludf.DUMMYFUNCTION("""COMPUTED_VALUE"""),27936.75)</f>
        <v>27936.75</v>
      </c>
      <c r="F34" s="17">
        <f>IFERROR(__xludf.DUMMYFUNCTION("""COMPUTED_VALUE"""),0.14002165606235514)</f>
        <v>0.1400216561</v>
      </c>
      <c r="G34" s="14">
        <f>IFERROR(__xludf.DUMMYFUNCTION("""COMPUTED_VALUE"""),17865.2)</f>
        <v>17865.2</v>
      </c>
      <c r="H34" s="17">
        <f>IFERROR(__xludf.DUMMYFUNCTION("""COMPUTED_VALUE"""),0.34479322929494205)</f>
        <v>0.3447932293</v>
      </c>
      <c r="I34" s="14">
        <f>IFERROR(__xludf.DUMMYFUNCTION("""COMPUTED_VALUE"""),23854.85)</f>
        <v>23854.85</v>
      </c>
      <c r="J34" s="17">
        <f>IFERROR(__xludf.DUMMYFUNCTION("""COMPUTED_VALUE"""),0.007132721438198163)</f>
        <v>0.007132721438</v>
      </c>
      <c r="K34" s="14" t="s">
        <v>264</v>
      </c>
      <c r="L34" s="14" t="s">
        <v>281</v>
      </c>
      <c r="M34" s="14" t="s">
        <v>235</v>
      </c>
      <c r="N34" s="14" t="s">
        <v>236</v>
      </c>
      <c r="O34" s="14" t="s">
        <v>237</v>
      </c>
      <c r="P34" s="14" t="s">
        <v>241</v>
      </c>
    </row>
    <row r="35">
      <c r="A35" s="14" t="str">
        <f>IFERROR(__xludf.DUMMYFUNCTION("""COMPUTED_VALUE"""),"Eicher Motor")</f>
        <v>Eicher Motor</v>
      </c>
      <c r="B35" s="16">
        <f>IFERROR(__xludf.DUMMYFUNCTION("""COMPUTED_VALUE"""),86543.2296232)</f>
        <v>86543.22962</v>
      </c>
      <c r="C35" s="14">
        <f>IFERROR(__xludf.DUMMYFUNCTION("""COMPUTED_VALUE"""),3164.9)</f>
        <v>3164.9</v>
      </c>
      <c r="D35" s="14">
        <f>IFERROR(__xludf.DUMMYFUNCTION("""COMPUTED_VALUE"""),37.12)</f>
        <v>37.12</v>
      </c>
      <c r="E35" s="14">
        <f>IFERROR(__xludf.DUMMYFUNCTION("""COMPUTED_VALUE"""),3889.65)</f>
        <v>3889.65</v>
      </c>
      <c r="F35" s="17">
        <f>IFERROR(__xludf.DUMMYFUNCTION("""COMPUTED_VALUE"""),0.18632781869834047)</f>
        <v>0.1863278187</v>
      </c>
      <c r="G35" s="14">
        <f>IFERROR(__xludf.DUMMYFUNCTION("""COMPUTED_VALUE"""),2159.55)</f>
        <v>2159.55</v>
      </c>
      <c r="H35" s="17">
        <f>IFERROR(__xludf.DUMMYFUNCTION("""COMPUTED_VALUE"""),0.4655368016484915)</f>
        <v>0.4655368016</v>
      </c>
      <c r="I35" s="14">
        <f>IFERROR(__xludf.DUMMYFUNCTION("""COMPUTED_VALUE"""),3103.25)</f>
        <v>3103.25</v>
      </c>
      <c r="J35" s="17">
        <f>IFERROR(__xludf.DUMMYFUNCTION("""COMPUTED_VALUE"""),0.019866269233867747)</f>
        <v>0.01986626923</v>
      </c>
      <c r="K35" s="14" t="s">
        <v>257</v>
      </c>
      <c r="L35" s="14" t="s">
        <v>282</v>
      </c>
      <c r="M35" s="14" t="s">
        <v>235</v>
      </c>
      <c r="N35" s="14" t="s">
        <v>236</v>
      </c>
      <c r="O35" s="14" t="s">
        <v>237</v>
      </c>
      <c r="P35" s="14" t="s">
        <v>241</v>
      </c>
    </row>
    <row r="36">
      <c r="A36" s="14" t="str">
        <f>IFERROR(__xludf.DUMMYFUNCTION("""COMPUTED_VALUE"""),"Cipla")</f>
        <v>Cipla</v>
      </c>
      <c r="B36" s="16">
        <f>IFERROR(__xludf.DUMMYFUNCTION("""COMPUTED_VALUE"""),86182.29)</f>
        <v>86182.29</v>
      </c>
      <c r="C36" s="14">
        <f>IFERROR(__xludf.DUMMYFUNCTION("""COMPUTED_VALUE"""),1068.85)</f>
        <v>1068.85</v>
      </c>
      <c r="D36" s="14">
        <f>IFERROR(__xludf.DUMMYFUNCTION("""COMPUTED_VALUE"""),33.64)</f>
        <v>33.64</v>
      </c>
      <c r="E36" s="14">
        <f>IFERROR(__xludf.DUMMYFUNCTION("""COMPUTED_VALUE"""),1185.25)</f>
        <v>1185.25</v>
      </c>
      <c r="F36" s="17">
        <f>IFERROR(__xludf.DUMMYFUNCTION("""COMPUTED_VALUE"""),0.09820712929761662)</f>
        <v>0.0982071293</v>
      </c>
      <c r="G36" s="14">
        <f>IFERROR(__xludf.DUMMYFUNCTION("""COMPUTED_VALUE"""),860.0)</f>
        <v>860</v>
      </c>
      <c r="H36" s="17">
        <f>IFERROR(__xludf.DUMMYFUNCTION("""COMPUTED_VALUE"""),0.24284883720930223)</f>
        <v>0.2428488372</v>
      </c>
      <c r="I36" s="14">
        <f>IFERROR(__xludf.DUMMYFUNCTION("""COMPUTED_VALUE"""),1061.15)</f>
        <v>1061.15</v>
      </c>
      <c r="J36" s="17">
        <f>IFERROR(__xludf.DUMMYFUNCTION("""COMPUTED_VALUE"""),0.007256278565706844)</f>
        <v>0.007256278566</v>
      </c>
      <c r="K36" s="14" t="s">
        <v>259</v>
      </c>
      <c r="L36" s="14" t="s">
        <v>283</v>
      </c>
      <c r="M36" s="14" t="s">
        <v>235</v>
      </c>
      <c r="N36" s="14" t="s">
        <v>236</v>
      </c>
      <c r="O36" s="14" t="s">
        <v>237</v>
      </c>
      <c r="P36" s="14" t="s">
        <v>241</v>
      </c>
    </row>
    <row r="37">
      <c r="A37" s="14" t="str">
        <f>IFERROR(__xludf.DUMMYFUNCTION("""COMPUTED_VALUE"""),"SBI Cards")</f>
        <v>SBI Cards</v>
      </c>
      <c r="B37" s="16">
        <f>IFERROR(__xludf.DUMMYFUNCTION("""COMPUTED_VALUE"""),74336.7630665)</f>
        <v>74336.76307</v>
      </c>
      <c r="C37" s="14">
        <f>IFERROR(__xludf.DUMMYFUNCTION("""COMPUTED_VALUE"""),786.05)</f>
        <v>786.05</v>
      </c>
      <c r="D37" s="14">
        <f>IFERROR(__xludf.DUMMYFUNCTION("""COMPUTED_VALUE"""),35.28)</f>
        <v>35.28</v>
      </c>
      <c r="E37" s="14">
        <f>IFERROR(__xludf.DUMMYFUNCTION("""COMPUTED_VALUE"""),1028.65)</f>
        <v>1028.65</v>
      </c>
      <c r="F37" s="17">
        <f>IFERROR(__xludf.DUMMYFUNCTION("""COMPUTED_VALUE"""),0.2358430953191077)</f>
        <v>0.2358430953</v>
      </c>
      <c r="G37" s="14">
        <f>IFERROR(__xludf.DUMMYFUNCTION("""COMPUTED_VALUE"""),655.7)</f>
        <v>655.7</v>
      </c>
      <c r="H37" s="17">
        <f>IFERROR(__xludf.DUMMYFUNCTION("""COMPUTED_VALUE"""),0.1987951807228914)</f>
        <v>0.1987951807</v>
      </c>
      <c r="I37" s="14">
        <f>IFERROR(__xludf.DUMMYFUNCTION("""COMPUTED_VALUE"""),780.25)</f>
        <v>780.25</v>
      </c>
      <c r="J37" s="17">
        <f>IFERROR(__xludf.DUMMYFUNCTION("""COMPUTED_VALUE"""),0.007433514899070752)</f>
        <v>0.007433514899</v>
      </c>
      <c r="K37" s="14" t="s">
        <v>244</v>
      </c>
      <c r="L37" s="14" t="s">
        <v>284</v>
      </c>
      <c r="M37" s="14" t="s">
        <v>235</v>
      </c>
      <c r="N37" s="14" t="s">
        <v>236</v>
      </c>
      <c r="O37" s="14" t="s">
        <v>237</v>
      </c>
      <c r="P37" s="14" t="s">
        <v>241</v>
      </c>
    </row>
    <row r="38">
      <c r="A38" s="14" t="str">
        <f>IFERROR(__xludf.DUMMYFUNCTION("""COMPUTED_VALUE"""),"Varun Beverage")</f>
        <v>Varun Beverage</v>
      </c>
      <c r="B38" s="16">
        <f>IFERROR(__xludf.DUMMYFUNCTION("""COMPUTED_VALUE"""),73698.477067)</f>
        <v>73698.47707</v>
      </c>
      <c r="C38" s="14">
        <f>IFERROR(__xludf.DUMMYFUNCTION("""COMPUTED_VALUE"""),1134.8)</f>
        <v>1134.8</v>
      </c>
      <c r="D38" s="14">
        <f>IFERROR(__xludf.DUMMYFUNCTION("""COMPUTED_VALUE"""),51.22)</f>
        <v>51.22</v>
      </c>
      <c r="E38" s="14">
        <f>IFERROR(__xludf.DUMMYFUNCTION("""COMPUTED_VALUE"""),1432.05)</f>
        <v>1432.05</v>
      </c>
      <c r="F38" s="17">
        <f>IFERROR(__xludf.DUMMYFUNCTION("""COMPUTED_VALUE"""),0.20756956810167243)</f>
        <v>0.2075695681</v>
      </c>
      <c r="G38" s="14">
        <f>IFERROR(__xludf.DUMMYFUNCTION("""COMPUTED_VALUE"""),557.23)</f>
        <v>557.23</v>
      </c>
      <c r="H38" s="17">
        <f>IFERROR(__xludf.DUMMYFUNCTION("""COMPUTED_VALUE"""),1.036501983023168)</f>
        <v>1.036501983</v>
      </c>
      <c r="I38" s="14">
        <f>IFERROR(__xludf.DUMMYFUNCTION("""COMPUTED_VALUE"""),1187.3)</f>
        <v>1187.3</v>
      </c>
      <c r="J38" s="17">
        <f>IFERROR(__xludf.DUMMYFUNCTION("""COMPUTED_VALUE"""),-0.04421797355344058)</f>
        <v>-0.04421797355</v>
      </c>
      <c r="K38" s="14" t="s">
        <v>285</v>
      </c>
      <c r="L38" s="14" t="s">
        <v>286</v>
      </c>
      <c r="M38" s="14" t="s">
        <v>235</v>
      </c>
      <c r="N38" s="14" t="s">
        <v>236</v>
      </c>
      <c r="O38" s="14" t="s">
        <v>237</v>
      </c>
      <c r="P38" s="14" t="s">
        <v>241</v>
      </c>
    </row>
    <row r="39">
      <c r="A39" s="14" t="str">
        <f>IFERROR(__xludf.DUMMYFUNCTION("""COMPUTED_VALUE"""),"Havells India")</f>
        <v>Havells India</v>
      </c>
      <c r="B39" s="16">
        <f>IFERROR(__xludf.DUMMYFUNCTION("""COMPUTED_VALUE"""),73418.66784)</f>
        <v>73418.66784</v>
      </c>
      <c r="C39" s="14">
        <f>IFERROR(__xludf.DUMMYFUNCTION("""COMPUTED_VALUE"""),1167.55)</f>
        <v>1167.55</v>
      </c>
      <c r="D39" s="14">
        <f>IFERROR(__xludf.DUMMYFUNCTION("""COMPUTED_VALUE"""),67.24)</f>
        <v>67.24</v>
      </c>
      <c r="E39" s="14">
        <f>IFERROR(__xludf.DUMMYFUNCTION("""COMPUTED_VALUE"""),1405.55)</f>
        <v>1405.55</v>
      </c>
      <c r="F39" s="17">
        <f>IFERROR(__xludf.DUMMYFUNCTION("""COMPUTED_VALUE"""),0.16932873252463448)</f>
        <v>0.1693287325</v>
      </c>
      <c r="G39" s="14">
        <f>IFERROR(__xludf.DUMMYFUNCTION("""COMPUTED_VALUE"""),1024.5)</f>
        <v>1024.5</v>
      </c>
      <c r="H39" s="17">
        <f>IFERROR(__xludf.DUMMYFUNCTION("""COMPUTED_VALUE"""),0.1396290873596876)</f>
        <v>0.1396290874</v>
      </c>
      <c r="I39" s="14">
        <f>IFERROR(__xludf.DUMMYFUNCTION("""COMPUTED_VALUE"""),1192.6)</f>
        <v>1192.6</v>
      </c>
      <c r="J39" s="17">
        <f>IFERROR(__xludf.DUMMYFUNCTION("""COMPUTED_VALUE"""),-0.021004527922186784)</f>
        <v>-0.02100452792</v>
      </c>
      <c r="K39" s="14" t="s">
        <v>287</v>
      </c>
      <c r="L39" s="14" t="s">
        <v>288</v>
      </c>
      <c r="M39" s="14" t="s">
        <v>235</v>
      </c>
      <c r="N39" s="14" t="s">
        <v>236</v>
      </c>
      <c r="O39" s="14" t="s">
        <v>237</v>
      </c>
      <c r="P39" s="14" t="s">
        <v>241</v>
      </c>
    </row>
    <row r="40">
      <c r="A40" s="14" t="str">
        <f>IFERROR(__xludf.DUMMYFUNCTION("""COMPUTED_VALUE"""),"Tata Consumer Product")</f>
        <v>Tata Consumer Product</v>
      </c>
      <c r="B40" s="16">
        <f>IFERROR(__xludf.DUMMYFUNCTION("""COMPUTED_VALUE"""),69898.9623697)</f>
        <v>69898.96237</v>
      </c>
      <c r="C40" s="14">
        <f>IFERROR(__xludf.DUMMYFUNCTION("""COMPUTED_VALUE"""),752.8)</f>
        <v>752.8</v>
      </c>
      <c r="D40" s="14">
        <f>IFERROR(__xludf.DUMMYFUNCTION("""COMPUTED_VALUE"""),65.04)</f>
        <v>65.04</v>
      </c>
      <c r="E40" s="14">
        <f>IFERROR(__xludf.DUMMYFUNCTION("""COMPUTED_VALUE"""),861.15)</f>
        <v>861.15</v>
      </c>
      <c r="F40" s="17">
        <f>IFERROR(__xludf.DUMMYFUNCTION("""COMPUTED_VALUE"""),0.12582012425245315)</f>
        <v>0.1258201243</v>
      </c>
      <c r="G40" s="14">
        <f>IFERROR(__xludf.DUMMYFUNCTION("""COMPUTED_VALUE"""),650.2)</f>
        <v>650.2</v>
      </c>
      <c r="H40" s="17">
        <f>IFERROR(__xludf.DUMMYFUNCTION("""COMPUTED_VALUE"""),0.15779760073823423)</f>
        <v>0.1577976007</v>
      </c>
      <c r="I40" s="14">
        <f>IFERROR(__xludf.DUMMYFUNCTION("""COMPUTED_VALUE"""),754.25)</f>
        <v>754.25</v>
      </c>
      <c r="J40" s="17">
        <f>IFERROR(__xludf.DUMMYFUNCTION("""COMPUTED_VALUE"""),-0.0019224395094465303)</f>
        <v>-0.001922439509</v>
      </c>
      <c r="K40" s="14" t="s">
        <v>239</v>
      </c>
      <c r="L40" s="14" t="s">
        <v>289</v>
      </c>
      <c r="M40" s="14" t="s">
        <v>235</v>
      </c>
      <c r="N40" s="14" t="s">
        <v>236</v>
      </c>
      <c r="O40" s="14" t="s">
        <v>237</v>
      </c>
      <c r="P40" s="14" t="s">
        <v>241</v>
      </c>
    </row>
    <row r="41">
      <c r="A41" s="14" t="str">
        <f>IFERROR(__xludf.DUMMYFUNCTION("""COMPUTED_VALUE"""),"ICICI Pru life insurance")</f>
        <v>ICICI Pru life insurance</v>
      </c>
      <c r="B41" s="16">
        <f>IFERROR(__xludf.DUMMYFUNCTION("""COMPUTED_VALUE"""),67468.3198772)</f>
        <v>67468.31988</v>
      </c>
      <c r="C41" s="14">
        <f>IFERROR(__xludf.DUMMYFUNCTION("""COMPUTED_VALUE"""),468.9)</f>
        <v>468.9</v>
      </c>
      <c r="D41" s="14">
        <f>IFERROR(__xludf.DUMMYFUNCTION("""COMPUTED_VALUE"""),78.92)</f>
        <v>78.92</v>
      </c>
      <c r="E41" s="14">
        <f>IFERROR(__xludf.DUMMYFUNCTION("""COMPUTED_VALUE"""),648.85)</f>
        <v>648.85</v>
      </c>
      <c r="F41" s="17">
        <f>IFERROR(__xludf.DUMMYFUNCTION("""COMPUTED_VALUE"""),0.27733682669338067)</f>
        <v>0.2773368267</v>
      </c>
      <c r="G41" s="14">
        <f>IFERROR(__xludf.DUMMYFUNCTION("""COMPUTED_VALUE"""),430.0)</f>
        <v>430</v>
      </c>
      <c r="H41" s="17">
        <f>IFERROR(__xludf.DUMMYFUNCTION("""COMPUTED_VALUE"""),0.09046511627906971)</f>
        <v>0.09046511628</v>
      </c>
      <c r="I41" s="14">
        <f>IFERROR(__xludf.DUMMYFUNCTION("""COMPUTED_VALUE"""),464.7)</f>
        <v>464.7</v>
      </c>
      <c r="J41" s="17">
        <f>IFERROR(__xludf.DUMMYFUNCTION("""COMPUTED_VALUE"""),0.00903808908973529)</f>
        <v>0.00903808909</v>
      </c>
      <c r="K41" s="14" t="s">
        <v>245</v>
      </c>
      <c r="L41" s="14" t="s">
        <v>290</v>
      </c>
      <c r="M41" s="14" t="s">
        <v>235</v>
      </c>
      <c r="N41" s="14" t="s">
        <v>236</v>
      </c>
      <c r="O41" s="14" t="s">
        <v>237</v>
      </c>
      <c r="P41" s="14" t="s">
        <v>241</v>
      </c>
    </row>
    <row r="42">
      <c r="A42" s="14" t="str">
        <f>IFERROR(__xludf.DUMMYFUNCTION("""COMPUTED_VALUE"""),"Tata Power")</f>
        <v>Tata Power</v>
      </c>
      <c r="B42" s="16">
        <f>IFERROR(__xludf.DUMMYFUNCTION("""COMPUTED_VALUE"""),66015.7769553)</f>
        <v>66015.77696</v>
      </c>
      <c r="C42" s="14">
        <f>IFERROR(__xludf.DUMMYFUNCTION("""COMPUTED_VALUE"""),206.55)</f>
        <v>206.55</v>
      </c>
      <c r="D42" s="14">
        <f>IFERROR(__xludf.DUMMYFUNCTION("""COMPUTED_VALUE"""),25.89)</f>
        <v>25.89</v>
      </c>
      <c r="E42" s="14">
        <f>IFERROR(__xludf.DUMMYFUNCTION("""COMPUTED_VALUE"""),298.0)</f>
        <v>298</v>
      </c>
      <c r="F42" s="17">
        <f>IFERROR(__xludf.DUMMYFUNCTION("""COMPUTED_VALUE"""),0.30687919463087243)</f>
        <v>0.3068791946</v>
      </c>
      <c r="G42" s="14">
        <f>IFERROR(__xludf.DUMMYFUNCTION("""COMPUTED_VALUE"""),190.0)</f>
        <v>190</v>
      </c>
      <c r="H42" s="17">
        <f>IFERROR(__xludf.DUMMYFUNCTION("""COMPUTED_VALUE"""),0.0871052631578948)</f>
        <v>0.08710526316</v>
      </c>
      <c r="I42" s="14">
        <f>IFERROR(__xludf.DUMMYFUNCTION("""COMPUTED_VALUE"""),205.65)</f>
        <v>205.65</v>
      </c>
      <c r="J42" s="17">
        <f>IFERROR(__xludf.DUMMYFUNCTION("""COMPUTED_VALUE"""),0.0043763676148796775)</f>
        <v>0.004376367615</v>
      </c>
      <c r="K42" s="14" t="s">
        <v>252</v>
      </c>
      <c r="L42" s="14" t="s">
        <v>291</v>
      </c>
      <c r="M42" s="14" t="s">
        <v>235</v>
      </c>
      <c r="N42" s="14" t="s">
        <v>236</v>
      </c>
      <c r="O42" s="14" t="s">
        <v>237</v>
      </c>
      <c r="P42" s="14" t="s">
        <v>241</v>
      </c>
    </row>
    <row r="43">
      <c r="A43" s="14" t="str">
        <f>IFERROR(__xludf.DUMMYFUNCTION("""COMPUTED_VALUE"""),"Marico")</f>
        <v>Marico</v>
      </c>
      <c r="B43" s="16">
        <f>IFERROR(__xludf.DUMMYFUNCTION("""COMPUTED_VALUE"""),64133.35)</f>
        <v>64133.35</v>
      </c>
      <c r="C43" s="14">
        <f>IFERROR(__xludf.DUMMYFUNCTION("""COMPUTED_VALUE"""),497.5)</f>
        <v>497.5</v>
      </c>
      <c r="D43" s="14">
        <f>IFERROR(__xludf.DUMMYFUNCTION("""COMPUTED_VALUE"""),52.21)</f>
        <v>52.21</v>
      </c>
      <c r="E43" s="14">
        <f>IFERROR(__xludf.DUMMYFUNCTION("""COMPUTED_VALUE"""),554.35)</f>
        <v>554.35</v>
      </c>
      <c r="F43" s="17">
        <f>IFERROR(__xludf.DUMMYFUNCTION("""COMPUTED_VALUE"""),0.10255253900965097)</f>
        <v>0.102552539</v>
      </c>
      <c r="G43" s="14">
        <f>IFERROR(__xludf.DUMMYFUNCTION("""COMPUTED_VALUE"""),455.65)</f>
        <v>455.65</v>
      </c>
      <c r="H43" s="17">
        <f>IFERROR(__xludf.DUMMYFUNCTION("""COMPUTED_VALUE"""),0.0918468122462417)</f>
        <v>0.09184681225</v>
      </c>
      <c r="I43" s="14">
        <f>IFERROR(__xludf.DUMMYFUNCTION("""COMPUTED_VALUE"""),501.6)</f>
        <v>501.6</v>
      </c>
      <c r="J43" s="17">
        <f>IFERROR(__xludf.DUMMYFUNCTION("""COMPUTED_VALUE"""),-0.008173843700159535)</f>
        <v>-0.0081738437</v>
      </c>
      <c r="K43" s="14" t="s">
        <v>239</v>
      </c>
      <c r="L43" s="14" t="s">
        <v>292</v>
      </c>
      <c r="M43" s="14" t="s">
        <v>235</v>
      </c>
      <c r="N43" s="14" t="s">
        <v>236</v>
      </c>
      <c r="O43" s="14" t="s">
        <v>237</v>
      </c>
      <c r="P43" s="14" t="s">
        <v>241</v>
      </c>
    </row>
    <row r="44">
      <c r="A44" s="14" t="str">
        <f>IFERROR(__xludf.DUMMYFUNCTION("""COMPUTED_VALUE"""),"United Spirits")</f>
        <v>United Spirits</v>
      </c>
      <c r="B44" s="16">
        <f>IFERROR(__xludf.DUMMYFUNCTION("""COMPUTED_VALUE"""),61484.38668)</f>
        <v>61484.38668</v>
      </c>
      <c r="C44" s="14">
        <f>IFERROR(__xludf.DUMMYFUNCTION("""COMPUTED_VALUE"""),846.75)</f>
        <v>846.75</v>
      </c>
      <c r="D44" s="14">
        <f>IFERROR(__xludf.DUMMYFUNCTION("""COMPUTED_VALUE"""),46.19)</f>
        <v>46.19</v>
      </c>
      <c r="E44" s="14">
        <f>IFERROR(__xludf.DUMMYFUNCTION("""COMPUTED_VALUE"""),958.0)</f>
        <v>958</v>
      </c>
      <c r="F44" s="17">
        <f>IFERROR(__xludf.DUMMYFUNCTION("""COMPUTED_VALUE"""),0.11612734864300626)</f>
        <v>0.1161273486</v>
      </c>
      <c r="G44" s="14">
        <f>IFERROR(__xludf.DUMMYFUNCTION("""COMPUTED_VALUE"""),712.0)</f>
        <v>712</v>
      </c>
      <c r="H44" s="17">
        <f>IFERROR(__xludf.DUMMYFUNCTION("""COMPUTED_VALUE"""),0.1892556179775281)</f>
        <v>0.189255618</v>
      </c>
      <c r="I44" s="14">
        <f>IFERROR(__xludf.DUMMYFUNCTION("""COMPUTED_VALUE"""),857.75)</f>
        <v>857.75</v>
      </c>
      <c r="J44" s="17">
        <f>IFERROR(__xludf.DUMMYFUNCTION("""COMPUTED_VALUE"""),-0.012824249489944622)</f>
        <v>-0.01282424949</v>
      </c>
      <c r="K44" s="14" t="s">
        <v>293</v>
      </c>
      <c r="L44" s="14" t="s">
        <v>294</v>
      </c>
      <c r="M44" s="14" t="s">
        <v>235</v>
      </c>
      <c r="N44" s="14" t="s">
        <v>236</v>
      </c>
      <c r="O44" s="14" t="s">
        <v>237</v>
      </c>
      <c r="P44" s="14" t="s">
        <v>241</v>
      </c>
    </row>
    <row r="45">
      <c r="A45" s="14" t="str">
        <f>IFERROR(__xludf.DUMMYFUNCTION("""COMPUTED_VALUE"""),"Yesbank")</f>
        <v>Yesbank</v>
      </c>
      <c r="B45" s="16">
        <f>IFERROR(__xludf.DUMMYFUNCTION("""COMPUTED_VALUE"""),57937.9387031)</f>
        <v>57937.9387</v>
      </c>
      <c r="C45" s="14">
        <f>IFERROR(__xludf.DUMMYFUNCTION("""COMPUTED_VALUE"""),20.15)</f>
        <v>20.15</v>
      </c>
      <c r="D45" s="14">
        <f>IFERROR(__xludf.DUMMYFUNCTION("""COMPUTED_VALUE"""),45.52)</f>
        <v>45.52</v>
      </c>
      <c r="E45" s="14">
        <f>IFERROR(__xludf.DUMMYFUNCTION("""COMPUTED_VALUE"""),24.75)</f>
        <v>24.75</v>
      </c>
      <c r="F45" s="17">
        <f>IFERROR(__xludf.DUMMYFUNCTION("""COMPUTED_VALUE"""),0.18585858585858592)</f>
        <v>0.1858585859</v>
      </c>
      <c r="G45" s="14">
        <f>IFERROR(__xludf.DUMMYFUNCTION("""COMPUTED_VALUE"""),12.11)</f>
        <v>12.11</v>
      </c>
      <c r="H45" s="17">
        <f>IFERROR(__xludf.DUMMYFUNCTION("""COMPUTED_VALUE"""),0.6639141205615193)</f>
        <v>0.6639141206</v>
      </c>
      <c r="I45" s="14">
        <f>IFERROR(__xludf.DUMMYFUNCTION("""COMPUTED_VALUE"""),19.9)</f>
        <v>19.9</v>
      </c>
      <c r="J45" s="17">
        <f>IFERROR(__xludf.DUMMYFUNCTION("""COMPUTED_VALUE"""),0.01256281407035176)</f>
        <v>0.01256281407</v>
      </c>
      <c r="K45" s="14" t="s">
        <v>242</v>
      </c>
      <c r="L45" s="14" t="s">
        <v>295</v>
      </c>
      <c r="M45" s="14" t="s">
        <v>236</v>
      </c>
      <c r="N45" s="14" t="s">
        <v>236</v>
      </c>
      <c r="O45" s="14" t="s">
        <v>296</v>
      </c>
      <c r="P45" s="14" t="s">
        <v>241</v>
      </c>
    </row>
    <row r="46">
      <c r="A46" s="14" t="str">
        <f>IFERROR(__xludf.DUMMYFUNCTION("""COMPUTED_VALUE"""),"Berger Paint")</f>
        <v>Berger Paint</v>
      </c>
      <c r="B46" s="16">
        <f>IFERROR(__xludf.DUMMYFUNCTION("""COMPUTED_VALUE"""),54643.2617004)</f>
        <v>54643.2617</v>
      </c>
      <c r="C46" s="14">
        <f>IFERROR(__xludf.DUMMYFUNCTION("""COMPUTED_VALUE"""),564.0)</f>
        <v>564</v>
      </c>
      <c r="D46" s="14">
        <f>IFERROR(__xludf.DUMMYFUNCTION("""COMPUTED_VALUE"""),57.95)</f>
        <v>57.95</v>
      </c>
      <c r="E46" s="14">
        <f>IFERROR(__xludf.DUMMYFUNCTION("""COMPUTED_VALUE"""),793.05)</f>
        <v>793.05</v>
      </c>
      <c r="F46" s="17">
        <f>IFERROR(__xludf.DUMMYFUNCTION("""COMPUTED_VALUE"""),0.2888216379799508)</f>
        <v>0.288821638</v>
      </c>
      <c r="G46" s="14">
        <f>IFERROR(__xludf.DUMMYFUNCTION("""COMPUTED_VALUE"""),543.6)</f>
        <v>543.6</v>
      </c>
      <c r="H46" s="17">
        <f>IFERROR(__xludf.DUMMYFUNCTION("""COMPUTED_VALUE"""),0.0375275938189845)</f>
        <v>0.03752759382</v>
      </c>
      <c r="I46" s="14">
        <f>IFERROR(__xludf.DUMMYFUNCTION("""COMPUTED_VALUE"""),561.95)</f>
        <v>561.95</v>
      </c>
      <c r="J46" s="17">
        <f>IFERROR(__xludf.DUMMYFUNCTION("""COMPUTED_VALUE"""),0.0036480113889135234)</f>
        <v>0.003648011389</v>
      </c>
      <c r="K46" s="14" t="s">
        <v>255</v>
      </c>
      <c r="L46" s="14" t="s">
        <v>297</v>
      </c>
      <c r="M46" s="14" t="s">
        <v>235</v>
      </c>
      <c r="N46" s="14" t="s">
        <v>236</v>
      </c>
      <c r="O46" s="14" t="s">
        <v>237</v>
      </c>
      <c r="P46" s="14" t="s">
        <v>241</v>
      </c>
    </row>
    <row r="47">
      <c r="A47" s="14" t="str">
        <f>IFERROR(__xludf.DUMMYFUNCTION("""COMPUTED_VALUE"""),"Hero Motocorp")</f>
        <v>Hero Motocorp</v>
      </c>
      <c r="B47" s="16">
        <f>IFERROR(__xludf.DUMMYFUNCTION("""COMPUTED_VALUE"""),54522.74)</f>
        <v>54522.74</v>
      </c>
      <c r="C47" s="14">
        <f>IFERROR(__xludf.DUMMYFUNCTION("""COMPUTED_VALUE"""),2732.0)</f>
        <v>2732</v>
      </c>
      <c r="D47" s="14">
        <f>IFERROR(__xludf.DUMMYFUNCTION("""COMPUTED_VALUE"""),21.06)</f>
        <v>21.06</v>
      </c>
      <c r="E47" s="14">
        <f>IFERROR(__xludf.DUMMYFUNCTION("""COMPUTED_VALUE"""),2938.6)</f>
        <v>2938.6</v>
      </c>
      <c r="F47" s="17">
        <f>IFERROR(__xludf.DUMMYFUNCTION("""COMPUTED_VALUE"""),0.07030558769482063)</f>
        <v>0.07030558769</v>
      </c>
      <c r="G47" s="14">
        <f>IFERROR(__xludf.DUMMYFUNCTION("""COMPUTED_VALUE"""),2146.85)</f>
        <v>2146.85</v>
      </c>
      <c r="H47" s="17">
        <f>IFERROR(__xludf.DUMMYFUNCTION("""COMPUTED_VALUE"""),0.27256212590539636)</f>
        <v>0.2725621259</v>
      </c>
      <c r="I47" s="14">
        <f>IFERROR(__xludf.DUMMYFUNCTION("""COMPUTED_VALUE"""),2694.25)</f>
        <v>2694.25</v>
      </c>
      <c r="J47" s="17">
        <f>IFERROR(__xludf.DUMMYFUNCTION("""COMPUTED_VALUE"""),0.014011320404565278)</f>
        <v>0.0140113204</v>
      </c>
      <c r="K47" s="14" t="s">
        <v>257</v>
      </c>
      <c r="L47" s="14" t="s">
        <v>298</v>
      </c>
      <c r="M47" s="14" t="s">
        <v>235</v>
      </c>
      <c r="N47" s="14" t="s">
        <v>236</v>
      </c>
      <c r="O47" s="14" t="s">
        <v>237</v>
      </c>
      <c r="P47" s="14" t="s">
        <v>241</v>
      </c>
    </row>
    <row r="48">
      <c r="A48" s="14" t="str">
        <f>IFERROR(__xludf.DUMMYFUNCTION("""COMPUTED_VALUE"""),"UPL")</f>
        <v>UPL</v>
      </c>
      <c r="B48" s="16">
        <f>IFERROR(__xludf.DUMMYFUNCTION("""COMPUTED_VALUE"""),53833.6605806)</f>
        <v>53833.66058</v>
      </c>
      <c r="C48" s="14">
        <f>IFERROR(__xludf.DUMMYFUNCTION("""COMPUTED_VALUE"""),718.45)</f>
        <v>718.45</v>
      </c>
      <c r="D48" s="14">
        <f>IFERROR(__xludf.DUMMYFUNCTION("""COMPUTED_VALUE"""),13.58)</f>
        <v>13.58</v>
      </c>
      <c r="E48" s="14">
        <f>IFERROR(__xludf.DUMMYFUNCTION("""COMPUTED_VALUE"""),848.0)</f>
        <v>848</v>
      </c>
      <c r="F48" s="17">
        <f>IFERROR(__xludf.DUMMYFUNCTION("""COMPUTED_VALUE"""),0.15277122641509427)</f>
        <v>0.1527712264</v>
      </c>
      <c r="G48" s="14">
        <f>IFERROR(__xludf.DUMMYFUNCTION("""COMPUTED_VALUE"""),607.8)</f>
        <v>607.8</v>
      </c>
      <c r="H48" s="17">
        <f>IFERROR(__xludf.DUMMYFUNCTION("""COMPUTED_VALUE"""),0.18205001645278068)</f>
        <v>0.1820500165</v>
      </c>
      <c r="I48" s="14">
        <f>IFERROR(__xludf.DUMMYFUNCTION("""COMPUTED_VALUE"""),719.05)</f>
        <v>719.05</v>
      </c>
      <c r="J48" s="17">
        <f>IFERROR(__xludf.DUMMYFUNCTION("""COMPUTED_VALUE"""),-8.344343230650289E-4)</f>
        <v>-0.0008344343231</v>
      </c>
      <c r="K48" s="14" t="s">
        <v>299</v>
      </c>
      <c r="L48" s="14" t="s">
        <v>300</v>
      </c>
      <c r="M48" s="14" t="s">
        <v>235</v>
      </c>
      <c r="N48" s="14" t="s">
        <v>236</v>
      </c>
      <c r="O48" s="14" t="s">
        <v>237</v>
      </c>
      <c r="P48" s="14" t="s">
        <v>241</v>
      </c>
    </row>
    <row r="49">
      <c r="A49" s="14" t="str">
        <f>IFERROR(__xludf.DUMMYFUNCTION("""COMPUTED_VALUE"""),"Motherson Sumi")</f>
        <v>Motherson Sumi</v>
      </c>
      <c r="B49" s="16">
        <f>IFERROR(__xludf.DUMMYFUNCTION("""COMPUTED_VALUE"""),52280.0813339)</f>
        <v>52280.08133</v>
      </c>
      <c r="C49" s="14">
        <f>IFERROR(__xludf.DUMMYFUNCTION("""COMPUTED_VALUE"""),77.15)</f>
        <v>77.15</v>
      </c>
      <c r="D49" s="14">
        <f>IFERROR(__xludf.DUMMYFUNCTION("""COMPUTED_VALUE"""),67.22)</f>
        <v>67.22</v>
      </c>
      <c r="E49" s="14">
        <f>IFERROR(__xludf.DUMMYFUNCTION("""COMPUTED_VALUE"""),165.03)</f>
        <v>165.03</v>
      </c>
      <c r="F49" s="17">
        <f>IFERROR(__xludf.DUMMYFUNCTION("""COMPUTED_VALUE"""),0.5325092407441071)</f>
        <v>0.5325092407</v>
      </c>
      <c r="G49" s="14">
        <f>IFERROR(__xludf.DUMMYFUNCTION("""COMPUTED_VALUE"""),61.85)</f>
        <v>61.85</v>
      </c>
      <c r="H49" s="17">
        <f>IFERROR(__xludf.DUMMYFUNCTION("""COMPUTED_VALUE"""),0.2473726758286177)</f>
        <v>0.2473726758</v>
      </c>
      <c r="I49" s="14">
        <f>IFERROR(__xludf.DUMMYFUNCTION("""COMPUTED_VALUE"""),78.15)</f>
        <v>78.15</v>
      </c>
      <c r="J49" s="17">
        <f>IFERROR(__xludf.DUMMYFUNCTION("""COMPUTED_VALUE"""),-0.012795905310300703)</f>
        <v>-0.01279590531</v>
      </c>
      <c r="K49" s="14" t="s">
        <v>301</v>
      </c>
      <c r="L49" s="14" t="s">
        <v>302</v>
      </c>
      <c r="M49" s="14" t="s">
        <v>235</v>
      </c>
      <c r="N49" s="14" t="s">
        <v>236</v>
      </c>
      <c r="O49" s="14" t="s">
        <v>237</v>
      </c>
      <c r="P49" s="14" t="s">
        <v>241</v>
      </c>
    </row>
    <row r="50">
      <c r="A50" s="14" t="str">
        <f>IFERROR(__xludf.DUMMYFUNCTION("""COMPUTED_VALUE"""),"IRCTC")</f>
        <v>IRCTC</v>
      </c>
      <c r="B50" s="16">
        <f>IFERROR(__xludf.DUMMYFUNCTION("""COMPUTED_VALUE"""),51348.0038553)</f>
        <v>51348.00386</v>
      </c>
      <c r="C50" s="14">
        <f>IFERROR(__xludf.DUMMYFUNCTION("""COMPUTED_VALUE"""),641.0)</f>
        <v>641</v>
      </c>
      <c r="D50" s="14">
        <f>IFERROR(__xludf.DUMMYFUNCTION("""COMPUTED_VALUE"""),57.32)</f>
        <v>57.32</v>
      </c>
      <c r="E50" s="14">
        <f>IFERROR(__xludf.DUMMYFUNCTION("""COMPUTED_VALUE"""),918.65)</f>
        <v>918.65</v>
      </c>
      <c r="F50" s="17">
        <f>IFERROR(__xludf.DUMMYFUNCTION("""COMPUTED_VALUE"""),0.3022369781744952)</f>
        <v>0.3022369782</v>
      </c>
      <c r="G50" s="14">
        <f>IFERROR(__xludf.DUMMYFUNCTION("""COMPUTED_VALUE"""),557.0)</f>
        <v>557</v>
      </c>
      <c r="H50" s="17">
        <f>IFERROR(__xludf.DUMMYFUNCTION("""COMPUTED_VALUE"""),0.15080789946140036)</f>
        <v>0.1508078995</v>
      </c>
      <c r="I50" s="14">
        <f>IFERROR(__xludf.DUMMYFUNCTION("""COMPUTED_VALUE"""),640.65)</f>
        <v>640.65</v>
      </c>
      <c r="J50" s="17">
        <f>IFERROR(__xludf.DUMMYFUNCTION("""COMPUTED_VALUE"""),5.463201436041876E-4)</f>
        <v>0.0005463201436</v>
      </c>
      <c r="K50" s="14" t="s">
        <v>303</v>
      </c>
      <c r="L50" s="14" t="s">
        <v>48</v>
      </c>
      <c r="M50" s="14" t="s">
        <v>235</v>
      </c>
      <c r="N50" s="14" t="s">
        <v>236</v>
      </c>
      <c r="O50" s="14" t="s">
        <v>237</v>
      </c>
      <c r="P50" s="14" t="s">
        <v>241</v>
      </c>
    </row>
    <row r="51">
      <c r="A51" s="14" t="str">
        <f>IFERROR(__xludf.DUMMYFUNCTION("""COMPUTED_VALUE"""),"PI industries")</f>
        <v>PI industries</v>
      </c>
      <c r="B51" s="16">
        <f>IFERROR(__xludf.DUMMYFUNCTION("""COMPUTED_VALUE"""),49475.63474)</f>
        <v>49475.63474</v>
      </c>
      <c r="C51" s="14">
        <f>IFERROR(__xludf.DUMMYFUNCTION("""COMPUTED_VALUE"""),3262.0)</f>
        <v>3262</v>
      </c>
      <c r="D51" s="14">
        <f>IFERROR(__xludf.DUMMYFUNCTION("""COMPUTED_VALUE"""),48.33)</f>
        <v>48.33</v>
      </c>
      <c r="E51" s="14">
        <f>IFERROR(__xludf.DUMMYFUNCTION("""COMPUTED_VALUE"""),3698.45)</f>
        <v>3698.45</v>
      </c>
      <c r="F51" s="17">
        <f>IFERROR(__xludf.DUMMYFUNCTION("""COMPUTED_VALUE"""),0.11800889561843471)</f>
        <v>0.1180088956</v>
      </c>
      <c r="G51" s="14">
        <f>IFERROR(__xludf.DUMMYFUNCTION("""COMPUTED_VALUE"""),2333.55)</f>
        <v>2333.55</v>
      </c>
      <c r="H51" s="17">
        <f>IFERROR(__xludf.DUMMYFUNCTION("""COMPUTED_VALUE"""),0.39787019776735005)</f>
        <v>0.3978701978</v>
      </c>
      <c r="I51" s="14">
        <f>IFERROR(__xludf.DUMMYFUNCTION("""COMPUTED_VALUE"""),3292.65)</f>
        <v>3292.65</v>
      </c>
      <c r="J51" s="17">
        <f>IFERROR(__xludf.DUMMYFUNCTION("""COMPUTED_VALUE"""),-0.009308611604634592)</f>
        <v>-0.009308611605</v>
      </c>
      <c r="K51" s="14" t="s">
        <v>299</v>
      </c>
      <c r="L51" s="14" t="s">
        <v>304</v>
      </c>
      <c r="M51" s="14" t="s">
        <v>235</v>
      </c>
      <c r="N51" s="14" t="s">
        <v>236</v>
      </c>
      <c r="O51" s="14" t="s">
        <v>237</v>
      </c>
      <c r="P51" s="14" t="s">
        <v>241</v>
      </c>
    </row>
    <row r="52">
      <c r="A52" s="14" t="str">
        <f>IFERROR(__xludf.DUMMYFUNCTION("""COMPUTED_VALUE"""),"Infoedge")</f>
        <v>Infoedge</v>
      </c>
      <c r="B52" s="16">
        <f>IFERROR(__xludf.DUMMYFUNCTION("""COMPUTED_VALUE"""),48135.11)</f>
        <v>48135.11</v>
      </c>
      <c r="C52" s="14">
        <f>IFERROR(__xludf.DUMMYFUNCTION("""COMPUTED_VALUE"""),3731.8)</f>
        <v>3731.8</v>
      </c>
      <c r="D52" s="14">
        <f>IFERROR(__xludf.DUMMYFUNCTION("""COMPUTED_VALUE"""),8.76)</f>
        <v>8.76</v>
      </c>
      <c r="E52" s="14">
        <f>IFERROR(__xludf.DUMMYFUNCTION("""COMPUTED_VALUE"""),5790.0)</f>
        <v>5790</v>
      </c>
      <c r="F52" s="17">
        <f>IFERROR(__xludf.DUMMYFUNCTION("""COMPUTED_VALUE"""),0.35547495682210706)</f>
        <v>0.3554749568</v>
      </c>
      <c r="G52" s="14">
        <f>IFERROR(__xludf.DUMMYFUNCTION("""COMPUTED_VALUE"""),3314.0)</f>
        <v>3314</v>
      </c>
      <c r="H52" s="17">
        <f>IFERROR(__xludf.DUMMYFUNCTION("""COMPUTED_VALUE"""),0.12607121303560656)</f>
        <v>0.126071213</v>
      </c>
      <c r="I52" s="14">
        <f>IFERROR(__xludf.DUMMYFUNCTION("""COMPUTED_VALUE"""),3719.3)</f>
        <v>3719.3</v>
      </c>
      <c r="J52" s="17">
        <f>IFERROR(__xludf.DUMMYFUNCTION("""COMPUTED_VALUE"""),0.0033608474712983625)</f>
        <v>0.003360847471</v>
      </c>
      <c r="K52" s="14" t="s">
        <v>305</v>
      </c>
      <c r="L52" s="14" t="s">
        <v>306</v>
      </c>
      <c r="M52" s="14" t="s">
        <v>235</v>
      </c>
      <c r="N52" s="14" t="s">
        <v>236</v>
      </c>
      <c r="O52" s="14" t="s">
        <v>237</v>
      </c>
      <c r="P52" s="14" t="s">
        <v>241</v>
      </c>
    </row>
    <row r="53">
      <c r="A53" s="14" t="str">
        <f>IFERROR(__xludf.DUMMYFUNCTION("""COMPUTED_VALUE"""),"TVS")</f>
        <v>TVS</v>
      </c>
      <c r="B53" s="16">
        <f>IFERROR(__xludf.DUMMYFUNCTION("""COMPUTED_VALUE"""),47610.86)</f>
        <v>47610.86</v>
      </c>
      <c r="C53" s="14">
        <f>IFERROR(__xludf.DUMMYFUNCTION("""COMPUTED_VALUE"""),999.5)</f>
        <v>999.5</v>
      </c>
      <c r="D53" s="14">
        <f>IFERROR(__xludf.DUMMYFUNCTION("""COMPUTED_VALUE"""),39.03)</f>
        <v>39.03</v>
      </c>
      <c r="E53" s="14">
        <f>IFERROR(__xludf.DUMMYFUNCTION("""COMPUTED_VALUE"""),1177.0)</f>
        <v>1177</v>
      </c>
      <c r="F53" s="17">
        <f>IFERROR(__xludf.DUMMYFUNCTION("""COMPUTED_VALUE"""),0.1508071367884452)</f>
        <v>0.1508071368</v>
      </c>
      <c r="G53" s="14">
        <f>IFERROR(__xludf.DUMMYFUNCTION("""COMPUTED_VALUE"""),513.0)</f>
        <v>513</v>
      </c>
      <c r="H53" s="17">
        <f>IFERROR(__xludf.DUMMYFUNCTION("""COMPUTED_VALUE"""),0.9483430799220273)</f>
        <v>0.9483430799</v>
      </c>
      <c r="I53" s="14">
        <f>IFERROR(__xludf.DUMMYFUNCTION("""COMPUTED_VALUE"""),1005.2)</f>
        <v>1005.2</v>
      </c>
      <c r="J53" s="17">
        <f>IFERROR(__xludf.DUMMYFUNCTION("""COMPUTED_VALUE"""),-0.005670513330680507)</f>
        <v>-0.005670513331</v>
      </c>
      <c r="K53" s="14" t="s">
        <v>257</v>
      </c>
      <c r="L53" s="14" t="s">
        <v>307</v>
      </c>
      <c r="M53" s="14" t="s">
        <v>235</v>
      </c>
      <c r="N53" s="14" t="s">
        <v>236</v>
      </c>
      <c r="O53" s="14" t="s">
        <v>237</v>
      </c>
      <c r="P53" s="14" t="s">
        <v>241</v>
      </c>
    </row>
    <row r="54">
      <c r="A54" s="14" t="str">
        <f>IFERROR(__xludf.DUMMYFUNCTION("""COMPUTED_VALUE"""),"Abbott India")</f>
        <v>Abbott India</v>
      </c>
      <c r="B54" s="16">
        <f>IFERROR(__xludf.DUMMYFUNCTION("""COMPUTED_VALUE"""),47348.12)</f>
        <v>47348.12</v>
      </c>
      <c r="C54" s="14">
        <f>IFERROR(__xludf.DUMMYFUNCTION("""COMPUTED_VALUE"""),22241.0)</f>
        <v>22241</v>
      </c>
      <c r="D54" s="14">
        <f>IFERROR(__xludf.DUMMYFUNCTION("""COMPUTED_VALUE"""),53.6)</f>
        <v>53.6</v>
      </c>
      <c r="E54" s="14">
        <f>IFERROR(__xludf.DUMMYFUNCTION("""COMPUTED_VALUE"""),22499.0)</f>
        <v>22499</v>
      </c>
      <c r="F54" s="17">
        <f>IFERROR(__xludf.DUMMYFUNCTION("""COMPUTED_VALUE"""),0.011467176318947508)</f>
        <v>0.01146717632</v>
      </c>
      <c r="G54" s="14">
        <f>IFERROR(__xludf.DUMMYFUNCTION("""COMPUTED_VALUE"""),15514.0)</f>
        <v>15514</v>
      </c>
      <c r="H54" s="17">
        <f>IFERROR(__xludf.DUMMYFUNCTION("""COMPUTED_VALUE"""),0.4336083537450045)</f>
        <v>0.4336083537</v>
      </c>
      <c r="I54" s="14">
        <f>IFERROR(__xludf.DUMMYFUNCTION("""COMPUTED_VALUE"""),22162.55)</f>
        <v>22162.55</v>
      </c>
      <c r="J54" s="17">
        <f>IFERROR(__xludf.DUMMYFUNCTION("""COMPUTED_VALUE"""),0.0035397551274560343)</f>
        <v>0.003539755127</v>
      </c>
      <c r="K54" s="14" t="s">
        <v>259</v>
      </c>
      <c r="L54" s="14" t="s">
        <v>308</v>
      </c>
      <c r="M54" s="14" t="s">
        <v>235</v>
      </c>
      <c r="N54" s="14" t="s">
        <v>236</v>
      </c>
      <c r="O54" s="14" t="s">
        <v>237</v>
      </c>
      <c r="P54" s="14" t="s">
        <v>241</v>
      </c>
    </row>
    <row r="55">
      <c r="A55" s="14" t="str">
        <f>IFERROR(__xludf.DUMMYFUNCTION("""COMPUTED_VALUE"""),"HDFC AMC")</f>
        <v>HDFC AMC</v>
      </c>
      <c r="B55" s="16">
        <f>IFERROR(__xludf.DUMMYFUNCTION("""COMPUTED_VALUE"""),45934.43)</f>
        <v>45934.43</v>
      </c>
      <c r="C55" s="14">
        <f>IFERROR(__xludf.DUMMYFUNCTION("""COMPUTED_VALUE"""),2148.0)</f>
        <v>2148</v>
      </c>
      <c r="D55" s="14">
        <f>IFERROR(__xludf.DUMMYFUNCTION("""COMPUTED_VALUE"""),33.2)</f>
        <v>33.2</v>
      </c>
      <c r="E55" s="14">
        <f>IFERROR(__xludf.DUMMYFUNCTION("""COMPUTED_VALUE"""),2507.35)</f>
        <v>2507.35</v>
      </c>
      <c r="F55" s="17">
        <f>IFERROR(__xludf.DUMMYFUNCTION("""COMPUTED_VALUE"""),0.14331864318902424)</f>
        <v>0.1433186432</v>
      </c>
      <c r="G55" s="14">
        <f>IFERROR(__xludf.DUMMYFUNCTION("""COMPUTED_VALUE"""),1690.0)</f>
        <v>1690</v>
      </c>
      <c r="H55" s="17">
        <f>IFERROR(__xludf.DUMMYFUNCTION("""COMPUTED_VALUE"""),0.2710059171597633)</f>
        <v>0.2710059172</v>
      </c>
      <c r="I55" s="14">
        <f>IFERROR(__xludf.DUMMYFUNCTION("""COMPUTED_VALUE"""),2150.75)</f>
        <v>2150.75</v>
      </c>
      <c r="J55" s="17">
        <f>IFERROR(__xludf.DUMMYFUNCTION("""COMPUTED_VALUE"""),-0.0012786237359060793)</f>
        <v>-0.001278623736</v>
      </c>
      <c r="K55" s="14" t="s">
        <v>309</v>
      </c>
      <c r="L55" s="14" t="s">
        <v>310</v>
      </c>
      <c r="M55" s="14" t="s">
        <v>235</v>
      </c>
      <c r="N55" s="14" t="s">
        <v>236</v>
      </c>
      <c r="O55" s="14" t="s">
        <v>237</v>
      </c>
      <c r="P55" s="14" t="s">
        <v>241</v>
      </c>
    </row>
    <row r="56">
      <c r="A56" s="14" t="str">
        <f>IFERROR(__xludf.DUMMYFUNCTION("""COMPUTED_VALUE"""),"Page Industries")</f>
        <v>Page Industries</v>
      </c>
      <c r="B56" s="16">
        <f>IFERROR(__xludf.DUMMYFUNCTION("""COMPUTED_VALUE"""),44894.62)</f>
        <v>44894.62</v>
      </c>
      <c r="C56" s="14">
        <f>IFERROR(__xludf.DUMMYFUNCTION("""COMPUTED_VALUE"""),40260.0)</f>
        <v>40260</v>
      </c>
      <c r="D56" s="14">
        <f>IFERROR(__xludf.DUMMYFUNCTION("""COMPUTED_VALUE"""),61.16)</f>
        <v>61.16</v>
      </c>
      <c r="E56" s="14">
        <f>IFERROR(__xludf.DUMMYFUNCTION("""COMPUTED_VALUE"""),54349.1)</f>
        <v>54349.1</v>
      </c>
      <c r="F56" s="17">
        <f>IFERROR(__xludf.DUMMYFUNCTION("""COMPUTED_VALUE"""),0.2592333635699579)</f>
        <v>0.2592333636</v>
      </c>
      <c r="G56" s="14">
        <f>IFERROR(__xludf.DUMMYFUNCTION("""COMPUTED_VALUE"""),37825.0)</f>
        <v>37825</v>
      </c>
      <c r="H56" s="17">
        <f>IFERROR(__xludf.DUMMYFUNCTION("""COMPUTED_VALUE"""),0.06437541308658294)</f>
        <v>0.06437541309</v>
      </c>
      <c r="I56" s="14">
        <f>IFERROR(__xludf.DUMMYFUNCTION("""COMPUTED_VALUE"""),40639.05)</f>
        <v>40639.05</v>
      </c>
      <c r="J56" s="17">
        <f>IFERROR(__xludf.DUMMYFUNCTION("""COMPUTED_VALUE"""),-0.009327235749851507)</f>
        <v>-0.00932723575</v>
      </c>
      <c r="K56" s="14" t="s">
        <v>311</v>
      </c>
      <c r="L56" s="14" t="s">
        <v>312</v>
      </c>
      <c r="M56" s="14" t="s">
        <v>235</v>
      </c>
      <c r="N56" s="14" t="s">
        <v>236</v>
      </c>
      <c r="O56" s="14" t="s">
        <v>237</v>
      </c>
      <c r="P56" s="14" t="s">
        <v>241</v>
      </c>
    </row>
    <row r="57">
      <c r="A57" s="14" t="str">
        <f>IFERROR(__xludf.DUMMYFUNCTION("""COMPUTED_VALUE"""),"Balkrishna Industries")</f>
        <v>Balkrishna Industries</v>
      </c>
      <c r="B57" s="16">
        <f>IFERROR(__xludf.DUMMYFUNCTION("""COMPUTED_VALUE"""),43195.8704177)</f>
        <v>43195.87042</v>
      </c>
      <c r="C57" s="14">
        <f>IFERROR(__xludf.DUMMYFUNCTION("""COMPUTED_VALUE"""),2229.0)</f>
        <v>2229</v>
      </c>
      <c r="D57" s="14">
        <f>IFERROR(__xludf.DUMMYFUNCTION("""COMPUTED_VALUE"""),30.72)</f>
        <v>30.72</v>
      </c>
      <c r="E57" s="14">
        <f>IFERROR(__xludf.DUMMYFUNCTION("""COMPUTED_VALUE"""),2537.45)</f>
        <v>2537.45</v>
      </c>
      <c r="F57" s="17">
        <f>IFERROR(__xludf.DUMMYFUNCTION("""COMPUTED_VALUE"""),0.12155904549843341)</f>
        <v>0.1215590455</v>
      </c>
      <c r="G57" s="14">
        <f>IFERROR(__xludf.DUMMYFUNCTION("""COMPUTED_VALUE"""),1690.55)</f>
        <v>1690.55</v>
      </c>
      <c r="H57" s="17">
        <f>IFERROR(__xludf.DUMMYFUNCTION("""COMPUTED_VALUE"""),0.31850581171807996)</f>
        <v>0.3185058117</v>
      </c>
      <c r="I57" s="14">
        <f>IFERROR(__xludf.DUMMYFUNCTION("""COMPUTED_VALUE"""),2214.25)</f>
        <v>2214.25</v>
      </c>
      <c r="J57" s="17">
        <f>IFERROR(__xludf.DUMMYFUNCTION("""COMPUTED_VALUE"""),0.0066613977644800725)</f>
        <v>0.006661397764</v>
      </c>
      <c r="K57" s="14" t="s">
        <v>313</v>
      </c>
      <c r="L57" s="14" t="s">
        <v>314</v>
      </c>
      <c r="M57" s="14" t="s">
        <v>235</v>
      </c>
      <c r="N57" s="14" t="s">
        <v>236</v>
      </c>
      <c r="O57" s="14" t="s">
        <v>237</v>
      </c>
      <c r="P57" s="14" t="s">
        <v>241</v>
      </c>
    </row>
    <row r="58">
      <c r="A58" s="14" t="str">
        <f>IFERROR(__xludf.DUMMYFUNCTION("""COMPUTED_VALUE"""),"United Breweries")</f>
        <v>United Breweries</v>
      </c>
      <c r="B58" s="16">
        <f>IFERROR(__xludf.DUMMYFUNCTION("""COMPUTED_VALUE"""),42833.63)</f>
        <v>42833.63</v>
      </c>
      <c r="C58" s="14">
        <f>IFERROR(__xludf.DUMMYFUNCTION("""COMPUTED_VALUE"""),1625.0)</f>
        <v>1625</v>
      </c>
      <c r="D58" s="14">
        <f>IFERROR(__xludf.DUMMYFUNCTION("""COMPUTED_VALUE"""),78.07)</f>
        <v>78.07</v>
      </c>
      <c r="E58" s="14">
        <f>IFERROR(__xludf.DUMMYFUNCTION("""COMPUTED_VALUE"""),1806.45)</f>
        <v>1806.45</v>
      </c>
      <c r="F58" s="17">
        <f>IFERROR(__xludf.DUMMYFUNCTION("""COMPUTED_VALUE"""),0.10044562539787984)</f>
        <v>0.1004456254</v>
      </c>
      <c r="G58" s="14">
        <f>IFERROR(__xludf.DUMMYFUNCTION("""COMPUTED_VALUE"""),1274.5)</f>
        <v>1274.5</v>
      </c>
      <c r="H58" s="17">
        <f>IFERROR(__xludf.DUMMYFUNCTION("""COMPUTED_VALUE"""),0.2750098077677521)</f>
        <v>0.2750098078</v>
      </c>
      <c r="I58" s="14">
        <f>IFERROR(__xludf.DUMMYFUNCTION("""COMPUTED_VALUE"""),1644.15)</f>
        <v>1644.15</v>
      </c>
      <c r="J58" s="17">
        <f>IFERROR(__xludf.DUMMYFUNCTION("""COMPUTED_VALUE"""),-0.011647355776541125)</f>
        <v>-0.01164735578</v>
      </c>
      <c r="K58" s="14" t="s">
        <v>293</v>
      </c>
      <c r="L58" s="14" t="s">
        <v>315</v>
      </c>
      <c r="M58" s="14" t="s">
        <v>235</v>
      </c>
      <c r="N58" s="14" t="s">
        <v>236</v>
      </c>
      <c r="O58" s="14" t="s">
        <v>237</v>
      </c>
      <c r="P58" s="14" t="s">
        <v>241</v>
      </c>
    </row>
    <row r="59">
      <c r="A59" s="14" t="str">
        <f>IFERROR(__xludf.DUMMYFUNCTION("""COMPUTED_VALUE"""),"Muthoot Finance")</f>
        <v>Muthoot Finance</v>
      </c>
      <c r="B59" s="16">
        <f>IFERROR(__xludf.DUMMYFUNCTION("""COMPUTED_VALUE"""),42774.19916)</f>
        <v>42774.19916</v>
      </c>
      <c r="C59" s="14">
        <f>IFERROR(__xludf.DUMMYFUNCTION("""COMPUTED_VALUE"""),1065.5)</f>
        <v>1065.5</v>
      </c>
      <c r="D59" s="14">
        <f>IFERROR(__xludf.DUMMYFUNCTION("""COMPUTED_VALUE"""),11.41)</f>
        <v>11.41</v>
      </c>
      <c r="E59" s="14">
        <f>IFERROR(__xludf.DUMMYFUNCTION("""COMPUTED_VALUE"""),1526.4)</f>
        <v>1526.4</v>
      </c>
      <c r="F59" s="17">
        <f>IFERROR(__xludf.DUMMYFUNCTION("""COMPUTED_VALUE"""),0.3019523060796646)</f>
        <v>0.3019523061</v>
      </c>
      <c r="G59" s="14">
        <f>IFERROR(__xludf.DUMMYFUNCTION("""COMPUTED_VALUE"""),950.2)</f>
        <v>950.2</v>
      </c>
      <c r="H59" s="17">
        <f>IFERROR(__xludf.DUMMYFUNCTION("""COMPUTED_VALUE"""),0.1213428751841717)</f>
        <v>0.1213428752</v>
      </c>
      <c r="I59" s="14">
        <f>IFERROR(__xludf.DUMMYFUNCTION("""COMPUTED_VALUE"""),1063.3)</f>
        <v>1063.3</v>
      </c>
      <c r="J59" s="17">
        <f>IFERROR(__xludf.DUMMYFUNCTION("""COMPUTED_VALUE"""),0.0020690303771278523)</f>
        <v>0.002069030377</v>
      </c>
      <c r="K59" s="14" t="s">
        <v>249</v>
      </c>
      <c r="L59" s="14" t="s">
        <v>316</v>
      </c>
      <c r="M59" s="14" t="s">
        <v>235</v>
      </c>
      <c r="N59" s="14" t="s">
        <v>236</v>
      </c>
      <c r="O59" s="14" t="s">
        <v>237</v>
      </c>
      <c r="P59" s="14" t="s">
        <v>241</v>
      </c>
    </row>
    <row r="60">
      <c r="A60" s="14" t="str">
        <f>IFERROR(__xludf.DUMMYFUNCTION("""COMPUTED_VALUE"""),"AU Small Finance")</f>
        <v>AU Small Finance</v>
      </c>
      <c r="B60" s="16">
        <f>IFERROR(__xludf.DUMMYFUNCTION("""COMPUTED_VALUE"""),41307.1280064)</f>
        <v>41307.12801</v>
      </c>
      <c r="C60" s="14">
        <f>IFERROR(__xludf.DUMMYFUNCTION("""COMPUTED_VALUE"""),619.0)</f>
        <v>619</v>
      </c>
      <c r="D60" s="14">
        <f>IFERROR(__xludf.DUMMYFUNCTION("""COMPUTED_VALUE"""),31.44)</f>
        <v>31.44</v>
      </c>
      <c r="E60" s="14">
        <f>IFERROR(__xludf.DUMMYFUNCTION("""COMPUTED_VALUE"""),732.98)</f>
        <v>732.98</v>
      </c>
      <c r="F60" s="17">
        <f>IFERROR(__xludf.DUMMYFUNCTION("""COMPUTED_VALUE"""),0.15550219651286531)</f>
        <v>0.1555021965</v>
      </c>
      <c r="G60" s="14">
        <f>IFERROR(__xludf.DUMMYFUNCTION("""COMPUTED_VALUE"""),525.0)</f>
        <v>525</v>
      </c>
      <c r="H60" s="17">
        <f>IFERROR(__xludf.DUMMYFUNCTION("""COMPUTED_VALUE"""),0.17904761904761904)</f>
        <v>0.179047619</v>
      </c>
      <c r="I60" s="14">
        <f>IFERROR(__xludf.DUMMYFUNCTION("""COMPUTED_VALUE"""),628.15)</f>
        <v>628.15</v>
      </c>
      <c r="J60" s="17">
        <f>IFERROR(__xludf.DUMMYFUNCTION("""COMPUTED_VALUE"""),-0.014566584414550629)</f>
        <v>-0.01456658441</v>
      </c>
      <c r="K60" s="14" t="s">
        <v>317</v>
      </c>
      <c r="L60" s="14" t="s">
        <v>318</v>
      </c>
      <c r="M60" s="14" t="s">
        <v>235</v>
      </c>
      <c r="N60" s="14" t="s">
        <v>236</v>
      </c>
      <c r="O60" s="14" t="s">
        <v>237</v>
      </c>
      <c r="P60" s="14" t="s">
        <v>241</v>
      </c>
    </row>
    <row r="61">
      <c r="A61" s="14" t="str">
        <f>IFERROR(__xludf.DUMMYFUNCTION("""COMPUTED_VALUE"""),"Astral Poly Technic")</f>
        <v>Astral Poly Technic</v>
      </c>
      <c r="B61" s="16">
        <f>IFERROR(__xludf.DUMMYFUNCTION("""COMPUTED_VALUE"""),41248.67)</f>
        <v>41248.67</v>
      </c>
      <c r="C61" s="14">
        <f>IFERROR(__xludf.DUMMYFUNCTION("""COMPUTED_VALUE"""),2046.5)</f>
        <v>2046.5</v>
      </c>
      <c r="D61" s="14">
        <f>IFERROR(__xludf.DUMMYFUNCTION("""COMPUTED_VALUE"""),96.08)</f>
        <v>96.08</v>
      </c>
      <c r="E61" s="14">
        <f>IFERROR(__xludf.DUMMYFUNCTION("""COMPUTED_VALUE"""),2654.8)</f>
        <v>2654.8</v>
      </c>
      <c r="F61" s="17">
        <f>IFERROR(__xludf.DUMMYFUNCTION("""COMPUTED_VALUE"""),0.22913213801416307)</f>
        <v>0.229132138</v>
      </c>
      <c r="G61" s="14">
        <f>IFERROR(__xludf.DUMMYFUNCTION("""COMPUTED_VALUE"""),1581.55)</f>
        <v>1581.55</v>
      </c>
      <c r="H61" s="17">
        <f>IFERROR(__xludf.DUMMYFUNCTION("""COMPUTED_VALUE"""),0.2939837501185546)</f>
        <v>0.2939837501</v>
      </c>
      <c r="I61" s="14">
        <f>IFERROR(__xludf.DUMMYFUNCTION("""COMPUTED_VALUE"""),2063.75)</f>
        <v>2063.75</v>
      </c>
      <c r="J61" s="17">
        <f>IFERROR(__xludf.DUMMYFUNCTION("""COMPUTED_VALUE"""),-0.008358570563294972)</f>
        <v>-0.008358570563</v>
      </c>
      <c r="K61" s="14" t="s">
        <v>319</v>
      </c>
      <c r="L61" s="14" t="s">
        <v>320</v>
      </c>
      <c r="M61" s="14" t="s">
        <v>235</v>
      </c>
      <c r="N61" s="14" t="s">
        <v>236</v>
      </c>
      <c r="O61" s="14" t="s">
        <v>237</v>
      </c>
      <c r="P61" s="14" t="s">
        <v>241</v>
      </c>
    </row>
    <row r="62">
      <c r="A62" s="14" t="str">
        <f>IFERROR(__xludf.DUMMYFUNCTION("""COMPUTED_VALUE"""),"Polycab")</f>
        <v>Polycab</v>
      </c>
      <c r="B62" s="16">
        <f>IFERROR(__xludf.DUMMYFUNCTION("""COMPUTED_VALUE"""),39945.4022299)</f>
        <v>39945.40223</v>
      </c>
      <c r="C62" s="14">
        <f>IFERROR(__xludf.DUMMYFUNCTION("""COMPUTED_VALUE"""),2662.0)</f>
        <v>2662</v>
      </c>
      <c r="D62" s="14">
        <f>IFERROR(__xludf.DUMMYFUNCTION("""COMPUTED_VALUE"""),35.5)</f>
        <v>35.5</v>
      </c>
      <c r="E62" s="14">
        <f>IFERROR(__xludf.DUMMYFUNCTION("""COMPUTED_VALUE"""),3025.0)</f>
        <v>3025</v>
      </c>
      <c r="F62" s="17">
        <f>IFERROR(__xludf.DUMMYFUNCTION("""COMPUTED_VALUE"""),0.12)</f>
        <v>0.12</v>
      </c>
      <c r="G62" s="14">
        <f>IFERROR(__xludf.DUMMYFUNCTION("""COMPUTED_VALUE"""),2043.85)</f>
        <v>2043.85</v>
      </c>
      <c r="H62" s="17">
        <f>IFERROR(__xludf.DUMMYFUNCTION("""COMPUTED_VALUE"""),0.3024439171172053)</f>
        <v>0.3024439171</v>
      </c>
      <c r="I62" s="14">
        <f>IFERROR(__xludf.DUMMYFUNCTION("""COMPUTED_VALUE"""),2677.05)</f>
        <v>2677.05</v>
      </c>
      <c r="J62" s="17">
        <f>IFERROR(__xludf.DUMMYFUNCTION("""COMPUTED_VALUE"""),-0.005621859883080324)</f>
        <v>-0.005621859883</v>
      </c>
      <c r="K62" s="14" t="s">
        <v>287</v>
      </c>
      <c r="L62" s="14" t="s">
        <v>321</v>
      </c>
      <c r="M62" s="14" t="s">
        <v>235</v>
      </c>
      <c r="N62" s="14" t="s">
        <v>236</v>
      </c>
      <c r="O62" s="14" t="s">
        <v>237</v>
      </c>
      <c r="P62" s="14" t="s">
        <v>241</v>
      </c>
    </row>
    <row r="63">
      <c r="A63" s="14" t="str">
        <f>IFERROR(__xludf.DUMMYFUNCTION("""COMPUTED_VALUE"""),"Solar Industries")</f>
        <v>Solar Industries</v>
      </c>
      <c r="B63" s="16">
        <f>IFERROR(__xludf.DUMMYFUNCTION("""COMPUTED_VALUE"""),38859.14)</f>
        <v>38859.14</v>
      </c>
      <c r="C63" s="14">
        <f>IFERROR(__xludf.DUMMYFUNCTION("""COMPUTED_VALUE"""),4338.0)</f>
        <v>4338</v>
      </c>
      <c r="D63" s="14">
        <f>IFERROR(__xludf.DUMMYFUNCTION("""COMPUTED_VALUE"""),63.66)</f>
        <v>63.66</v>
      </c>
      <c r="E63" s="14">
        <f>IFERROR(__xludf.DUMMYFUNCTION("""COMPUTED_VALUE"""),4535.95)</f>
        <v>4535.95</v>
      </c>
      <c r="F63" s="17">
        <f>IFERROR(__xludf.DUMMYFUNCTION("""COMPUTED_VALUE"""),0.043640251766443594)</f>
        <v>0.04364025177</v>
      </c>
      <c r="G63" s="14">
        <f>IFERROR(__xludf.DUMMYFUNCTION("""COMPUTED_VALUE"""),2160.05)</f>
        <v>2160.05</v>
      </c>
      <c r="H63" s="17">
        <f>IFERROR(__xludf.DUMMYFUNCTION("""COMPUTED_VALUE"""),1.0082868452119162)</f>
        <v>1.008286845</v>
      </c>
      <c r="I63" s="14">
        <f>IFERROR(__xludf.DUMMYFUNCTION("""COMPUTED_VALUE"""),4340.15)</f>
        <v>4340.15</v>
      </c>
      <c r="J63" s="17">
        <f>IFERROR(__xludf.DUMMYFUNCTION("""COMPUTED_VALUE"""),-4.953745838276641E-4)</f>
        <v>-0.0004953745838</v>
      </c>
      <c r="K63" s="14" t="s">
        <v>322</v>
      </c>
      <c r="L63" s="14" t="s">
        <v>323</v>
      </c>
      <c r="M63" s="14" t="s">
        <v>235</v>
      </c>
      <c r="N63" s="14" t="s">
        <v>236</v>
      </c>
      <c r="O63" s="14" t="s">
        <v>237</v>
      </c>
      <c r="P63" s="14" t="s">
        <v>241</v>
      </c>
    </row>
    <row r="64">
      <c r="A64" s="14" t="str">
        <f>IFERROR(__xludf.DUMMYFUNCTION("""COMPUTED_VALUE"""),"Tata Elxsi")</f>
        <v>Tata Elxsi</v>
      </c>
      <c r="B64" s="16">
        <f>IFERROR(__xludf.DUMMYFUNCTION("""COMPUTED_VALUE"""),38754.622389)</f>
        <v>38754.62239</v>
      </c>
      <c r="C64" s="14">
        <f>IFERROR(__xludf.DUMMYFUNCTION("""COMPUTED_VALUE"""),6223.0)</f>
        <v>6223</v>
      </c>
      <c r="D64" s="14">
        <f>IFERROR(__xludf.DUMMYFUNCTION("""COMPUTED_VALUE"""),57.85)</f>
        <v>57.85</v>
      </c>
      <c r="E64" s="14">
        <f>IFERROR(__xludf.DUMMYFUNCTION("""COMPUTED_VALUE"""),10760.0)</f>
        <v>10760</v>
      </c>
      <c r="F64" s="17">
        <f>IFERROR(__xludf.DUMMYFUNCTION("""COMPUTED_VALUE"""),0.4216542750929368)</f>
        <v>0.4216542751</v>
      </c>
      <c r="G64" s="14">
        <f>IFERROR(__xludf.DUMMYFUNCTION("""COMPUTED_VALUE"""),5709.05)</f>
        <v>5709.05</v>
      </c>
      <c r="H64" s="17">
        <f>IFERROR(__xludf.DUMMYFUNCTION("""COMPUTED_VALUE"""),0.09002373424650333)</f>
        <v>0.09002373425</v>
      </c>
      <c r="I64" s="14">
        <f>IFERROR(__xludf.DUMMYFUNCTION("""COMPUTED_VALUE"""),6196.65)</f>
        <v>6196.65</v>
      </c>
      <c r="J64" s="17">
        <f>IFERROR(__xludf.DUMMYFUNCTION("""COMPUTED_VALUE"""),0.004252297612419673)</f>
        <v>0.004252297612</v>
      </c>
      <c r="K64" s="14" t="s">
        <v>324</v>
      </c>
      <c r="L64" s="14" t="s">
        <v>325</v>
      </c>
      <c r="M64" s="14" t="s">
        <v>235</v>
      </c>
      <c r="N64" s="14" t="s">
        <v>236</v>
      </c>
      <c r="O64" s="14" t="s">
        <v>237</v>
      </c>
      <c r="P64" s="14" t="s">
        <v>241</v>
      </c>
    </row>
    <row r="65">
      <c r="A65" s="14" t="str">
        <f>IFERROR(__xludf.DUMMYFUNCTION("""COMPUTED_VALUE"""),"Mphasis")</f>
        <v>Mphasis</v>
      </c>
      <c r="B65" s="16">
        <f>IFERROR(__xludf.DUMMYFUNCTION("""COMPUTED_VALUE"""),38348.8672779)</f>
        <v>38348.86728</v>
      </c>
      <c r="C65" s="14">
        <f>IFERROR(__xludf.DUMMYFUNCTION("""COMPUTED_VALUE"""),2035.55)</f>
        <v>2035.55</v>
      </c>
      <c r="D65" s="14">
        <f>IFERROR(__xludf.DUMMYFUNCTION("""COMPUTED_VALUE"""),24.59)</f>
        <v>24.59</v>
      </c>
      <c r="E65" s="14">
        <f>IFERROR(__xludf.DUMMYFUNCTION("""COMPUTED_VALUE"""),3466.4)</f>
        <v>3466.4</v>
      </c>
      <c r="F65" s="17">
        <f>IFERROR(__xludf.DUMMYFUNCTION("""COMPUTED_VALUE"""),0.41277694438033696)</f>
        <v>0.4127769444</v>
      </c>
      <c r="G65" s="14">
        <f>IFERROR(__xludf.DUMMYFUNCTION("""COMPUTED_VALUE"""),1897.35)</f>
        <v>1897.35</v>
      </c>
      <c r="H65" s="17">
        <f>IFERROR(__xludf.DUMMYFUNCTION("""COMPUTED_VALUE"""),0.07283843255066279)</f>
        <v>0.07283843255</v>
      </c>
      <c r="I65" s="14">
        <f>IFERROR(__xludf.DUMMYFUNCTION("""COMPUTED_VALUE"""),2013.55)</f>
        <v>2013.55</v>
      </c>
      <c r="J65" s="17">
        <f>IFERROR(__xludf.DUMMYFUNCTION("""COMPUTED_VALUE"""),0.010925976509150505)</f>
        <v>0.01092597651</v>
      </c>
      <c r="K65" s="14" t="s">
        <v>233</v>
      </c>
      <c r="L65" s="14" t="s">
        <v>326</v>
      </c>
      <c r="M65" s="14" t="s">
        <v>235</v>
      </c>
      <c r="N65" s="14" t="s">
        <v>236</v>
      </c>
      <c r="O65" s="14" t="s">
        <v>237</v>
      </c>
      <c r="P65" s="14" t="s">
        <v>241</v>
      </c>
    </row>
    <row r="66">
      <c r="A66" s="14" t="str">
        <f>IFERROR(__xludf.DUMMYFUNCTION("""COMPUTED_VALUE"""),"Bandhan Bank")</f>
        <v>Bandhan Bank</v>
      </c>
      <c r="B66" s="16">
        <f>IFERROR(__xludf.DUMMYFUNCTION("""COMPUTED_VALUE"""),38329.8286)</f>
        <v>38329.8286</v>
      </c>
      <c r="C66" s="14">
        <f>IFERROR(__xludf.DUMMYFUNCTION("""COMPUTED_VALUE"""),237.75)</f>
        <v>237.75</v>
      </c>
      <c r="D66" s="14">
        <f>IFERROR(__xludf.DUMMYFUNCTION("""COMPUTED_VALUE"""),9.94)</f>
        <v>9.94</v>
      </c>
      <c r="E66" s="14">
        <f>IFERROR(__xludf.DUMMYFUNCTION("""COMPUTED_VALUE"""),349.55)</f>
        <v>349.55</v>
      </c>
      <c r="F66" s="17">
        <f>IFERROR(__xludf.DUMMYFUNCTION("""COMPUTED_VALUE"""),0.319839794020884)</f>
        <v>0.319839794</v>
      </c>
      <c r="G66" s="14">
        <f>IFERROR(__xludf.DUMMYFUNCTION("""COMPUTED_VALUE"""),209.55)</f>
        <v>209.55</v>
      </c>
      <c r="H66" s="17">
        <f>IFERROR(__xludf.DUMMYFUNCTION("""COMPUTED_VALUE"""),0.1345740873299928)</f>
        <v>0.1345740873</v>
      </c>
      <c r="I66" s="14">
        <f>IFERROR(__xludf.DUMMYFUNCTION("""COMPUTED_VALUE"""),239.25)</f>
        <v>239.25</v>
      </c>
      <c r="J66" s="17">
        <f>IFERROR(__xludf.DUMMYFUNCTION("""COMPUTED_VALUE"""),-0.006269592476489028)</f>
        <v>-0.006269592476</v>
      </c>
      <c r="K66" s="14" t="s">
        <v>242</v>
      </c>
      <c r="L66" s="14" t="s">
        <v>327</v>
      </c>
      <c r="M66" s="14" t="s">
        <v>235</v>
      </c>
      <c r="N66" s="14" t="s">
        <v>236</v>
      </c>
      <c r="O66" s="14" t="s">
        <v>237</v>
      </c>
      <c r="P66" s="14" t="s">
        <v>241</v>
      </c>
    </row>
    <row r="67">
      <c r="A67" s="14" t="str">
        <f>IFERROR(__xludf.DUMMYFUNCTION("""COMPUTED_VALUE"""),"MRF")</f>
        <v>MRF</v>
      </c>
      <c r="B67" s="16">
        <f>IFERROR(__xludf.DUMMYFUNCTION("""COMPUTED_VALUE"""),38048.54)</f>
        <v>38048.54</v>
      </c>
      <c r="C67" s="14">
        <f>IFERROR(__xludf.DUMMYFUNCTION("""COMPUTED_VALUE"""),89700.0)</f>
        <v>89700</v>
      </c>
      <c r="D67" s="14">
        <f>IFERROR(__xludf.DUMMYFUNCTION("""COMPUTED_VALUE"""),66.97)</f>
        <v>66.97</v>
      </c>
      <c r="E67" s="14">
        <f>IFERROR(__xludf.DUMMYFUNCTION("""COMPUTED_VALUE"""),95954.35)</f>
        <v>95954.35</v>
      </c>
      <c r="F67" s="17">
        <f>IFERROR(__xludf.DUMMYFUNCTION("""COMPUTED_VALUE"""),0.06518047383990414)</f>
        <v>0.06518047384</v>
      </c>
      <c r="G67" s="14">
        <f>IFERROR(__xludf.DUMMYFUNCTION("""COMPUTED_VALUE"""),62944.5)</f>
        <v>62944.5</v>
      </c>
      <c r="H67" s="17">
        <f>IFERROR(__xludf.DUMMYFUNCTION("""COMPUTED_VALUE"""),0.42506493815980745)</f>
        <v>0.4250649382</v>
      </c>
      <c r="I67" s="14">
        <f>IFERROR(__xludf.DUMMYFUNCTION("""COMPUTED_VALUE"""),89498.35)</f>
        <v>89498.35</v>
      </c>
      <c r="J67" s="17">
        <f>IFERROR(__xludf.DUMMYFUNCTION("""COMPUTED_VALUE"""),0.00225311416355714)</f>
        <v>0.002253114164</v>
      </c>
      <c r="K67" s="14" t="s">
        <v>313</v>
      </c>
      <c r="L67" s="14" t="s">
        <v>328</v>
      </c>
      <c r="M67" s="14" t="s">
        <v>235</v>
      </c>
      <c r="N67" s="14" t="s">
        <v>236</v>
      </c>
      <c r="O67" s="14" t="s">
        <v>237</v>
      </c>
      <c r="P67" s="14" t="s">
        <v>241</v>
      </c>
    </row>
    <row r="68">
      <c r="A68" s="14" t="str">
        <f>IFERROR(__xludf.DUMMYFUNCTION("""COMPUTED_VALUE"""),"L&amp;T Technology")</f>
        <v>L&amp;T Technology</v>
      </c>
      <c r="B68" s="16">
        <f>IFERROR(__xludf.DUMMYFUNCTION("""COMPUTED_VALUE"""),36421.231513)</f>
        <v>36421.23151</v>
      </c>
      <c r="C68" s="14">
        <f>IFERROR(__xludf.DUMMYFUNCTION("""COMPUTED_VALUE"""),3446.95)</f>
        <v>3446.95</v>
      </c>
      <c r="D68" s="14">
        <f>IFERROR(__xludf.DUMMYFUNCTION("""COMPUTED_VALUE"""),34.13)</f>
        <v>34.13</v>
      </c>
      <c r="E68" s="14">
        <f>IFERROR(__xludf.DUMMYFUNCTION("""COMPUTED_VALUE"""),5714.0)</f>
        <v>5714</v>
      </c>
      <c r="F68" s="17">
        <f>IFERROR(__xludf.DUMMYFUNCTION("""COMPUTED_VALUE"""),0.396753587679384)</f>
        <v>0.3967535877</v>
      </c>
      <c r="G68" s="14">
        <f>IFERROR(__xludf.DUMMYFUNCTION("""COMPUTED_VALUE"""),2923.35)</f>
        <v>2923.35</v>
      </c>
      <c r="H68" s="17">
        <f>IFERROR(__xludf.DUMMYFUNCTION("""COMPUTED_VALUE"""),0.17910958318367623)</f>
        <v>0.1791095832</v>
      </c>
      <c r="I68" s="14">
        <f>IFERROR(__xludf.DUMMYFUNCTION("""COMPUTED_VALUE"""),3640.5)</f>
        <v>3640.5</v>
      </c>
      <c r="J68" s="17">
        <f>IFERROR(__xludf.DUMMYFUNCTION("""COMPUTED_VALUE"""),-0.05316577393215223)</f>
        <v>-0.05316577393</v>
      </c>
      <c r="K68" s="14" t="s">
        <v>305</v>
      </c>
      <c r="L68" s="14" t="s">
        <v>329</v>
      </c>
      <c r="M68" s="14" t="s">
        <v>235</v>
      </c>
      <c r="N68" s="14" t="s">
        <v>236</v>
      </c>
      <c r="O68" s="14" t="s">
        <v>237</v>
      </c>
      <c r="P68" s="14" t="s">
        <v>241</v>
      </c>
    </row>
    <row r="69">
      <c r="A69" s="14" t="str">
        <f>IFERROR(__xludf.DUMMYFUNCTION("""COMPUTED_VALUE"""),"Honeywell Auto")</f>
        <v>Honeywell Auto</v>
      </c>
      <c r="B69" s="16">
        <f>IFERROR(__xludf.DUMMYFUNCTION("""COMPUTED_VALUE"""),35109.687833)</f>
        <v>35109.68783</v>
      </c>
      <c r="C69" s="14">
        <f>IFERROR(__xludf.DUMMYFUNCTION("""COMPUTED_VALUE"""),39710.0)</f>
        <v>39710</v>
      </c>
      <c r="D69" s="14">
        <f>IFERROR(__xludf.DUMMYFUNCTION("""COMPUTED_VALUE"""),91.84)</f>
        <v>91.84</v>
      </c>
      <c r="E69" s="14">
        <f>IFERROR(__xludf.DUMMYFUNCTION("""COMPUTED_VALUE"""),46397.7)</f>
        <v>46397.7</v>
      </c>
      <c r="F69" s="17">
        <f>IFERROR(__xludf.DUMMYFUNCTION("""COMPUTED_VALUE"""),0.14413861031904593)</f>
        <v>0.1441386103</v>
      </c>
      <c r="G69" s="14">
        <f>IFERROR(__xludf.DUMMYFUNCTION("""COMPUTED_VALUE"""),30185.35)</f>
        <v>30185.35</v>
      </c>
      <c r="H69" s="17">
        <f>IFERROR(__xludf.DUMMYFUNCTION("""COMPUTED_VALUE"""),0.3155388292665151)</f>
        <v>0.3155388293</v>
      </c>
      <c r="I69" s="14">
        <f>IFERROR(__xludf.DUMMYFUNCTION("""COMPUTED_VALUE"""),39677.1)</f>
        <v>39677.1</v>
      </c>
      <c r="J69" s="17">
        <f>IFERROR(__xludf.DUMMYFUNCTION("""COMPUTED_VALUE"""),8.291936658677538E-4)</f>
        <v>0.0008291936659</v>
      </c>
      <c r="K69" s="14" t="s">
        <v>301</v>
      </c>
      <c r="L69" s="14" t="s">
        <v>330</v>
      </c>
      <c r="M69" s="14" t="s">
        <v>235</v>
      </c>
      <c r="N69" s="14" t="s">
        <v>236</v>
      </c>
      <c r="O69" s="14" t="s">
        <v>237</v>
      </c>
      <c r="P69" s="14" t="s">
        <v>241</v>
      </c>
    </row>
    <row r="70">
      <c r="A70" s="14" t="str">
        <f>IFERROR(__xludf.DUMMYFUNCTION("""COMPUTED_VALUE"""),"Jubilant FoodWorks")</f>
        <v>Jubilant FoodWorks</v>
      </c>
      <c r="B70" s="16">
        <f>IFERROR(__xludf.DUMMYFUNCTION("""COMPUTED_VALUE"""),32766.2786899)</f>
        <v>32766.27869</v>
      </c>
      <c r="C70" s="14">
        <f>IFERROR(__xludf.DUMMYFUNCTION("""COMPUTED_VALUE"""),498.25)</f>
        <v>498.25</v>
      </c>
      <c r="D70" s="14">
        <f>IFERROR(__xludf.DUMMYFUNCTION("""COMPUTED_VALUE"""),69.25)</f>
        <v>69.25</v>
      </c>
      <c r="E70" s="14">
        <f>IFERROR(__xludf.DUMMYFUNCTION("""COMPUTED_VALUE"""),806.4)</f>
        <v>806.4</v>
      </c>
      <c r="F70" s="17">
        <f>IFERROR(__xludf.DUMMYFUNCTION("""COMPUTED_VALUE"""),0.38213045634920634)</f>
        <v>0.3821304563</v>
      </c>
      <c r="G70" s="14">
        <f>IFERROR(__xludf.DUMMYFUNCTION("""COMPUTED_VALUE"""),451.2)</f>
        <v>451.2</v>
      </c>
      <c r="H70" s="17">
        <f>IFERROR(__xludf.DUMMYFUNCTION("""COMPUTED_VALUE"""),0.10427748226950358)</f>
        <v>0.1042774823</v>
      </c>
      <c r="I70" s="14">
        <f>IFERROR(__xludf.DUMMYFUNCTION("""COMPUTED_VALUE"""),488.55)</f>
        <v>488.55</v>
      </c>
      <c r="J70" s="17">
        <f>IFERROR(__xludf.DUMMYFUNCTION("""COMPUTED_VALUE"""),0.019854671988537485)</f>
        <v>0.01985467199</v>
      </c>
      <c r="K70" s="14" t="s">
        <v>285</v>
      </c>
      <c r="L70" s="14" t="s">
        <v>331</v>
      </c>
      <c r="M70" s="14" t="s">
        <v>235</v>
      </c>
      <c r="N70" s="14" t="s">
        <v>236</v>
      </c>
      <c r="O70" s="14" t="s">
        <v>237</v>
      </c>
      <c r="P70" s="14" t="s">
        <v>241</v>
      </c>
    </row>
    <row r="71">
      <c r="A71" s="14" t="str">
        <f>IFERROR(__xludf.DUMMYFUNCTION("""COMPUTED_VALUE"""),"APL Apollo")</f>
        <v>APL Apollo</v>
      </c>
      <c r="B71" s="16">
        <f>IFERROR(__xludf.DUMMYFUNCTION("""COMPUTED_VALUE"""),31477.05)</f>
        <v>31477.05</v>
      </c>
      <c r="C71" s="14">
        <f>IFERROR(__xludf.DUMMYFUNCTION("""COMPUTED_VALUE"""),1136.0)</f>
        <v>1136</v>
      </c>
      <c r="D71" s="14">
        <f>IFERROR(__xludf.DUMMYFUNCTION("""COMPUTED_VALUE"""),54.9)</f>
        <v>54.9</v>
      </c>
      <c r="E71" s="14">
        <f>IFERROR(__xludf.DUMMYFUNCTION("""COMPUTED_VALUE"""),1193.85)</f>
        <v>1193.85</v>
      </c>
      <c r="F71" s="17">
        <f>IFERROR(__xludf.DUMMYFUNCTION("""COMPUTED_VALUE"""),0.04845667378648902)</f>
        <v>0.04845667379</v>
      </c>
      <c r="G71" s="14">
        <f>IFERROR(__xludf.DUMMYFUNCTION("""COMPUTED_VALUE"""),771.0)</f>
        <v>771</v>
      </c>
      <c r="H71" s="17">
        <f>IFERROR(__xludf.DUMMYFUNCTION("""COMPUTED_VALUE"""),0.47341115434500647)</f>
        <v>0.4734111543</v>
      </c>
      <c r="I71" s="14">
        <f>IFERROR(__xludf.DUMMYFUNCTION("""COMPUTED_VALUE"""),1127.95)</f>
        <v>1127.95</v>
      </c>
      <c r="J71" s="17">
        <f>IFERROR(__xludf.DUMMYFUNCTION("""COMPUTED_VALUE"""),0.007136841172037727)</f>
        <v>0.007136841172</v>
      </c>
      <c r="K71" s="14" t="s">
        <v>332</v>
      </c>
      <c r="L71" s="14" t="s">
        <v>333</v>
      </c>
      <c r="M71" s="14" t="s">
        <v>235</v>
      </c>
      <c r="N71" s="14" t="s">
        <v>236</v>
      </c>
      <c r="O71" s="14" t="s">
        <v>237</v>
      </c>
      <c r="P71" s="14" t="s">
        <v>241</v>
      </c>
    </row>
    <row r="72">
      <c r="A72" s="14" t="str">
        <f>IFERROR(__xludf.DUMMYFUNCTION("""COMPUTED_VALUE"""),"Supreme Industries")</f>
        <v>Supreme Industries</v>
      </c>
      <c r="B72" s="16">
        <f>IFERROR(__xludf.DUMMYFUNCTION("""COMPUTED_VALUE"""),31369.92)</f>
        <v>31369.92</v>
      </c>
      <c r="C72" s="14">
        <f>IFERROR(__xludf.DUMMYFUNCTION("""COMPUTED_VALUE"""),2461.0)</f>
        <v>2461</v>
      </c>
      <c r="D72" s="14">
        <f>IFERROR(__xludf.DUMMYFUNCTION("""COMPUTED_VALUE"""),36.12)</f>
        <v>36.12</v>
      </c>
      <c r="E72" s="14">
        <f>IFERROR(__xludf.DUMMYFUNCTION("""COMPUTED_VALUE"""),2607.65)</f>
        <v>2607.65</v>
      </c>
      <c r="F72" s="17">
        <f>IFERROR(__xludf.DUMMYFUNCTION("""COMPUTED_VALUE"""),0.05623837554886587)</f>
        <v>0.05623837555</v>
      </c>
      <c r="G72" s="14">
        <f>IFERROR(__xludf.DUMMYFUNCTION("""COMPUTED_VALUE"""),1666.25)</f>
        <v>1666.25</v>
      </c>
      <c r="H72" s="17">
        <f>IFERROR(__xludf.DUMMYFUNCTION("""COMPUTED_VALUE"""),0.47696924231057763)</f>
        <v>0.4769692423</v>
      </c>
      <c r="I72" s="14">
        <f>IFERROR(__xludf.DUMMYFUNCTION("""COMPUTED_VALUE"""),2452.7)</f>
        <v>2452.7</v>
      </c>
      <c r="J72" s="17">
        <f>IFERROR(__xludf.DUMMYFUNCTION("""COMPUTED_VALUE"""),0.003384025767521581)</f>
        <v>0.003384025768</v>
      </c>
      <c r="K72" s="14" t="s">
        <v>334</v>
      </c>
      <c r="L72" s="14" t="s">
        <v>335</v>
      </c>
      <c r="M72" s="14" t="s">
        <v>235</v>
      </c>
      <c r="N72" s="14" t="s">
        <v>236</v>
      </c>
      <c r="O72" s="14" t="s">
        <v>237</v>
      </c>
      <c r="P72" s="14" t="s">
        <v>241</v>
      </c>
    </row>
    <row r="73">
      <c r="A73" s="14" t="str">
        <f>IFERROR(__xludf.DUMMYFUNCTION("""COMPUTED_VALUE"""),"Gujarat Gas")</f>
        <v>Gujarat Gas</v>
      </c>
      <c r="B73" s="16">
        <f>IFERROR(__xludf.DUMMYFUNCTION("""COMPUTED_VALUE"""),31008.5328948)</f>
        <v>31008.53289</v>
      </c>
      <c r="C73" s="14">
        <f>IFERROR(__xludf.DUMMYFUNCTION("""COMPUTED_VALUE"""),450.2)</f>
        <v>450.2</v>
      </c>
      <c r="D73" s="14">
        <f>IFERROR(__xludf.DUMMYFUNCTION("""COMPUTED_VALUE"""),22.9)</f>
        <v>22.9</v>
      </c>
      <c r="E73" s="14">
        <f>IFERROR(__xludf.DUMMYFUNCTION("""COMPUTED_VALUE"""),721.8)</f>
        <v>721.8</v>
      </c>
      <c r="F73" s="17">
        <f>IFERROR(__xludf.DUMMYFUNCTION("""COMPUTED_VALUE"""),0.3762815184261568)</f>
        <v>0.3762815184</v>
      </c>
      <c r="G73" s="14">
        <f>IFERROR(__xludf.DUMMYFUNCTION("""COMPUTED_VALUE"""),403.55)</f>
        <v>403.55</v>
      </c>
      <c r="H73" s="17">
        <f>IFERROR(__xludf.DUMMYFUNCTION("""COMPUTED_VALUE"""),0.11559905835708084)</f>
        <v>0.1155990584</v>
      </c>
      <c r="I73" s="14">
        <f>IFERROR(__xludf.DUMMYFUNCTION("""COMPUTED_VALUE"""),466.8)</f>
        <v>466.8</v>
      </c>
      <c r="J73" s="17">
        <f>IFERROR(__xludf.DUMMYFUNCTION("""COMPUTED_VALUE"""),-0.03556126820908317)</f>
        <v>-0.03556126821</v>
      </c>
      <c r="K73" s="14" t="s">
        <v>336</v>
      </c>
      <c r="L73" s="14" t="s">
        <v>337</v>
      </c>
      <c r="M73" s="14" t="s">
        <v>235</v>
      </c>
      <c r="N73" s="14" t="s">
        <v>236</v>
      </c>
      <c r="O73" s="14" t="s">
        <v>237</v>
      </c>
      <c r="P73" s="14" t="s">
        <v>241</v>
      </c>
    </row>
    <row r="74">
      <c r="A74" s="14" t="str">
        <f>IFERROR(__xludf.DUMMYFUNCTION("""COMPUTED_VALUE"""),"Gujarat Florochemical")</f>
        <v>Gujarat Florochemical</v>
      </c>
      <c r="B74" s="16">
        <f>IFERROR(__xludf.DUMMYFUNCTION("""COMPUTED_VALUE"""),30664.6275)</f>
        <v>30664.6275</v>
      </c>
      <c r="C74" s="14">
        <f>IFERROR(__xludf.DUMMYFUNCTION("""COMPUTED_VALUE"""),2793.5)</f>
        <v>2793.5</v>
      </c>
      <c r="D74" s="14">
        <f>IFERROR(__xludf.DUMMYFUNCTION("""COMPUTED_VALUE"""),28.23)</f>
        <v>28.23</v>
      </c>
      <c r="E74" s="14">
        <f>IFERROR(__xludf.DUMMYFUNCTION("""COMPUTED_VALUE"""),4172.95)</f>
        <v>4172.95</v>
      </c>
      <c r="F74" s="17">
        <f>IFERROR(__xludf.DUMMYFUNCTION("""COMPUTED_VALUE"""),0.33056950119220213)</f>
        <v>0.3305695012</v>
      </c>
      <c r="G74" s="14">
        <f>IFERROR(__xludf.DUMMYFUNCTION("""COMPUTED_VALUE"""),2105.15)</f>
        <v>2105.15</v>
      </c>
      <c r="H74" s="17">
        <f>IFERROR(__xludf.DUMMYFUNCTION("""COMPUTED_VALUE"""),0.32698382538061416)</f>
        <v>0.3269838254</v>
      </c>
      <c r="I74" s="14">
        <f>IFERROR(__xludf.DUMMYFUNCTION("""COMPUTED_VALUE"""),2841.6)</f>
        <v>2841.6</v>
      </c>
      <c r="J74" s="17">
        <f>IFERROR(__xludf.DUMMYFUNCTION("""COMPUTED_VALUE"""),-0.0169270833333333)</f>
        <v>-0.01692708333</v>
      </c>
      <c r="K74" s="14" t="s">
        <v>338</v>
      </c>
      <c r="L74" s="14" t="s">
        <v>339</v>
      </c>
      <c r="M74" s="14" t="s">
        <v>235</v>
      </c>
      <c r="N74" s="14" t="s">
        <v>236</v>
      </c>
      <c r="O74" s="14" t="s">
        <v>237</v>
      </c>
      <c r="P74" s="14" t="s">
        <v>241</v>
      </c>
    </row>
    <row r="75">
      <c r="A75" s="14" t="str">
        <f>IFERROR(__xludf.DUMMYFUNCTION("""COMPUTED_VALUE"""),"Persistent System")</f>
        <v>Persistent System</v>
      </c>
      <c r="B75" s="16">
        <f>IFERROR(__xludf.DUMMYFUNCTION("""COMPUTED_VALUE"""),30617.09)</f>
        <v>30617.09</v>
      </c>
      <c r="C75" s="14">
        <f>IFERROR(__xludf.DUMMYFUNCTION("""COMPUTED_VALUE"""),4009.0)</f>
        <v>4009</v>
      </c>
      <c r="D75" s="14">
        <f>IFERROR(__xludf.DUMMYFUNCTION("""COMPUTED_VALUE"""),37.59)</f>
        <v>37.59</v>
      </c>
      <c r="E75" s="14">
        <f>IFERROR(__xludf.DUMMYFUNCTION("""COMPUTED_VALUE"""),4954.0)</f>
        <v>4954</v>
      </c>
      <c r="F75" s="17">
        <f>IFERROR(__xludf.DUMMYFUNCTION("""COMPUTED_VALUE"""),0.19075494549858701)</f>
        <v>0.1907549455</v>
      </c>
      <c r="G75" s="14">
        <f>IFERROR(__xludf.DUMMYFUNCTION("""COMPUTED_VALUE"""),3092.05)</f>
        <v>3092.05</v>
      </c>
      <c r="H75" s="17">
        <f>IFERROR(__xludf.DUMMYFUNCTION("""COMPUTED_VALUE"""),0.296550831972316)</f>
        <v>0.296550832</v>
      </c>
      <c r="I75" s="14">
        <f>IFERROR(__xludf.DUMMYFUNCTION("""COMPUTED_VALUE"""),3978.2)</f>
        <v>3978.2</v>
      </c>
      <c r="J75" s="17">
        <f>IFERROR(__xludf.DUMMYFUNCTION("""COMPUTED_VALUE"""),0.007742194962545921)</f>
        <v>0.007742194963</v>
      </c>
      <c r="K75" s="14" t="s">
        <v>233</v>
      </c>
      <c r="L75" s="14" t="s">
        <v>340</v>
      </c>
      <c r="M75" s="14" t="s">
        <v>235</v>
      </c>
      <c r="N75" s="14" t="s">
        <v>236</v>
      </c>
      <c r="O75" s="14" t="s">
        <v>237</v>
      </c>
      <c r="P75" s="14" t="s">
        <v>241</v>
      </c>
    </row>
    <row r="76">
      <c r="A76" s="14" t="str">
        <f>IFERROR(__xludf.DUMMYFUNCTION("""COMPUTED_VALUE"""),"Federal Bank")</f>
        <v>Federal Bank</v>
      </c>
      <c r="B76" s="16">
        <f>IFERROR(__xludf.DUMMYFUNCTION("""COMPUTED_VALUE"""),29278.4915846)</f>
        <v>29278.49158</v>
      </c>
      <c r="C76" s="14">
        <f>IFERROR(__xludf.DUMMYFUNCTION("""COMPUTED_VALUE"""),138.45)</f>
        <v>138.45</v>
      </c>
      <c r="D76" s="14">
        <f>IFERROR(__xludf.DUMMYFUNCTION("""COMPUTED_VALUE"""),11.78)</f>
        <v>11.78</v>
      </c>
      <c r="E76" s="14">
        <f>IFERROR(__xludf.DUMMYFUNCTION("""COMPUTED_VALUE"""),142.25)</f>
        <v>142.25</v>
      </c>
      <c r="F76" s="17">
        <f>IFERROR(__xludf.DUMMYFUNCTION("""COMPUTED_VALUE"""),0.0267135325131811)</f>
        <v>0.02671353251</v>
      </c>
      <c r="G76" s="14">
        <f>IFERROR(__xludf.DUMMYFUNCTION("""COMPUTED_VALUE"""),82.5)</f>
        <v>82.5</v>
      </c>
      <c r="H76" s="17">
        <f>IFERROR(__xludf.DUMMYFUNCTION("""COMPUTED_VALUE"""),0.678181818181818)</f>
        <v>0.6781818182</v>
      </c>
      <c r="I76" s="14">
        <f>IFERROR(__xludf.DUMMYFUNCTION("""COMPUTED_VALUE"""),135.05)</f>
        <v>135.05</v>
      </c>
      <c r="J76" s="17">
        <f>IFERROR(__xludf.DUMMYFUNCTION("""COMPUTED_VALUE"""),0.025175860792298978)</f>
        <v>0.02517586079</v>
      </c>
      <c r="K76" s="14" t="s">
        <v>242</v>
      </c>
      <c r="L76" s="14" t="s">
        <v>341</v>
      </c>
      <c r="M76" s="14" t="s">
        <v>235</v>
      </c>
      <c r="N76" s="14" t="s">
        <v>236</v>
      </c>
      <c r="O76" s="14" t="s">
        <v>237</v>
      </c>
      <c r="P76" s="14" t="s">
        <v>241</v>
      </c>
    </row>
    <row r="77">
      <c r="A77" s="14" t="str">
        <f>IFERROR(__xludf.DUMMYFUNCTION("""COMPUTED_VALUE"""),"Indraprastha Gas")</f>
        <v>Indraprastha Gas</v>
      </c>
      <c r="B77" s="16">
        <f>IFERROR(__xludf.DUMMYFUNCTION("""COMPUTED_VALUE"""),29162.03)</f>
        <v>29162.03</v>
      </c>
      <c r="C77" s="14">
        <f>IFERROR(__xludf.DUMMYFUNCTION("""COMPUTED_VALUE"""),416.85)</f>
        <v>416.85</v>
      </c>
      <c r="D77" s="14">
        <f>IFERROR(__xludf.DUMMYFUNCTION("""COMPUTED_VALUE"""),17.03)</f>
        <v>17.03</v>
      </c>
      <c r="E77" s="14">
        <f>IFERROR(__xludf.DUMMYFUNCTION("""COMPUTED_VALUE"""),466.65)</f>
        <v>466.65</v>
      </c>
      <c r="F77" s="17">
        <f>IFERROR(__xludf.DUMMYFUNCTION("""COMPUTED_VALUE"""),0.10671809707489543)</f>
        <v>0.1067180971</v>
      </c>
      <c r="G77" s="14">
        <f>IFERROR(__xludf.DUMMYFUNCTION("""COMPUTED_VALUE"""),322.1)</f>
        <v>322.1</v>
      </c>
      <c r="H77" s="17">
        <f>IFERROR(__xludf.DUMMYFUNCTION("""COMPUTED_VALUE"""),0.2941633033219497)</f>
        <v>0.2941633033</v>
      </c>
      <c r="I77" s="14">
        <f>IFERROR(__xludf.DUMMYFUNCTION("""COMPUTED_VALUE"""),418.6)</f>
        <v>418.6</v>
      </c>
      <c r="J77" s="17">
        <f>IFERROR(__xludf.DUMMYFUNCTION("""COMPUTED_VALUE"""),-0.004180602006688963)</f>
        <v>-0.004180602007</v>
      </c>
      <c r="K77" s="14" t="s">
        <v>336</v>
      </c>
      <c r="L77" s="14" t="s">
        <v>342</v>
      </c>
      <c r="M77" s="14" t="s">
        <v>235</v>
      </c>
      <c r="N77" s="14" t="s">
        <v>236</v>
      </c>
      <c r="O77" s="14" t="s">
        <v>237</v>
      </c>
      <c r="P77" s="14" t="s">
        <v>241</v>
      </c>
    </row>
    <row r="78">
      <c r="A78" s="14" t="str">
        <f>IFERROR(__xludf.DUMMYFUNCTION("""COMPUTED_VALUE"""),"Max Financials")</f>
        <v>Max Financials</v>
      </c>
      <c r="B78" s="16">
        <f>IFERROR(__xludf.DUMMYFUNCTION("""COMPUTED_VALUE"""),27569.4122639)</f>
        <v>27569.41226</v>
      </c>
      <c r="C78" s="14">
        <f>IFERROR(__xludf.DUMMYFUNCTION("""COMPUTED_VALUE"""),799.4)</f>
        <v>799.4</v>
      </c>
      <c r="D78" s="14">
        <f>IFERROR(__xludf.DUMMYFUNCTION("""COMPUTED_VALUE"""),88.04)</f>
        <v>88.04</v>
      </c>
      <c r="E78" s="14">
        <f>IFERROR(__xludf.DUMMYFUNCTION("""COMPUTED_VALUE"""),1065.0)</f>
        <v>1065</v>
      </c>
      <c r="F78" s="17">
        <f>IFERROR(__xludf.DUMMYFUNCTION("""COMPUTED_VALUE"""),0.24938967136150236)</f>
        <v>0.2493896714</v>
      </c>
      <c r="G78" s="14">
        <f>IFERROR(__xludf.DUMMYFUNCTION("""COMPUTED_VALUE"""),627.8)</f>
        <v>627.8</v>
      </c>
      <c r="H78" s="17">
        <f>IFERROR(__xludf.DUMMYFUNCTION("""COMPUTED_VALUE"""),0.2733354571519593)</f>
        <v>0.2733354572</v>
      </c>
      <c r="I78" s="14">
        <f>IFERROR(__xludf.DUMMYFUNCTION("""COMPUTED_VALUE"""),796.25)</f>
        <v>796.25</v>
      </c>
      <c r="J78" s="17">
        <f>IFERROR(__xludf.DUMMYFUNCTION("""COMPUTED_VALUE"""),0.003956043956043927)</f>
        <v>0.003956043956</v>
      </c>
      <c r="K78" s="14" t="s">
        <v>244</v>
      </c>
      <c r="L78" s="14" t="s">
        <v>343</v>
      </c>
      <c r="M78" s="14" t="s">
        <v>235</v>
      </c>
      <c r="N78" s="14" t="s">
        <v>236</v>
      </c>
      <c r="O78" s="14" t="s">
        <v>237</v>
      </c>
      <c r="P78" s="14" t="s">
        <v>241</v>
      </c>
    </row>
    <row r="79">
      <c r="A79" s="14" t="str">
        <f>IFERROR(__xludf.DUMMYFUNCTION("""COMPUTED_VALUE"""),"Voltas")</f>
        <v>Voltas</v>
      </c>
      <c r="B79" s="16">
        <f>IFERROR(__xludf.DUMMYFUNCTION("""COMPUTED_VALUE"""),26702.2965179)</f>
        <v>26702.29652</v>
      </c>
      <c r="C79" s="14">
        <f>IFERROR(__xludf.DUMMYFUNCTION("""COMPUTED_VALUE"""),805.9)</f>
        <v>805.9</v>
      </c>
      <c r="D79" s="14">
        <f>IFERROR(__xludf.DUMMYFUNCTION("""COMPUTED_VALUE"""),70.1)</f>
        <v>70.1</v>
      </c>
      <c r="E79" s="14">
        <f>IFERROR(__xludf.DUMMYFUNCTION("""COMPUTED_VALUE"""),1347.75)</f>
        <v>1347.75</v>
      </c>
      <c r="F79" s="17">
        <f>IFERROR(__xludf.DUMMYFUNCTION("""COMPUTED_VALUE"""),0.4020404377666481)</f>
        <v>0.4020404378</v>
      </c>
      <c r="G79" s="14">
        <f>IFERROR(__xludf.DUMMYFUNCTION("""COMPUTED_VALUE"""),770.55)</f>
        <v>770.55</v>
      </c>
      <c r="H79" s="17">
        <f>IFERROR(__xludf.DUMMYFUNCTION("""COMPUTED_VALUE"""),0.04587632210758552)</f>
        <v>0.04587632211</v>
      </c>
      <c r="I79" s="14">
        <f>IFERROR(__xludf.DUMMYFUNCTION("""COMPUTED_VALUE"""),808.15)</f>
        <v>808.15</v>
      </c>
      <c r="J79" s="17">
        <f>IFERROR(__xludf.DUMMYFUNCTION("""COMPUTED_VALUE"""),-0.002784136608302914)</f>
        <v>-0.002784136608</v>
      </c>
      <c r="K79" s="14" t="s">
        <v>287</v>
      </c>
      <c r="L79" s="14" t="s">
        <v>344</v>
      </c>
      <c r="M79" s="14" t="s">
        <v>235</v>
      </c>
      <c r="N79" s="14" t="s">
        <v>236</v>
      </c>
      <c r="O79" s="14" t="s">
        <v>237</v>
      </c>
      <c r="P79" s="14" t="s">
        <v>241</v>
      </c>
    </row>
    <row r="80">
      <c r="A80" s="14" t="str">
        <f>IFERROR(__xludf.DUMMYFUNCTION("""COMPUTED_VALUE"""),"Deepak Nitrite")</f>
        <v>Deepak Nitrite</v>
      </c>
      <c r="B80" s="16">
        <f>IFERROR(__xludf.DUMMYFUNCTION("""COMPUTED_VALUE"""),26525.721745)</f>
        <v>26525.72175</v>
      </c>
      <c r="C80" s="14">
        <f>IFERROR(__xludf.DUMMYFUNCTION("""COMPUTED_VALUE"""),1944.05)</f>
        <v>1944.05</v>
      </c>
      <c r="D80" s="14">
        <f>IFERROR(__xludf.DUMMYFUNCTION("""COMPUTED_VALUE"""),28.86)</f>
        <v>28.86</v>
      </c>
      <c r="E80" s="14">
        <f>IFERROR(__xludf.DUMMYFUNCTION("""COMPUTED_VALUE"""),2690.05)</f>
        <v>2690.05</v>
      </c>
      <c r="F80" s="17">
        <f>IFERROR(__xludf.DUMMYFUNCTION("""COMPUTED_VALUE"""),0.27731826545974986)</f>
        <v>0.2773182655</v>
      </c>
      <c r="G80" s="14">
        <f>IFERROR(__xludf.DUMMYFUNCTION("""COMPUTED_VALUE"""),1681.15)</f>
        <v>1681.15</v>
      </c>
      <c r="H80" s="17">
        <f>IFERROR(__xludf.DUMMYFUNCTION("""COMPUTED_VALUE"""),0.15638104868691066)</f>
        <v>0.1563810487</v>
      </c>
      <c r="I80" s="14">
        <f>IFERROR(__xludf.DUMMYFUNCTION("""COMPUTED_VALUE"""),1941.8)</f>
        <v>1941.8</v>
      </c>
      <c r="J80" s="17">
        <f>IFERROR(__xludf.DUMMYFUNCTION("""COMPUTED_VALUE"""),0.0011587187145947059)</f>
        <v>0.001158718715</v>
      </c>
      <c r="K80" s="14" t="s">
        <v>270</v>
      </c>
      <c r="L80" s="14" t="s">
        <v>345</v>
      </c>
      <c r="M80" s="14" t="s">
        <v>235</v>
      </c>
      <c r="N80" s="14" t="s">
        <v>236</v>
      </c>
      <c r="O80" s="14" t="s">
        <v>237</v>
      </c>
      <c r="P80" s="14" t="s">
        <v>241</v>
      </c>
    </row>
    <row r="81">
      <c r="A81" s="14" t="str">
        <f>IFERROR(__xludf.DUMMYFUNCTION("""COMPUTED_VALUE"""),"Coromandel International")</f>
        <v>Coromandel International</v>
      </c>
      <c r="B81" s="16">
        <f>IFERROR(__xludf.DUMMYFUNCTION("""COMPUTED_VALUE"""),25664.11)</f>
        <v>25664.11</v>
      </c>
      <c r="C81" s="14">
        <f>IFERROR(__xludf.DUMMYFUNCTION("""COMPUTED_VALUE"""),872.0)</f>
        <v>872</v>
      </c>
      <c r="D81" s="14">
        <f>IFERROR(__xludf.DUMMYFUNCTION("""COMPUTED_VALUE"""),13.43)</f>
        <v>13.43</v>
      </c>
      <c r="E81" s="14">
        <f>IFERROR(__xludf.DUMMYFUNCTION("""COMPUTED_VALUE"""),1094.0)</f>
        <v>1094</v>
      </c>
      <c r="F81" s="17">
        <f>IFERROR(__xludf.DUMMYFUNCTION("""COMPUTED_VALUE"""),0.20292504570383912)</f>
        <v>0.2029250457</v>
      </c>
      <c r="G81" s="14">
        <f>IFERROR(__xludf.DUMMYFUNCTION("""COMPUTED_VALUE"""),729.55)</f>
        <v>729.55</v>
      </c>
      <c r="H81" s="17">
        <f>IFERROR(__xludf.DUMMYFUNCTION("""COMPUTED_VALUE"""),0.19525735042149278)</f>
        <v>0.1952573504</v>
      </c>
      <c r="I81" s="14">
        <f>IFERROR(__xludf.DUMMYFUNCTION("""COMPUTED_VALUE"""),881.85)</f>
        <v>881.85</v>
      </c>
      <c r="J81" s="17">
        <f>IFERROR(__xludf.DUMMYFUNCTION("""COMPUTED_VALUE"""),-0.01116970006236891)</f>
        <v>-0.01116970006</v>
      </c>
      <c r="K81" s="14" t="s">
        <v>299</v>
      </c>
      <c r="L81" s="14" t="s">
        <v>346</v>
      </c>
      <c r="M81" s="14" t="s">
        <v>235</v>
      </c>
      <c r="N81" s="14" t="s">
        <v>236</v>
      </c>
      <c r="O81" s="14" t="s">
        <v>237</v>
      </c>
      <c r="P81" s="14" t="s">
        <v>241</v>
      </c>
    </row>
    <row r="82">
      <c r="A82" s="14" t="str">
        <f>IFERROR(__xludf.DUMMYFUNCTION("""COMPUTED_VALUE"""),"Aurobindo Pharma")</f>
        <v>Aurobindo Pharma</v>
      </c>
      <c r="B82" s="16">
        <f>IFERROR(__xludf.DUMMYFUNCTION("""COMPUTED_VALUE"""),25505.6859247)</f>
        <v>25505.68592</v>
      </c>
      <c r="C82" s="14">
        <f>IFERROR(__xludf.DUMMYFUNCTION("""COMPUTED_VALUE"""),435.3)</f>
        <v>435.3</v>
      </c>
      <c r="D82" s="14">
        <f>IFERROR(__xludf.DUMMYFUNCTION("""COMPUTED_VALUE"""),12.08)</f>
        <v>12.08</v>
      </c>
      <c r="E82" s="14">
        <f>IFERROR(__xludf.DUMMYFUNCTION("""COMPUTED_VALUE"""),727.95)</f>
        <v>727.95</v>
      </c>
      <c r="F82" s="17">
        <f>IFERROR(__xludf.DUMMYFUNCTION("""COMPUTED_VALUE"""),0.40201936946218836)</f>
        <v>0.4020193695</v>
      </c>
      <c r="G82" s="14">
        <f>IFERROR(__xludf.DUMMYFUNCTION("""COMPUTED_VALUE"""),429.2)</f>
        <v>429.2</v>
      </c>
      <c r="H82" s="17">
        <f>IFERROR(__xludf.DUMMYFUNCTION("""COMPUTED_VALUE"""),0.014212488350419439)</f>
        <v>0.01421248835</v>
      </c>
      <c r="I82" s="14">
        <f>IFERROR(__xludf.DUMMYFUNCTION("""COMPUTED_VALUE"""),446.35)</f>
        <v>446.35</v>
      </c>
      <c r="J82" s="17">
        <f>IFERROR(__xludf.DUMMYFUNCTION("""COMPUTED_VALUE"""),-0.02475635711885294)</f>
        <v>-0.02475635712</v>
      </c>
      <c r="K82" s="14" t="s">
        <v>259</v>
      </c>
      <c r="L82" s="14" t="s">
        <v>347</v>
      </c>
      <c r="M82" s="14" t="s">
        <v>235</v>
      </c>
      <c r="N82" s="14" t="s">
        <v>236</v>
      </c>
      <c r="O82" s="14" t="s">
        <v>237</v>
      </c>
      <c r="P82" s="14" t="s">
        <v>241</v>
      </c>
    </row>
    <row r="83">
      <c r="A83" s="14" t="str">
        <f>IFERROR(__xludf.DUMMYFUNCTION("""COMPUTED_VALUE"""),"3M India")</f>
        <v>3M India</v>
      </c>
      <c r="B83" s="16">
        <f>IFERROR(__xludf.DUMMYFUNCTION("""COMPUTED_VALUE"""),25229.93)</f>
        <v>25229.93</v>
      </c>
      <c r="C83" s="14">
        <f>IFERROR(__xludf.DUMMYFUNCTION("""COMPUTED_VALUE"""),22300.0)</f>
        <v>22300</v>
      </c>
      <c r="D83" s="14">
        <f>IFERROR(__xludf.DUMMYFUNCTION("""COMPUTED_VALUE"""),68.24)</f>
        <v>68.24</v>
      </c>
      <c r="E83" s="14">
        <f>IFERROR(__xludf.DUMMYFUNCTION("""COMPUTED_VALUE"""),26943.0)</f>
        <v>26943</v>
      </c>
      <c r="F83" s="17">
        <f>IFERROR(__xludf.DUMMYFUNCTION("""COMPUTED_VALUE"""),0.17232676390899307)</f>
        <v>0.1723267639</v>
      </c>
      <c r="G83" s="14">
        <f>IFERROR(__xludf.DUMMYFUNCTION("""COMPUTED_VALUE"""),17273.0)</f>
        <v>17273</v>
      </c>
      <c r="H83" s="17">
        <f>IFERROR(__xludf.DUMMYFUNCTION("""COMPUTED_VALUE"""),0.2910322468592601)</f>
        <v>0.2910322469</v>
      </c>
      <c r="I83" s="14">
        <f>IFERROR(__xludf.DUMMYFUNCTION("""COMPUTED_VALUE"""),22335.4)</f>
        <v>22335.4</v>
      </c>
      <c r="J83" s="17">
        <f>IFERROR(__xludf.DUMMYFUNCTION("""COMPUTED_VALUE"""),-0.0015849279618901588)</f>
        <v>-0.001584927962</v>
      </c>
      <c r="K83" s="14" t="s">
        <v>305</v>
      </c>
      <c r="L83" s="14" t="s">
        <v>348</v>
      </c>
      <c r="M83" s="14" t="s">
        <v>235</v>
      </c>
      <c r="N83" s="14" t="s">
        <v>236</v>
      </c>
      <c r="O83" s="14" t="s">
        <v>237</v>
      </c>
      <c r="P83" s="14" t="s">
        <v>241</v>
      </c>
    </row>
    <row r="84">
      <c r="A84" s="14" t="str">
        <f>IFERROR(__xludf.DUMMYFUNCTION("""COMPUTED_VALUE"""),"sona comstar")</f>
        <v>sona comstar</v>
      </c>
      <c r="B84" s="16">
        <f>IFERROR(__xludf.DUMMYFUNCTION("""COMPUTED_VALUE"""),24962.9162175)</f>
        <v>24962.91622</v>
      </c>
      <c r="C84" s="14">
        <f>IFERROR(__xludf.DUMMYFUNCTION("""COMPUTED_VALUE"""),426.0)</f>
        <v>426</v>
      </c>
      <c r="D84" s="14">
        <f>IFERROR(__xludf.DUMMYFUNCTION("""COMPUTED_VALUE"""),69.24)</f>
        <v>69.24</v>
      </c>
      <c r="E84" s="14">
        <f>IFERROR(__xludf.DUMMYFUNCTION("""COMPUTED_VALUE"""),795.0)</f>
        <v>795</v>
      </c>
      <c r="F84" s="17">
        <f>IFERROR(__xludf.DUMMYFUNCTION("""COMPUTED_VALUE"""),0.4641509433962264)</f>
        <v>0.4641509434</v>
      </c>
      <c r="G84" s="14">
        <f>IFERROR(__xludf.DUMMYFUNCTION("""COMPUTED_VALUE"""),397.35)</f>
        <v>397.35</v>
      </c>
      <c r="H84" s="17">
        <f>IFERROR(__xludf.DUMMYFUNCTION("""COMPUTED_VALUE"""),0.07210268025670058)</f>
        <v>0.07210268026</v>
      </c>
      <c r="I84" s="14">
        <f>IFERROR(__xludf.DUMMYFUNCTION("""COMPUTED_VALUE"""),428.65)</f>
        <v>428.65</v>
      </c>
      <c r="J84" s="17">
        <f>IFERROR(__xludf.DUMMYFUNCTION("""COMPUTED_VALUE"""),-0.006182199930012778)</f>
        <v>-0.00618219993</v>
      </c>
      <c r="K84" s="14" t="s">
        <v>349</v>
      </c>
      <c r="L84" s="14" t="s">
        <v>350</v>
      </c>
      <c r="M84" s="14" t="s">
        <v>235</v>
      </c>
      <c r="N84" s="14" t="s">
        <v>236</v>
      </c>
      <c r="O84" s="14" t="s">
        <v>237</v>
      </c>
      <c r="P84" s="14" t="s">
        <v>241</v>
      </c>
    </row>
    <row r="85">
      <c r="A85" s="14" t="str">
        <f>IFERROR(__xludf.DUMMYFUNCTION("""COMPUTED_VALUE"""),"Tata Chemical")</f>
        <v>Tata Chemical</v>
      </c>
      <c r="B85" s="16">
        <f>IFERROR(__xludf.DUMMYFUNCTION("""COMPUTED_VALUE"""),24851.46731)</f>
        <v>24851.46731</v>
      </c>
      <c r="C85" s="14">
        <f>IFERROR(__xludf.DUMMYFUNCTION("""COMPUTED_VALUE"""),975.8)</f>
        <v>975.8</v>
      </c>
      <c r="D85" s="14">
        <f>IFERROR(__xludf.DUMMYFUNCTION("""COMPUTED_VALUE"""),12.65)</f>
        <v>12.65</v>
      </c>
      <c r="E85" s="14">
        <f>IFERROR(__xludf.DUMMYFUNCTION("""COMPUTED_VALUE"""),1214.65)</f>
        <v>1214.65</v>
      </c>
      <c r="F85" s="17">
        <f>IFERROR(__xludf.DUMMYFUNCTION("""COMPUTED_VALUE"""),0.1966410076976908)</f>
        <v>0.1966410077</v>
      </c>
      <c r="G85" s="14">
        <f>IFERROR(__xludf.DUMMYFUNCTION("""COMPUTED_VALUE"""),773.9)</f>
        <v>773.9</v>
      </c>
      <c r="H85" s="17">
        <f>IFERROR(__xludf.DUMMYFUNCTION("""COMPUTED_VALUE"""),0.2608864194340354)</f>
        <v>0.2608864194</v>
      </c>
      <c r="I85" s="14">
        <f>IFERROR(__xludf.DUMMYFUNCTION("""COMPUTED_VALUE"""),972.55)</f>
        <v>972.55</v>
      </c>
      <c r="J85" s="17">
        <f>IFERROR(__xludf.DUMMYFUNCTION("""COMPUTED_VALUE"""),0.0033417305022878)</f>
        <v>0.003341730502</v>
      </c>
      <c r="K85" s="14" t="s">
        <v>270</v>
      </c>
      <c r="L85" s="14" t="s">
        <v>351</v>
      </c>
      <c r="M85" s="14" t="s">
        <v>235</v>
      </c>
      <c r="N85" s="14" t="s">
        <v>236</v>
      </c>
      <c r="O85" s="14" t="s">
        <v>237</v>
      </c>
      <c r="P85" s="14" t="s">
        <v>241</v>
      </c>
    </row>
    <row r="86">
      <c r="A86" s="14" t="str">
        <f>IFERROR(__xludf.DUMMYFUNCTION("""COMPUTED_VALUE"""),"Sumitomo Chemicals")</f>
        <v>Sumitomo Chemicals</v>
      </c>
      <c r="B86" s="16">
        <f>IFERROR(__xludf.DUMMYFUNCTION("""COMPUTED_VALUE"""),24637.83)</f>
        <v>24637.83</v>
      </c>
      <c r="C86" s="14">
        <f>IFERROR(__xludf.DUMMYFUNCTION("""COMPUTED_VALUE"""),493.2)</f>
        <v>493.2</v>
      </c>
      <c r="D86" s="14">
        <f>IFERROR(__xludf.DUMMYFUNCTION("""COMPUTED_VALUE"""),48.9)</f>
        <v>48.9</v>
      </c>
      <c r="E86" s="14">
        <f>IFERROR(__xludf.DUMMYFUNCTION("""COMPUTED_VALUE"""),540.8)</f>
        <v>540.8</v>
      </c>
      <c r="F86" s="17">
        <f>IFERROR(__xludf.DUMMYFUNCTION("""COMPUTED_VALUE"""),0.08801775147928989)</f>
        <v>0.08801775148</v>
      </c>
      <c r="G86" s="14">
        <f>IFERROR(__xludf.DUMMYFUNCTION("""COMPUTED_VALUE"""),351.5)</f>
        <v>351.5</v>
      </c>
      <c r="H86" s="17">
        <f>IFERROR(__xludf.DUMMYFUNCTION("""COMPUTED_VALUE"""),0.40312944523470834)</f>
        <v>0.4031294452</v>
      </c>
      <c r="I86" s="14">
        <f>IFERROR(__xludf.DUMMYFUNCTION("""COMPUTED_VALUE"""),487.95)</f>
        <v>487.95</v>
      </c>
      <c r="J86" s="17">
        <f>IFERROR(__xludf.DUMMYFUNCTION("""COMPUTED_VALUE"""),0.010759299108515218)</f>
        <v>0.01075929911</v>
      </c>
      <c r="K86" s="14" t="s">
        <v>299</v>
      </c>
      <c r="L86" s="14" t="s">
        <v>352</v>
      </c>
      <c r="M86" s="14" t="s">
        <v>235</v>
      </c>
      <c r="N86" s="14" t="s">
        <v>236</v>
      </c>
      <c r="O86" s="14" t="s">
        <v>237</v>
      </c>
      <c r="P86" s="14" t="s">
        <v>241</v>
      </c>
    </row>
    <row r="87">
      <c r="A87" s="14" t="str">
        <f>IFERROR(__xludf.DUMMYFUNCTION("""COMPUTED_VALUE"""),"Gland Pharma")</f>
        <v>Gland Pharma</v>
      </c>
      <c r="B87" s="16">
        <f>IFERROR(__xludf.DUMMYFUNCTION("""COMPUTED_VALUE"""),23948.9713712)</f>
        <v>23948.97137</v>
      </c>
      <c r="C87" s="14">
        <f>IFERROR(__xludf.DUMMYFUNCTION("""COMPUTED_VALUE"""),1453.65)</f>
        <v>1453.65</v>
      </c>
      <c r="D87" s="14">
        <f>IFERROR(__xludf.DUMMYFUNCTION("""COMPUTED_VALUE"""),23.28)</f>
        <v>23.28</v>
      </c>
      <c r="E87" s="14">
        <f>IFERROR(__xludf.DUMMYFUNCTION("""COMPUTED_VALUE"""),3773.95)</f>
        <v>3773.95</v>
      </c>
      <c r="F87" s="17">
        <f>IFERROR(__xludf.DUMMYFUNCTION("""COMPUTED_VALUE"""),0.6148200161634362)</f>
        <v>0.6148200162</v>
      </c>
      <c r="G87" s="14">
        <f>IFERROR(__xludf.DUMMYFUNCTION("""COMPUTED_VALUE"""),1450.0)</f>
        <v>1450</v>
      </c>
      <c r="H87" s="17">
        <f>IFERROR(__xludf.DUMMYFUNCTION("""COMPUTED_VALUE"""),0.0025172413793104077)</f>
        <v>0.002517241379</v>
      </c>
      <c r="I87" s="14">
        <f>IFERROR(__xludf.DUMMYFUNCTION("""COMPUTED_VALUE"""),1497.85)</f>
        <v>1497.85</v>
      </c>
      <c r="J87" s="17">
        <f>IFERROR(__xludf.DUMMYFUNCTION("""COMPUTED_VALUE"""),-0.029508962846746884)</f>
        <v>-0.02950896285</v>
      </c>
      <c r="K87" s="14" t="s">
        <v>259</v>
      </c>
      <c r="L87" s="14" t="s">
        <v>353</v>
      </c>
      <c r="M87" s="14" t="s">
        <v>235</v>
      </c>
      <c r="N87" s="14" t="s">
        <v>236</v>
      </c>
      <c r="O87" s="14" t="s">
        <v>237</v>
      </c>
      <c r="P87" s="14" t="s">
        <v>241</v>
      </c>
    </row>
    <row r="88">
      <c r="A88" s="14" t="str">
        <f>IFERROR(__xludf.DUMMYFUNCTION("""COMPUTED_VALUE"""),"Coforge")</f>
        <v>Coforge</v>
      </c>
      <c r="B88" s="16">
        <f>IFERROR(__xludf.DUMMYFUNCTION("""COMPUTED_VALUE"""),23631.8479052)</f>
        <v>23631.84791</v>
      </c>
      <c r="C88" s="14">
        <f>IFERROR(__xludf.DUMMYFUNCTION("""COMPUTED_VALUE"""),3868.05)</f>
        <v>3868.05</v>
      </c>
      <c r="D88" s="14">
        <f>IFERROR(__xludf.DUMMYFUNCTION("""COMPUTED_VALUE"""),32.39)</f>
        <v>32.39</v>
      </c>
      <c r="E88" s="14">
        <f>IFERROR(__xludf.DUMMYFUNCTION("""COMPUTED_VALUE"""),5862.1)</f>
        <v>5862.1</v>
      </c>
      <c r="F88" s="17">
        <f>IFERROR(__xludf.DUMMYFUNCTION("""COMPUTED_VALUE"""),0.3401596697429249)</f>
        <v>0.3401596697</v>
      </c>
      <c r="G88" s="14">
        <f>IFERROR(__xludf.DUMMYFUNCTION("""COMPUTED_VALUE"""),3210.0)</f>
        <v>3210</v>
      </c>
      <c r="H88" s="17">
        <f>IFERROR(__xludf.DUMMYFUNCTION("""COMPUTED_VALUE"""),0.20500000000000004)</f>
        <v>0.205</v>
      </c>
      <c r="I88" s="14">
        <f>IFERROR(__xludf.DUMMYFUNCTION("""COMPUTED_VALUE"""),3902.65)</f>
        <v>3902.65</v>
      </c>
      <c r="J88" s="17">
        <f>IFERROR(__xludf.DUMMYFUNCTION("""COMPUTED_VALUE"""),-0.008865770694271817)</f>
        <v>-0.008865770694</v>
      </c>
      <c r="K88" s="14" t="s">
        <v>305</v>
      </c>
      <c r="L88" s="14" t="s">
        <v>354</v>
      </c>
      <c r="M88" s="14" t="s">
        <v>235</v>
      </c>
      <c r="N88" s="14" t="s">
        <v>236</v>
      </c>
      <c r="O88" s="14" t="s">
        <v>237</v>
      </c>
      <c r="P88" s="14" t="s">
        <v>241</v>
      </c>
    </row>
    <row r="89">
      <c r="A89" s="14" t="str">
        <f>IFERROR(__xludf.DUMMYFUNCTION("""COMPUTED_VALUE"""),"Atul Ltd")</f>
        <v>Atul Ltd</v>
      </c>
      <c r="B89" s="16">
        <f>IFERROR(__xludf.DUMMYFUNCTION("""COMPUTED_VALUE"""),22715.5217056)</f>
        <v>22715.52171</v>
      </c>
      <c r="C89" s="14">
        <f>IFERROR(__xludf.DUMMYFUNCTION("""COMPUTED_VALUE"""),7701.2)</f>
        <v>7701.2</v>
      </c>
      <c r="D89" s="14">
        <f>IFERROR(__xludf.DUMMYFUNCTION("""COMPUTED_VALUE"""),37.5)</f>
        <v>37.5</v>
      </c>
      <c r="E89" s="14">
        <f>IFERROR(__xludf.DUMMYFUNCTION("""COMPUTED_VALUE"""),10859.0)</f>
        <v>10859</v>
      </c>
      <c r="F89" s="17">
        <f>IFERROR(__xludf.DUMMYFUNCTION("""COMPUTED_VALUE"""),0.29080025785063085)</f>
        <v>0.2908002579</v>
      </c>
      <c r="G89" s="14">
        <f>IFERROR(__xludf.DUMMYFUNCTION("""COMPUTED_VALUE"""),7602.15)</f>
        <v>7602.15</v>
      </c>
      <c r="H89" s="17">
        <f>IFERROR(__xludf.DUMMYFUNCTION("""COMPUTED_VALUE"""),0.013029208842235445)</f>
        <v>0.01302920884</v>
      </c>
      <c r="I89" s="14">
        <f>IFERROR(__xludf.DUMMYFUNCTION("""COMPUTED_VALUE"""),7679.85)</f>
        <v>7679.85</v>
      </c>
      <c r="J89" s="17">
        <f>IFERROR(__xludf.DUMMYFUNCTION("""COMPUTED_VALUE"""),0.0027800022135848297)</f>
        <v>0.002780002214</v>
      </c>
      <c r="K89" s="14" t="s">
        <v>270</v>
      </c>
      <c r="L89" s="14" t="s">
        <v>355</v>
      </c>
      <c r="M89" s="14" t="s">
        <v>235</v>
      </c>
      <c r="N89" s="14" t="s">
        <v>236</v>
      </c>
      <c r="O89" s="14" t="s">
        <v>237</v>
      </c>
      <c r="P89" s="14" t="s">
        <v>241</v>
      </c>
    </row>
    <row r="90">
      <c r="A90" s="14" t="str">
        <f>IFERROR(__xludf.DUMMYFUNCTION("""COMPUTED_VALUE"""),"J K Cement")</f>
        <v>J K Cement</v>
      </c>
      <c r="B90" s="16">
        <f>IFERROR(__xludf.DUMMYFUNCTION("""COMPUTED_VALUE"""),22430.59)</f>
        <v>22430.59</v>
      </c>
      <c r="C90" s="14">
        <f>IFERROR(__xludf.DUMMYFUNCTION("""COMPUTED_VALUE"""),2900.45)</f>
        <v>2900.45</v>
      </c>
      <c r="D90" s="14">
        <f>IFERROR(__xludf.DUMMYFUNCTION("""COMPUTED_VALUE"""),36.07)</f>
        <v>36.07</v>
      </c>
      <c r="E90" s="14">
        <f>IFERROR(__xludf.DUMMYFUNCTION("""COMPUTED_VALUE"""),3646.25)</f>
        <v>3646.25</v>
      </c>
      <c r="F90" s="17">
        <f>IFERROR(__xludf.DUMMYFUNCTION("""COMPUTED_VALUE"""),0.2045389098388756)</f>
        <v>0.2045389098</v>
      </c>
      <c r="G90" s="14">
        <f>IFERROR(__xludf.DUMMYFUNCTION("""COMPUTED_VALUE"""),2005.0)</f>
        <v>2005</v>
      </c>
      <c r="H90" s="17">
        <f>IFERROR(__xludf.DUMMYFUNCTION("""COMPUTED_VALUE"""),0.4466084788029924)</f>
        <v>0.4466084788</v>
      </c>
      <c r="I90" s="14">
        <f>IFERROR(__xludf.DUMMYFUNCTION("""COMPUTED_VALUE"""),2905.9)</f>
        <v>2905.9</v>
      </c>
      <c r="J90" s="17">
        <f>IFERROR(__xludf.DUMMYFUNCTION("""COMPUTED_VALUE"""),-0.0018754946832307625)</f>
        <v>-0.001875494683</v>
      </c>
      <c r="K90" s="14" t="s">
        <v>264</v>
      </c>
      <c r="L90" s="14" t="s">
        <v>356</v>
      </c>
      <c r="M90" s="14" t="s">
        <v>235</v>
      </c>
      <c r="N90" s="14" t="s">
        <v>236</v>
      </c>
      <c r="O90" s="14" t="s">
        <v>237</v>
      </c>
      <c r="P90" s="14" t="s">
        <v>241</v>
      </c>
    </row>
    <row r="91">
      <c r="A91" s="14" t="str">
        <f>IFERROR(__xludf.DUMMYFUNCTION("""COMPUTED_VALUE"""),"Kansai Nerolac")</f>
        <v>Kansai Nerolac</v>
      </c>
      <c r="B91" s="16">
        <f>IFERROR(__xludf.DUMMYFUNCTION("""COMPUTED_VALUE"""),22276.241535)</f>
        <v>22276.24154</v>
      </c>
      <c r="C91" s="14">
        <f>IFERROR(__xludf.DUMMYFUNCTION("""COMPUTED_VALUE"""),415.0)</f>
        <v>415</v>
      </c>
      <c r="D91" s="14">
        <f>IFERROR(__xludf.DUMMYFUNCTION("""COMPUTED_VALUE"""),52.87)</f>
        <v>52.87</v>
      </c>
      <c r="E91" s="14">
        <f>IFERROR(__xludf.DUMMYFUNCTION("""COMPUTED_VALUE"""),624.0)</f>
        <v>624</v>
      </c>
      <c r="F91" s="17">
        <f>IFERROR(__xludf.DUMMYFUNCTION("""COMPUTED_VALUE"""),0.3349358974358974)</f>
        <v>0.3349358974</v>
      </c>
      <c r="G91" s="14">
        <f>IFERROR(__xludf.DUMMYFUNCTION("""COMPUTED_VALUE"""),358.15)</f>
        <v>358.15</v>
      </c>
      <c r="H91" s="17">
        <f>IFERROR(__xludf.DUMMYFUNCTION("""COMPUTED_VALUE"""),0.15873237470333668)</f>
        <v>0.1587323747</v>
      </c>
      <c r="I91" s="14">
        <f>IFERROR(__xludf.DUMMYFUNCTION("""COMPUTED_VALUE"""),413.05)</f>
        <v>413.05</v>
      </c>
      <c r="J91" s="17">
        <f>IFERROR(__xludf.DUMMYFUNCTION("""COMPUTED_VALUE"""),0.004720978089819606)</f>
        <v>0.00472097809</v>
      </c>
      <c r="K91" s="14" t="s">
        <v>255</v>
      </c>
      <c r="L91" s="14" t="s">
        <v>357</v>
      </c>
      <c r="M91" s="14" t="s">
        <v>235</v>
      </c>
      <c r="N91" s="14" t="s">
        <v>236</v>
      </c>
      <c r="O91" s="14" t="s">
        <v>237</v>
      </c>
      <c r="P91" s="14" t="s">
        <v>241</v>
      </c>
    </row>
    <row r="92">
      <c r="A92" s="14" t="str">
        <f>IFERROR(__xludf.DUMMYFUNCTION("""COMPUTED_VALUE"""),"Crisil")</f>
        <v>Crisil</v>
      </c>
      <c r="B92" s="16">
        <f>IFERROR(__xludf.DUMMYFUNCTION("""COMPUTED_VALUE"""),22166.9)</f>
        <v>22166.9</v>
      </c>
      <c r="C92" s="14">
        <f>IFERROR(__xludf.DUMMYFUNCTION("""COMPUTED_VALUE"""),3020.0)</f>
        <v>3020</v>
      </c>
      <c r="D92" s="14">
        <f>IFERROR(__xludf.DUMMYFUNCTION("""COMPUTED_VALUE"""),38.36)</f>
        <v>38.36</v>
      </c>
      <c r="E92" s="14">
        <f>IFERROR(__xludf.DUMMYFUNCTION("""COMPUTED_VALUE"""),3863.55)</f>
        <v>3863.55</v>
      </c>
      <c r="F92" s="17">
        <f>IFERROR(__xludf.DUMMYFUNCTION("""COMPUTED_VALUE"""),0.2183354686751822)</f>
        <v>0.2183354687</v>
      </c>
      <c r="G92" s="14">
        <f>IFERROR(__xludf.DUMMYFUNCTION("""COMPUTED_VALUE"""),2540.0)</f>
        <v>2540</v>
      </c>
      <c r="H92" s="17">
        <f>IFERROR(__xludf.DUMMYFUNCTION("""COMPUTED_VALUE"""),0.1889763779527559)</f>
        <v>0.188976378</v>
      </c>
      <c r="I92" s="14">
        <f>IFERROR(__xludf.DUMMYFUNCTION("""COMPUTED_VALUE"""),3044.5)</f>
        <v>3044.5</v>
      </c>
      <c r="J92" s="17">
        <f>IFERROR(__xludf.DUMMYFUNCTION("""COMPUTED_VALUE"""),-0.008047298406963376)</f>
        <v>-0.008047298407</v>
      </c>
      <c r="K92" s="14" t="s">
        <v>358</v>
      </c>
      <c r="L92" s="14" t="s">
        <v>359</v>
      </c>
      <c r="M92" s="14" t="s">
        <v>235</v>
      </c>
      <c r="N92" s="14" t="s">
        <v>236</v>
      </c>
      <c r="O92" s="14" t="s">
        <v>237</v>
      </c>
      <c r="P92" s="14" t="s">
        <v>241</v>
      </c>
    </row>
    <row r="93">
      <c r="A93" s="14" t="str">
        <f>IFERROR(__xludf.DUMMYFUNCTION("""COMPUTED_VALUE"""),"LIC Housing Finance")</f>
        <v>LIC Housing Finance</v>
      </c>
      <c r="B93" s="16">
        <f>IFERROR(__xludf.DUMMYFUNCTION("""COMPUTED_VALUE"""),22159.2659823)</f>
        <v>22159.26598</v>
      </c>
      <c r="C93" s="14">
        <f>IFERROR(__xludf.DUMMYFUNCTION("""COMPUTED_VALUE"""),402.9)</f>
        <v>402.9</v>
      </c>
      <c r="D93" s="14">
        <f>IFERROR(__xludf.DUMMYFUNCTION("""COMPUTED_VALUE"""),6.85)</f>
        <v>6.85</v>
      </c>
      <c r="E93" s="14">
        <f>IFERROR(__xludf.DUMMYFUNCTION("""COMPUTED_VALUE"""),443.5)</f>
        <v>443.5</v>
      </c>
      <c r="F93" s="17">
        <f>IFERROR(__xludf.DUMMYFUNCTION("""COMPUTED_VALUE"""),0.09154453213077796)</f>
        <v>0.09154453213</v>
      </c>
      <c r="G93" s="14">
        <f>IFERROR(__xludf.DUMMYFUNCTION("""COMPUTED_VALUE"""),291.75)</f>
        <v>291.75</v>
      </c>
      <c r="H93" s="17">
        <f>IFERROR(__xludf.DUMMYFUNCTION("""COMPUTED_VALUE"""),0.38097686375321327)</f>
        <v>0.3809768638</v>
      </c>
      <c r="I93" s="14">
        <f>IFERROR(__xludf.DUMMYFUNCTION("""COMPUTED_VALUE"""),400.2)</f>
        <v>400.2</v>
      </c>
      <c r="J93" s="17">
        <f>IFERROR(__xludf.DUMMYFUNCTION("""COMPUTED_VALUE"""),0.006746626686656643)</f>
        <v>0.006746626687</v>
      </c>
      <c r="K93" s="14" t="s">
        <v>249</v>
      </c>
      <c r="L93" s="14" t="s">
        <v>360</v>
      </c>
      <c r="M93" s="14" t="s">
        <v>235</v>
      </c>
      <c r="N93" s="14" t="s">
        <v>236</v>
      </c>
      <c r="O93" s="14" t="s">
        <v>237</v>
      </c>
      <c r="P93" s="14" t="s">
        <v>241</v>
      </c>
    </row>
    <row r="94">
      <c r="A94" s="14" t="str">
        <f>IFERROR(__xludf.DUMMYFUNCTION("""COMPUTED_VALUE"""),"IPCA Lab")</f>
        <v>IPCA Lab</v>
      </c>
      <c r="B94" s="16">
        <f>IFERROR(__xludf.DUMMYFUNCTION("""COMPUTED_VALUE"""),22090.03)</f>
        <v>22090.03</v>
      </c>
      <c r="C94" s="14">
        <f>IFERROR(__xludf.DUMMYFUNCTION("""COMPUTED_VALUE"""),872.85)</f>
        <v>872.85</v>
      </c>
      <c r="D94" s="14">
        <f>IFERROR(__xludf.DUMMYFUNCTION("""COMPUTED_VALUE"""),42.96)</f>
        <v>42.96</v>
      </c>
      <c r="E94" s="14">
        <f>IFERROR(__xludf.DUMMYFUNCTION("""COMPUTED_VALUE"""),1095.0)</f>
        <v>1095</v>
      </c>
      <c r="F94" s="17">
        <f>IFERROR(__xludf.DUMMYFUNCTION("""COMPUTED_VALUE"""),0.2028767123287671)</f>
        <v>0.2028767123</v>
      </c>
      <c r="G94" s="14">
        <f>IFERROR(__xludf.DUMMYFUNCTION("""COMPUTED_VALUE"""),830.0)</f>
        <v>830</v>
      </c>
      <c r="H94" s="17">
        <f>IFERROR(__xludf.DUMMYFUNCTION("""COMPUTED_VALUE"""),0.051626506024096415)</f>
        <v>0.05162650602</v>
      </c>
      <c r="I94" s="14">
        <f>IFERROR(__xludf.DUMMYFUNCTION("""COMPUTED_VALUE"""),868.6)</f>
        <v>868.6</v>
      </c>
      <c r="J94" s="17">
        <f>IFERROR(__xludf.DUMMYFUNCTION("""COMPUTED_VALUE"""),0.004892931153580474)</f>
        <v>0.004892931154</v>
      </c>
      <c r="K94" s="14" t="s">
        <v>259</v>
      </c>
      <c r="L94" s="14" t="s">
        <v>361</v>
      </c>
      <c r="M94" s="14" t="s">
        <v>235</v>
      </c>
      <c r="N94" s="14" t="s">
        <v>236</v>
      </c>
      <c r="O94" s="14" t="s">
        <v>237</v>
      </c>
      <c r="P94" s="14" t="s">
        <v>241</v>
      </c>
    </row>
    <row r="95">
      <c r="A95" s="14" t="str">
        <f>IFERROR(__xludf.DUMMYFUNCTION("""COMPUTED_VALUE"""),"Dixon Technologies")</f>
        <v>Dixon Technologies</v>
      </c>
      <c r="B95" s="16">
        <f>IFERROR(__xludf.DUMMYFUNCTION("""COMPUTED_VALUE"""),21650.114525)</f>
        <v>21650.11453</v>
      </c>
      <c r="C95" s="14">
        <f>IFERROR(__xludf.DUMMYFUNCTION("""COMPUTED_VALUE"""),3635.0)</f>
        <v>3635</v>
      </c>
      <c r="D95" s="14">
        <f>IFERROR(__xludf.DUMMYFUNCTION("""COMPUTED_VALUE"""),93.72)</f>
        <v>93.72</v>
      </c>
      <c r="E95" s="14">
        <f>IFERROR(__xludf.DUMMYFUNCTION("""COMPUTED_VALUE"""),5444.1)</f>
        <v>5444.1</v>
      </c>
      <c r="F95" s="17">
        <f>IFERROR(__xludf.DUMMYFUNCTION("""COMPUTED_VALUE"""),0.33230469682775854)</f>
        <v>0.3323046968</v>
      </c>
      <c r="G95" s="14">
        <f>IFERROR(__xludf.DUMMYFUNCTION("""COMPUTED_VALUE"""),3180.55)</f>
        <v>3180.55</v>
      </c>
      <c r="H95" s="17">
        <f>IFERROR(__xludf.DUMMYFUNCTION("""COMPUTED_VALUE"""),0.1428840923739604)</f>
        <v>0.1428840924</v>
      </c>
      <c r="I95" s="14">
        <f>IFERROR(__xludf.DUMMYFUNCTION("""COMPUTED_VALUE"""),3651.05)</f>
        <v>3651.05</v>
      </c>
      <c r="J95" s="17">
        <f>IFERROR(__xludf.DUMMYFUNCTION("""COMPUTED_VALUE"""),-0.00439599567247783)</f>
        <v>-0.004395995672</v>
      </c>
      <c r="K95" s="14" t="s">
        <v>362</v>
      </c>
      <c r="L95" s="14" t="s">
        <v>363</v>
      </c>
      <c r="M95" s="14" t="s">
        <v>235</v>
      </c>
      <c r="N95" s="14" t="s">
        <v>236</v>
      </c>
      <c r="O95" s="14" t="s">
        <v>237</v>
      </c>
      <c r="P95" s="14" t="s">
        <v>241</v>
      </c>
    </row>
    <row r="96">
      <c r="A96" s="14" t="str">
        <f>IFERROR(__xludf.DUMMYFUNCTION("""COMPUTED_VALUE"""),"Crompton Greves")</f>
        <v>Crompton Greves</v>
      </c>
      <c r="B96" s="16">
        <f>IFERROR(__xludf.DUMMYFUNCTION("""COMPUTED_VALUE"""),21451.6044776)</f>
        <v>21451.60448</v>
      </c>
      <c r="C96" s="14">
        <f>IFERROR(__xludf.DUMMYFUNCTION("""COMPUTED_VALUE"""),337.35)</f>
        <v>337.35</v>
      </c>
      <c r="D96" s="14">
        <f>IFERROR(__xludf.DUMMYFUNCTION("""COMPUTED_VALUE"""),36.77)</f>
        <v>36.77</v>
      </c>
      <c r="E96" s="14">
        <f>IFERROR(__xludf.DUMMYFUNCTION("""COMPUTED_VALUE"""),451.95)</f>
        <v>451.95</v>
      </c>
      <c r="F96" s="17">
        <f>IFERROR(__xludf.DUMMYFUNCTION("""COMPUTED_VALUE"""),0.2535678725522734)</f>
        <v>0.2535678726</v>
      </c>
      <c r="G96" s="14">
        <f>IFERROR(__xludf.DUMMYFUNCTION("""COMPUTED_VALUE"""),312.0)</f>
        <v>312</v>
      </c>
      <c r="H96" s="17">
        <f>IFERROR(__xludf.DUMMYFUNCTION("""COMPUTED_VALUE"""),0.08125000000000007)</f>
        <v>0.08125</v>
      </c>
      <c r="I96" s="14">
        <f>IFERROR(__xludf.DUMMYFUNCTION("""COMPUTED_VALUE"""),338.0)</f>
        <v>338</v>
      </c>
      <c r="J96" s="17">
        <f>IFERROR(__xludf.DUMMYFUNCTION("""COMPUTED_VALUE"""),-0.0019230769230768557)</f>
        <v>-0.001923076923</v>
      </c>
      <c r="K96" s="14" t="s">
        <v>287</v>
      </c>
      <c r="L96" s="14" t="s">
        <v>364</v>
      </c>
      <c r="M96" s="14" t="s">
        <v>235</v>
      </c>
      <c r="N96" s="14" t="s">
        <v>236</v>
      </c>
      <c r="O96" s="14" t="s">
        <v>237</v>
      </c>
      <c r="P96" s="14" t="s">
        <v>241</v>
      </c>
    </row>
    <row r="97">
      <c r="A97" s="14" t="str">
        <f>IFERROR(__xludf.DUMMYFUNCTION("""COMPUTED_VALUE"""),"Aarti Industries")</f>
        <v>Aarti Industries</v>
      </c>
      <c r="B97" s="16">
        <f>IFERROR(__xludf.DUMMYFUNCTION("""COMPUTED_VALUE"""),21081.42)</f>
        <v>21081.42</v>
      </c>
      <c r="C97" s="14">
        <f>IFERROR(__xludf.DUMMYFUNCTION("""COMPUTED_VALUE"""),581.8)</f>
        <v>581.8</v>
      </c>
      <c r="D97" s="14">
        <f>IFERROR(__xludf.DUMMYFUNCTION("""COMPUTED_VALUE"""),17.2)</f>
        <v>17.2</v>
      </c>
      <c r="E97" s="14">
        <f>IFERROR(__xludf.DUMMYFUNCTION("""COMPUTED_VALUE"""),1118.0)</f>
        <v>1118</v>
      </c>
      <c r="F97" s="17">
        <f>IFERROR(__xludf.DUMMYFUNCTION("""COMPUTED_VALUE"""),0.4796064400715564)</f>
        <v>0.4796064401</v>
      </c>
      <c r="G97" s="14">
        <f>IFERROR(__xludf.DUMMYFUNCTION("""COMPUTED_VALUE"""),579.0)</f>
        <v>579</v>
      </c>
      <c r="H97" s="17">
        <f>IFERROR(__xludf.DUMMYFUNCTION("""COMPUTED_VALUE"""),0.004835924006908385)</f>
        <v>0.004835924007</v>
      </c>
      <c r="I97" s="14">
        <f>IFERROR(__xludf.DUMMYFUNCTION("""COMPUTED_VALUE"""),592.4)</f>
        <v>592.4</v>
      </c>
      <c r="J97" s="17">
        <f>IFERROR(__xludf.DUMMYFUNCTION("""COMPUTED_VALUE"""),-0.01789331532748147)</f>
        <v>-0.01789331533</v>
      </c>
      <c r="K97" s="14" t="s">
        <v>270</v>
      </c>
      <c r="L97" s="14" t="s">
        <v>365</v>
      </c>
      <c r="M97" s="14" t="s">
        <v>235</v>
      </c>
      <c r="N97" s="14" t="s">
        <v>236</v>
      </c>
      <c r="O97" s="14" t="s">
        <v>237</v>
      </c>
      <c r="P97" s="14" t="s">
        <v>241</v>
      </c>
    </row>
    <row r="98">
      <c r="A98" s="14" t="str">
        <f>IFERROR(__xludf.DUMMYFUNCTION("""COMPUTED_VALUE"""),"Bayer Cropscience")</f>
        <v>Bayer Cropscience</v>
      </c>
      <c r="B98" s="16">
        <f>IFERROR(__xludf.DUMMYFUNCTION("""COMPUTED_VALUE"""),21050.0222911)</f>
        <v>21050.02229</v>
      </c>
      <c r="C98" s="14">
        <f>IFERROR(__xludf.DUMMYFUNCTION("""COMPUTED_VALUE"""),4669.05)</f>
        <v>4669.05</v>
      </c>
      <c r="D98" s="14">
        <f>IFERROR(__xludf.DUMMYFUNCTION("""COMPUTED_VALUE"""),29.86)</f>
        <v>29.86</v>
      </c>
      <c r="E98" s="14">
        <f>IFERROR(__xludf.DUMMYFUNCTION("""COMPUTED_VALUE"""),5667.75)</f>
        <v>5667.75</v>
      </c>
      <c r="F98" s="17">
        <f>IFERROR(__xludf.DUMMYFUNCTION("""COMPUTED_VALUE"""),0.17620748974460762)</f>
        <v>0.1762074897</v>
      </c>
      <c r="G98" s="14">
        <f>IFERROR(__xludf.DUMMYFUNCTION("""COMPUTED_VALUE"""),4218.05)</f>
        <v>4218.05</v>
      </c>
      <c r="H98" s="17">
        <f>IFERROR(__xludf.DUMMYFUNCTION("""COMPUTED_VALUE"""),0.10692144474342409)</f>
        <v>0.1069214447</v>
      </c>
      <c r="I98" s="14">
        <f>IFERROR(__xludf.DUMMYFUNCTION("""COMPUTED_VALUE"""),4647.55)</f>
        <v>4647.55</v>
      </c>
      <c r="J98" s="17">
        <f>IFERROR(__xludf.DUMMYFUNCTION("""COMPUTED_VALUE"""),0.004626093317984745)</f>
        <v>0.004626093318</v>
      </c>
      <c r="K98" s="14" t="s">
        <v>299</v>
      </c>
      <c r="L98" s="14" t="s">
        <v>366</v>
      </c>
      <c r="M98" s="14" t="s">
        <v>235</v>
      </c>
      <c r="N98" s="14" t="s">
        <v>236</v>
      </c>
      <c r="O98" s="14" t="s">
        <v>237</v>
      </c>
      <c r="P98" s="14" t="s">
        <v>241</v>
      </c>
    </row>
    <row r="99">
      <c r="A99" s="14" t="str">
        <f>IFERROR(__xludf.DUMMYFUNCTION("""COMPUTED_VALUE"""),"Vinita Organics")</f>
        <v>Vinita Organics</v>
      </c>
      <c r="B99" s="16">
        <f>IFERROR(__xludf.DUMMYFUNCTION("""COMPUTED_VALUE"""),20604.2)</f>
        <v>20604.2</v>
      </c>
      <c r="C99" s="14">
        <f>IFERROR(__xludf.DUMMYFUNCTION("""COMPUTED_VALUE"""),2000.0)</f>
        <v>2000</v>
      </c>
      <c r="D99" s="14">
        <f>IFERROR(__xludf.DUMMYFUNCTION("""COMPUTED_VALUE"""),51.19)</f>
        <v>51.19</v>
      </c>
      <c r="E99" s="14">
        <f>IFERROR(__xludf.DUMMYFUNCTION("""COMPUTED_VALUE"""),2377.0)</f>
        <v>2377</v>
      </c>
      <c r="F99" s="17">
        <f>IFERROR(__xludf.DUMMYFUNCTION("""COMPUTED_VALUE"""),0.15860328144720234)</f>
        <v>0.1586032814</v>
      </c>
      <c r="G99" s="14">
        <f>IFERROR(__xludf.DUMMYFUNCTION("""COMPUTED_VALUE"""),1674.2)</f>
        <v>1674.2</v>
      </c>
      <c r="H99" s="17">
        <f>IFERROR(__xludf.DUMMYFUNCTION("""COMPUTED_VALUE"""),0.19460040616413807)</f>
        <v>0.1946004062</v>
      </c>
      <c r="I99" s="14">
        <f>IFERROR(__xludf.DUMMYFUNCTION("""COMPUTED_VALUE"""),2014.85)</f>
        <v>2014.85</v>
      </c>
      <c r="J99" s="17">
        <f>IFERROR(__xludf.DUMMYFUNCTION("""COMPUTED_VALUE"""),-0.007370275702905878)</f>
        <v>-0.007370275703</v>
      </c>
      <c r="K99" s="14" t="s">
        <v>270</v>
      </c>
      <c r="L99" s="14" t="s">
        <v>367</v>
      </c>
      <c r="M99" s="14" t="s">
        <v>235</v>
      </c>
      <c r="N99" s="14" t="s">
        <v>236</v>
      </c>
      <c r="O99" s="14" t="s">
        <v>237</v>
      </c>
      <c r="P99" s="14" t="s">
        <v>241</v>
      </c>
    </row>
    <row r="100">
      <c r="A100" s="14" t="str">
        <f>IFERROR(__xludf.DUMMYFUNCTION("""COMPUTED_VALUE"""),"Bata India")</f>
        <v>Bata India</v>
      </c>
      <c r="B100" s="16">
        <f>IFERROR(__xludf.DUMMYFUNCTION("""COMPUTED_VALUE"""),20286.8999472)</f>
        <v>20286.89995</v>
      </c>
      <c r="C100" s="14">
        <f>IFERROR(__xludf.DUMMYFUNCTION("""COMPUTED_VALUE"""),1580.0)</f>
        <v>1580</v>
      </c>
      <c r="D100" s="14">
        <f>IFERROR(__xludf.DUMMYFUNCTION("""COMPUTED_VALUE"""),65.53)</f>
        <v>65.53</v>
      </c>
      <c r="E100" s="14">
        <f>IFERROR(__xludf.DUMMYFUNCTION("""COMPUTED_VALUE"""),2122.0)</f>
        <v>2122</v>
      </c>
      <c r="F100" s="17">
        <f>IFERROR(__xludf.DUMMYFUNCTION("""COMPUTED_VALUE"""),0.2554194156456173)</f>
        <v>0.2554194156</v>
      </c>
      <c r="G100" s="14">
        <f>IFERROR(__xludf.DUMMYFUNCTION("""COMPUTED_VALUE"""),1551.1)</f>
        <v>1551.1</v>
      </c>
      <c r="H100" s="17">
        <f>IFERROR(__xludf.DUMMYFUNCTION("""COMPUTED_VALUE"""),0.01863193862420224)</f>
        <v>0.01863193862</v>
      </c>
      <c r="I100" s="14">
        <f>IFERROR(__xludf.DUMMYFUNCTION("""COMPUTED_VALUE"""),1636.6)</f>
        <v>1636.6</v>
      </c>
      <c r="J100" s="17">
        <f>IFERROR(__xludf.DUMMYFUNCTION("""COMPUTED_VALUE"""),-0.03458389343761451)</f>
        <v>-0.03458389344</v>
      </c>
      <c r="K100" s="14" t="s">
        <v>368</v>
      </c>
      <c r="L100" s="14" t="s">
        <v>369</v>
      </c>
      <c r="M100" s="14" t="s">
        <v>235</v>
      </c>
      <c r="N100" s="14" t="s">
        <v>236</v>
      </c>
      <c r="O100" s="14" t="s">
        <v>237</v>
      </c>
      <c r="P100" s="14" t="s">
        <v>241</v>
      </c>
    </row>
    <row r="101">
      <c r="A101" s="14" t="str">
        <f>IFERROR(__xludf.DUMMYFUNCTION("""COMPUTED_VALUE"""),"Navin Flourine")</f>
        <v>Navin Flourine</v>
      </c>
      <c r="B101" s="16">
        <f>IFERROR(__xludf.DUMMYFUNCTION("""COMPUTED_VALUE"""),20217.231452)</f>
        <v>20217.23145</v>
      </c>
      <c r="C101" s="14">
        <f>IFERROR(__xludf.DUMMYFUNCTION("""COMPUTED_VALUE"""),4080.6)</f>
        <v>4080.6</v>
      </c>
      <c r="D101" s="14">
        <f>IFERROR(__xludf.DUMMYFUNCTION("""COMPUTED_VALUE"""),73.24)</f>
        <v>73.24</v>
      </c>
      <c r="E101" s="14">
        <f>IFERROR(__xludf.DUMMYFUNCTION("""COMPUTED_VALUE"""),4847.35)</f>
        <v>4847.35</v>
      </c>
      <c r="F101" s="17">
        <f>IFERROR(__xludf.DUMMYFUNCTION("""COMPUTED_VALUE"""),0.15817921132165005)</f>
        <v>0.1581792113</v>
      </c>
      <c r="G101" s="14">
        <f>IFERROR(__xludf.DUMMYFUNCTION("""COMPUTED_VALUE"""),3361.45)</f>
        <v>3361.45</v>
      </c>
      <c r="H101" s="17">
        <f>IFERROR(__xludf.DUMMYFUNCTION("""COMPUTED_VALUE"""),0.2139404126195541)</f>
        <v>0.2139404126</v>
      </c>
      <c r="I101" s="14">
        <f>IFERROR(__xludf.DUMMYFUNCTION("""COMPUTED_VALUE"""),4127.1)</f>
        <v>4127.1</v>
      </c>
      <c r="J101" s="17">
        <f>IFERROR(__xludf.DUMMYFUNCTION("""COMPUTED_VALUE"""),-0.011266991349858363)</f>
        <v>-0.01126699135</v>
      </c>
      <c r="K101" s="14" t="s">
        <v>270</v>
      </c>
      <c r="L101" s="14" t="s">
        <v>370</v>
      </c>
      <c r="M101" s="14" t="s">
        <v>235</v>
      </c>
      <c r="N101" s="14" t="s">
        <v>236</v>
      </c>
      <c r="O101" s="14" t="s">
        <v>237</v>
      </c>
      <c r="P101" s="14" t="s">
        <v>241</v>
      </c>
    </row>
    <row r="102">
      <c r="A102" s="14" t="str">
        <f>IFERROR(__xludf.DUMMYFUNCTION("""COMPUTED_VALUE"""),"Endurance Technology")</f>
        <v>Endurance Technology</v>
      </c>
      <c r="B102" s="16">
        <f>IFERROR(__xludf.DUMMYFUNCTION("""COMPUTED_VALUE"""),19679.44)</f>
        <v>19679.44</v>
      </c>
      <c r="C102" s="14">
        <f>IFERROR(__xludf.DUMMYFUNCTION("""COMPUTED_VALUE"""),1398.5)</f>
        <v>1398.5</v>
      </c>
      <c r="D102" s="14">
        <f>IFERROR(__xludf.DUMMYFUNCTION("""COMPUTED_VALUE"""),42.23)</f>
        <v>42.23</v>
      </c>
      <c r="E102" s="14">
        <f>IFERROR(__xludf.DUMMYFUNCTION("""COMPUTED_VALUE"""),1736.15)</f>
        <v>1736.15</v>
      </c>
      <c r="F102" s="17">
        <f>IFERROR(__xludf.DUMMYFUNCTION("""COMPUTED_VALUE"""),0.19448204360222335)</f>
        <v>0.1944820436</v>
      </c>
      <c r="G102" s="14">
        <f>IFERROR(__xludf.DUMMYFUNCTION("""COMPUTED_VALUE"""),1047.2)</f>
        <v>1047.2</v>
      </c>
      <c r="H102" s="17">
        <f>IFERROR(__xludf.DUMMYFUNCTION("""COMPUTED_VALUE"""),0.3354660045836516)</f>
        <v>0.3354660046</v>
      </c>
      <c r="I102" s="14">
        <f>IFERROR(__xludf.DUMMYFUNCTION("""COMPUTED_VALUE"""),1401.15)</f>
        <v>1401.15</v>
      </c>
      <c r="J102" s="17">
        <f>IFERROR(__xludf.DUMMYFUNCTION("""COMPUTED_VALUE"""),-0.001891303572065868)</f>
        <v>-0.001891303572</v>
      </c>
      <c r="K102" s="14" t="s">
        <v>301</v>
      </c>
      <c r="L102" s="14" t="s">
        <v>371</v>
      </c>
      <c r="M102" s="14" t="s">
        <v>235</v>
      </c>
      <c r="N102" s="14" t="s">
        <v>236</v>
      </c>
      <c r="O102" s="14" t="s">
        <v>237</v>
      </c>
      <c r="P102" s="14" t="s">
        <v>241</v>
      </c>
    </row>
    <row r="103">
      <c r="A103" s="14" t="str">
        <f>IFERROR(__xludf.DUMMYFUNCTION("""COMPUTED_VALUE"""),"Pfizer")</f>
        <v>Pfizer</v>
      </c>
      <c r="B103" s="16">
        <f>IFERROR(__xludf.DUMMYFUNCTION("""COMPUTED_VALUE"""),19278.55)</f>
        <v>19278.55</v>
      </c>
      <c r="C103" s="14">
        <f>IFERROR(__xludf.DUMMYFUNCTION("""COMPUTED_VALUE"""),4224.9)</f>
        <v>4224.9</v>
      </c>
      <c r="D103" s="14">
        <f>IFERROR(__xludf.DUMMYFUNCTION("""COMPUTED_VALUE"""),31.52)</f>
        <v>31.52</v>
      </c>
      <c r="E103" s="14">
        <f>IFERROR(__xludf.DUMMYFUNCTION("""COMPUTED_VALUE"""),4946.1)</f>
        <v>4946.1</v>
      </c>
      <c r="F103" s="17">
        <f>IFERROR(__xludf.DUMMYFUNCTION("""COMPUTED_VALUE"""),0.14581185176199443)</f>
        <v>0.1458118518</v>
      </c>
      <c r="G103" s="14">
        <f>IFERROR(__xludf.DUMMYFUNCTION("""COMPUTED_VALUE"""),4056.0)</f>
        <v>4056</v>
      </c>
      <c r="H103" s="17">
        <f>IFERROR(__xludf.DUMMYFUNCTION("""COMPUTED_VALUE"""),0.04164201183431944)</f>
        <v>0.04164201183</v>
      </c>
      <c r="I103" s="14">
        <f>IFERROR(__xludf.DUMMYFUNCTION("""COMPUTED_VALUE"""),4254.0)</f>
        <v>4254</v>
      </c>
      <c r="J103" s="17">
        <f>IFERROR(__xludf.DUMMYFUNCTION("""COMPUTED_VALUE"""),-0.006840620592383724)</f>
        <v>-0.006840620592</v>
      </c>
      <c r="K103" s="14" t="s">
        <v>259</v>
      </c>
      <c r="L103" s="14" t="s">
        <v>372</v>
      </c>
      <c r="M103" s="14" t="s">
        <v>235</v>
      </c>
      <c r="N103" s="14" t="s">
        <v>236</v>
      </c>
      <c r="O103" s="14" t="s">
        <v>237</v>
      </c>
      <c r="P103" s="14" t="s">
        <v>241</v>
      </c>
    </row>
    <row r="104">
      <c r="A104" s="14" t="str">
        <f>IFERROR(__xludf.DUMMYFUNCTION("""COMPUTED_VALUE"""),"Lauras Lab")</f>
        <v>Lauras Lab</v>
      </c>
      <c r="B104" s="16">
        <f>IFERROR(__xludf.DUMMYFUNCTION("""COMPUTED_VALUE"""),19213.8702946)</f>
        <v>19213.87029</v>
      </c>
      <c r="C104" s="14">
        <f>IFERROR(__xludf.DUMMYFUNCTION("""COMPUTED_VALUE"""),357.4)</f>
        <v>357.4</v>
      </c>
      <c r="D104" s="14">
        <f>IFERROR(__xludf.DUMMYFUNCTION("""COMPUTED_VALUE"""),22.19)</f>
        <v>22.19</v>
      </c>
      <c r="E104" s="14">
        <f>IFERROR(__xludf.DUMMYFUNCTION("""COMPUTED_VALUE"""),626.3)</f>
        <v>626.3</v>
      </c>
      <c r="F104" s="17">
        <f>IFERROR(__xludf.DUMMYFUNCTION("""COMPUTED_VALUE"""),0.4293469583266805)</f>
        <v>0.4293469583</v>
      </c>
      <c r="G104" s="14">
        <f>IFERROR(__xludf.DUMMYFUNCTION("""COMPUTED_VALUE"""),354.0)</f>
        <v>354</v>
      </c>
      <c r="H104" s="17">
        <f>IFERROR(__xludf.DUMMYFUNCTION("""COMPUTED_VALUE"""),0.009604519774011236)</f>
        <v>0.009604519774</v>
      </c>
      <c r="I104" s="14">
        <f>IFERROR(__xludf.DUMMYFUNCTION("""COMPUTED_VALUE"""),360.4)</f>
        <v>360.4</v>
      </c>
      <c r="J104" s="17">
        <f>IFERROR(__xludf.DUMMYFUNCTION("""COMPUTED_VALUE"""),-0.008324084350721421)</f>
        <v>-0.008324084351</v>
      </c>
      <c r="K104" s="14" t="s">
        <v>259</v>
      </c>
      <c r="L104" s="14" t="s">
        <v>373</v>
      </c>
      <c r="M104" s="14" t="s">
        <v>235</v>
      </c>
      <c r="N104" s="14" t="s">
        <v>236</v>
      </c>
      <c r="O104" s="14" t="s">
        <v>237</v>
      </c>
      <c r="P104" s="14" t="s">
        <v>241</v>
      </c>
    </row>
    <row r="105">
      <c r="A105" s="14" t="str">
        <f>IFERROR(__xludf.DUMMYFUNCTION("""COMPUTED_VALUE"""),"KPIT")</f>
        <v>KPIT</v>
      </c>
      <c r="B105" s="16">
        <f>IFERROR(__xludf.DUMMYFUNCTION("""COMPUTED_VALUE"""),18827.9516699)</f>
        <v>18827.95167</v>
      </c>
      <c r="C105" s="14">
        <f>IFERROR(__xludf.DUMMYFUNCTION("""COMPUTED_VALUE"""),696.3)</f>
        <v>696.3</v>
      </c>
      <c r="D105" s="14">
        <f>IFERROR(__xludf.DUMMYFUNCTION("""COMPUTED_VALUE"""),59.82)</f>
        <v>59.82</v>
      </c>
      <c r="E105" s="14">
        <f>IFERROR(__xludf.DUMMYFUNCTION("""COMPUTED_VALUE"""),764.25)</f>
        <v>764.25</v>
      </c>
      <c r="F105" s="17">
        <f>IFERROR(__xludf.DUMMYFUNCTION("""COMPUTED_VALUE"""),0.08891069676153097)</f>
        <v>0.08891069676</v>
      </c>
      <c r="G105" s="14">
        <f>IFERROR(__xludf.DUMMYFUNCTION("""COMPUTED_VALUE"""),440.0)</f>
        <v>440</v>
      </c>
      <c r="H105" s="17">
        <f>IFERROR(__xludf.DUMMYFUNCTION("""COMPUTED_VALUE"""),0.5824999999999999)</f>
        <v>0.5825</v>
      </c>
      <c r="I105" s="14">
        <f>IFERROR(__xludf.DUMMYFUNCTION("""COMPUTED_VALUE"""),692.45)</f>
        <v>692.45</v>
      </c>
      <c r="J105" s="17">
        <f>IFERROR(__xludf.DUMMYFUNCTION("""COMPUTED_VALUE"""),0.005559968228752847)</f>
        <v>0.005559968229</v>
      </c>
      <c r="K105" s="14" t="s">
        <v>233</v>
      </c>
      <c r="L105" s="14" t="s">
        <v>374</v>
      </c>
      <c r="M105" s="14" t="s">
        <v>235</v>
      </c>
      <c r="N105" s="14" t="s">
        <v>236</v>
      </c>
      <c r="O105" s="14" t="s">
        <v>237</v>
      </c>
      <c r="P105" s="14" t="s">
        <v>241</v>
      </c>
    </row>
    <row r="106">
      <c r="A106" s="14" t="str">
        <f>IFERROR(__xludf.DUMMYFUNCTION("""COMPUTED_VALUE"""),"Whirlpool")</f>
        <v>Whirlpool</v>
      </c>
      <c r="B106" s="16">
        <f>IFERROR(__xludf.DUMMYFUNCTION("""COMPUTED_VALUE"""),18318.3733666)</f>
        <v>18318.37337</v>
      </c>
      <c r="C106" s="14">
        <f>IFERROR(__xludf.DUMMYFUNCTION("""COMPUTED_VALUE"""),1441.55)</f>
        <v>1441.55</v>
      </c>
      <c r="D106" s="14">
        <f>IFERROR(__xludf.DUMMYFUNCTION("""COMPUTED_VALUE"""),70.52)</f>
        <v>70.52</v>
      </c>
      <c r="E106" s="14">
        <f>IFERROR(__xludf.DUMMYFUNCTION("""COMPUTED_VALUE"""),1917.0)</f>
        <v>1917</v>
      </c>
      <c r="F106" s="17">
        <f>IFERROR(__xludf.DUMMYFUNCTION("""COMPUTED_VALUE"""),0.24801773604590507)</f>
        <v>0.248017736</v>
      </c>
      <c r="G106" s="14">
        <f>IFERROR(__xludf.DUMMYFUNCTION("""COMPUTED_VALUE"""),1365.1)</f>
        <v>1365.1</v>
      </c>
      <c r="H106" s="17">
        <f>IFERROR(__xludf.DUMMYFUNCTION("""COMPUTED_VALUE"""),0.05600322320709109)</f>
        <v>0.05600322321</v>
      </c>
      <c r="I106" s="14">
        <f>IFERROR(__xludf.DUMMYFUNCTION("""COMPUTED_VALUE"""),1480.7)</f>
        <v>1480.7</v>
      </c>
      <c r="J106" s="17">
        <f>IFERROR(__xludf.DUMMYFUNCTION("""COMPUTED_VALUE"""),-0.026440197204025184)</f>
        <v>-0.0264401972</v>
      </c>
      <c r="K106" s="14" t="s">
        <v>287</v>
      </c>
      <c r="L106" s="14" t="s">
        <v>375</v>
      </c>
      <c r="M106" s="14" t="s">
        <v>235</v>
      </c>
      <c r="N106" s="14" t="s">
        <v>236</v>
      </c>
      <c r="O106" s="14" t="s">
        <v>237</v>
      </c>
      <c r="P106" s="14" t="s">
        <v>241</v>
      </c>
    </row>
    <row r="107">
      <c r="A107" s="14" t="str">
        <f>IFERROR(__xludf.DUMMYFUNCTION("""COMPUTED_VALUE"""),"Dr Lal Path Lab")</f>
        <v>Dr Lal Path Lab</v>
      </c>
      <c r="B107" s="16">
        <f>IFERROR(__xludf.DUMMYFUNCTION("""COMPUTED_VALUE"""),17986.0053514)</f>
        <v>17986.00535</v>
      </c>
      <c r="C107" s="14">
        <f>IFERROR(__xludf.DUMMYFUNCTION("""COMPUTED_VALUE"""),2174.05)</f>
        <v>2174.05</v>
      </c>
      <c r="D107" s="14">
        <f>IFERROR(__xludf.DUMMYFUNCTION("""COMPUTED_VALUE"""),72.77)</f>
        <v>72.77</v>
      </c>
      <c r="E107" s="14">
        <f>IFERROR(__xludf.DUMMYFUNCTION("""COMPUTED_VALUE"""),3769.95)</f>
        <v>3769.95</v>
      </c>
      <c r="F107" s="17">
        <f>IFERROR(__xludf.DUMMYFUNCTION("""COMPUTED_VALUE"""),0.423321264207748)</f>
        <v>0.4233212642</v>
      </c>
      <c r="G107" s="14">
        <f>IFERROR(__xludf.DUMMYFUNCTION("""COMPUTED_VALUE"""),1805.55)</f>
        <v>1805.55</v>
      </c>
      <c r="H107" s="17">
        <f>IFERROR(__xludf.DUMMYFUNCTION("""COMPUTED_VALUE"""),0.20409293567057143)</f>
        <v>0.2040929357</v>
      </c>
      <c r="I107" s="14">
        <f>IFERROR(__xludf.DUMMYFUNCTION("""COMPUTED_VALUE"""),2171.85)</f>
        <v>2171.85</v>
      </c>
      <c r="J107" s="17">
        <f>IFERROR(__xludf.DUMMYFUNCTION("""COMPUTED_VALUE"""),0.0010129613002740857)</f>
        <v>0.0010129613</v>
      </c>
      <c r="K107" s="14" t="s">
        <v>376</v>
      </c>
      <c r="L107" s="14" t="s">
        <v>377</v>
      </c>
      <c r="M107" s="14" t="s">
        <v>235</v>
      </c>
      <c r="N107" s="14" t="s">
        <v>236</v>
      </c>
      <c r="O107" s="14" t="s">
        <v>237</v>
      </c>
      <c r="P107" s="14" t="s">
        <v>241</v>
      </c>
    </row>
    <row r="108">
      <c r="A108" s="14" t="str">
        <f>IFERROR(__xludf.DUMMYFUNCTION("""COMPUTED_VALUE"""),"Kajaria Ceramic")</f>
        <v>Kajaria Ceramic</v>
      </c>
      <c r="B108" s="16">
        <f>IFERROR(__xludf.DUMMYFUNCTION("""COMPUTED_VALUE"""),17802.1935)</f>
        <v>17802.1935</v>
      </c>
      <c r="C108" s="14">
        <f>IFERROR(__xludf.DUMMYFUNCTION("""COMPUTED_VALUE"""),1118.0)</f>
        <v>1118</v>
      </c>
      <c r="D108" s="14">
        <f>IFERROR(__xludf.DUMMYFUNCTION("""COMPUTED_VALUE"""),46.87)</f>
        <v>46.87</v>
      </c>
      <c r="E108" s="14">
        <f>IFERROR(__xludf.DUMMYFUNCTION("""COMPUTED_VALUE"""),1374.55)</f>
        <v>1374.55</v>
      </c>
      <c r="F108" s="17">
        <f>IFERROR(__xludf.DUMMYFUNCTION("""COMPUTED_VALUE"""),0.186642901313157)</f>
        <v>0.1866429013</v>
      </c>
      <c r="G108" s="14">
        <f>IFERROR(__xludf.DUMMYFUNCTION("""COMPUTED_VALUE"""),885.3)</f>
        <v>885.3</v>
      </c>
      <c r="H108" s="17">
        <f>IFERROR(__xludf.DUMMYFUNCTION("""COMPUTED_VALUE"""),0.262848751835536)</f>
        <v>0.2628487518</v>
      </c>
      <c r="I108" s="14">
        <f>IFERROR(__xludf.DUMMYFUNCTION("""COMPUTED_VALUE"""),1112.5)</f>
        <v>1112.5</v>
      </c>
      <c r="J108" s="17">
        <f>IFERROR(__xludf.DUMMYFUNCTION("""COMPUTED_VALUE"""),0.004943820224719101)</f>
        <v>0.004943820225</v>
      </c>
      <c r="K108" s="14" t="s">
        <v>378</v>
      </c>
      <c r="L108" s="14" t="s">
        <v>379</v>
      </c>
      <c r="M108" s="14" t="s">
        <v>235</v>
      </c>
      <c r="N108" s="14" t="s">
        <v>236</v>
      </c>
      <c r="O108" s="14" t="s">
        <v>237</v>
      </c>
      <c r="P108" s="14" t="s">
        <v>241</v>
      </c>
    </row>
    <row r="109">
      <c r="A109" s="14" t="str">
        <f>IFERROR(__xludf.DUMMYFUNCTION("""COMPUTED_VALUE"""),"Fine Organics")</f>
        <v>Fine Organics</v>
      </c>
      <c r="B109" s="16">
        <f>IFERROR(__xludf.DUMMYFUNCTION("""COMPUTED_VALUE"""),17277.2)</f>
        <v>17277.2</v>
      </c>
      <c r="C109" s="14">
        <f>IFERROR(__xludf.DUMMYFUNCTION("""COMPUTED_VALUE"""),5630.0)</f>
        <v>5630</v>
      </c>
      <c r="D109" s="14">
        <f>IFERROR(__xludf.DUMMYFUNCTION("""COMPUTED_VALUE"""),32.19)</f>
        <v>32.19</v>
      </c>
      <c r="E109" s="14">
        <f>IFERROR(__xludf.DUMMYFUNCTION("""COMPUTED_VALUE"""),7328.75)</f>
        <v>7328.75</v>
      </c>
      <c r="F109" s="17">
        <f>IFERROR(__xludf.DUMMYFUNCTION("""COMPUTED_VALUE"""),0.23179259764625618)</f>
        <v>0.2317925976</v>
      </c>
      <c r="G109" s="14">
        <f>IFERROR(__xludf.DUMMYFUNCTION("""COMPUTED_VALUE"""),3457.1)</f>
        <v>3457.1</v>
      </c>
      <c r="H109" s="17">
        <f>IFERROR(__xludf.DUMMYFUNCTION("""COMPUTED_VALUE"""),0.6285325851146916)</f>
        <v>0.6285325851</v>
      </c>
      <c r="I109" s="14">
        <f>IFERROR(__xludf.DUMMYFUNCTION("""COMPUTED_VALUE"""),5672.25)</f>
        <v>5672.25</v>
      </c>
      <c r="J109" s="17">
        <f>IFERROR(__xludf.DUMMYFUNCTION("""COMPUTED_VALUE"""),-0.0074485433469963416)</f>
        <v>-0.007448543347</v>
      </c>
      <c r="K109" s="14" t="s">
        <v>270</v>
      </c>
      <c r="L109" s="14" t="s">
        <v>380</v>
      </c>
      <c r="M109" s="14" t="s">
        <v>235</v>
      </c>
      <c r="N109" s="14" t="s">
        <v>236</v>
      </c>
      <c r="O109" s="14" t="s">
        <v>237</v>
      </c>
      <c r="P109" s="14" t="s">
        <v>241</v>
      </c>
    </row>
    <row r="110">
      <c r="A110" s="14" t="str">
        <f>IFERROR(__xludf.DUMMYFUNCTION("""COMPUTED_VALUE"""),"Trident")</f>
        <v>Trident</v>
      </c>
      <c r="B110" s="16">
        <f>IFERROR(__xludf.DUMMYFUNCTION("""COMPUTED_VALUE"""),16896.24225)</f>
        <v>16896.24225</v>
      </c>
      <c r="C110" s="14">
        <f>IFERROR(__xludf.DUMMYFUNCTION("""COMPUTED_VALUE"""),33.75)</f>
        <v>33.75</v>
      </c>
      <c r="D110" s="14">
        <f>IFERROR(__xludf.DUMMYFUNCTION("""COMPUTED_VALUE"""),30.44)</f>
        <v>30.44</v>
      </c>
      <c r="E110" s="14">
        <f>IFERROR(__xludf.DUMMYFUNCTION("""COMPUTED_VALUE"""),70.9)</f>
        <v>70.9</v>
      </c>
      <c r="F110" s="17">
        <f>IFERROR(__xludf.DUMMYFUNCTION("""COMPUTED_VALUE"""),0.5239774330042314)</f>
        <v>0.523977433</v>
      </c>
      <c r="G110" s="14">
        <f>IFERROR(__xludf.DUMMYFUNCTION("""COMPUTED_VALUE"""),30.45)</f>
        <v>30.45</v>
      </c>
      <c r="H110" s="17">
        <f>IFERROR(__xludf.DUMMYFUNCTION("""COMPUTED_VALUE"""),0.10837438423645322)</f>
        <v>0.1083743842</v>
      </c>
      <c r="I110" s="14">
        <f>IFERROR(__xludf.DUMMYFUNCTION("""COMPUTED_VALUE"""),33.65)</f>
        <v>33.65</v>
      </c>
      <c r="J110" s="17">
        <f>IFERROR(__xludf.DUMMYFUNCTION("""COMPUTED_VALUE"""),0.00297176820208028)</f>
        <v>0.002971768202</v>
      </c>
      <c r="K110" s="14" t="s">
        <v>311</v>
      </c>
      <c r="L110" s="14" t="s">
        <v>381</v>
      </c>
      <c r="M110" s="14" t="s">
        <v>235</v>
      </c>
      <c r="N110" s="14" t="s">
        <v>236</v>
      </c>
      <c r="O110" s="14" t="s">
        <v>237</v>
      </c>
      <c r="P110" s="14" t="s">
        <v>241</v>
      </c>
    </row>
    <row r="111">
      <c r="A111" s="14" t="str">
        <f>IFERROR(__xludf.DUMMYFUNCTION("""COMPUTED_VALUE"""),"Nippon AMC")</f>
        <v>Nippon AMC</v>
      </c>
      <c r="B111" s="16">
        <f>IFERROR(__xludf.DUMMYFUNCTION("""COMPUTED_VALUE"""),15766.33509)</f>
        <v>15766.33509</v>
      </c>
      <c r="C111" s="14">
        <f>IFERROR(__xludf.DUMMYFUNCTION("""COMPUTED_VALUE"""),252.6)</f>
        <v>252.6</v>
      </c>
      <c r="D111" s="14">
        <f>IFERROR(__xludf.DUMMYFUNCTION("""COMPUTED_VALUE"""),23.69)</f>
        <v>23.69</v>
      </c>
      <c r="E111" s="14">
        <f>IFERROR(__xludf.DUMMYFUNCTION("""COMPUTED_VALUE"""),375.2)</f>
        <v>375.2</v>
      </c>
      <c r="F111" s="17">
        <f>IFERROR(__xludf.DUMMYFUNCTION("""COMPUTED_VALUE"""),0.3267590618336887)</f>
        <v>0.3267590618</v>
      </c>
      <c r="G111" s="14">
        <f>IFERROR(__xludf.DUMMYFUNCTION("""COMPUTED_VALUE"""),241.05)</f>
        <v>241.05</v>
      </c>
      <c r="H111" s="17">
        <f>IFERROR(__xludf.DUMMYFUNCTION("""COMPUTED_VALUE"""),0.04791537025513372)</f>
        <v>0.04791537026</v>
      </c>
      <c r="I111" s="14">
        <f>IFERROR(__xludf.DUMMYFUNCTION("""COMPUTED_VALUE"""),251.9)</f>
        <v>251.9</v>
      </c>
      <c r="J111" s="17">
        <f>IFERROR(__xludf.DUMMYFUNCTION("""COMPUTED_VALUE"""),0.002778880508138105)</f>
        <v>0.002778880508</v>
      </c>
      <c r="K111" s="14" t="s">
        <v>309</v>
      </c>
      <c r="L111" s="14" t="s">
        <v>382</v>
      </c>
      <c r="M111" s="14" t="s">
        <v>235</v>
      </c>
      <c r="N111" s="14" t="s">
        <v>236</v>
      </c>
      <c r="O111" s="14" t="s">
        <v>237</v>
      </c>
      <c r="P111" s="14" t="s">
        <v>241</v>
      </c>
    </row>
    <row r="112">
      <c r="A112" s="14" t="str">
        <f>IFERROR(__xludf.DUMMYFUNCTION("""COMPUTED_VALUE"""),"Exide Battery")</f>
        <v>Exide Battery</v>
      </c>
      <c r="B112" s="16">
        <f>IFERROR(__xludf.DUMMYFUNCTION("""COMPUTED_VALUE"""),15554.9906858)</f>
        <v>15554.99069</v>
      </c>
      <c r="C112" s="14">
        <f>IFERROR(__xludf.DUMMYFUNCTION("""COMPUTED_VALUE"""),182.85)</f>
        <v>182.85</v>
      </c>
      <c r="D112" s="14">
        <f>IFERROR(__xludf.DUMMYFUNCTION("""COMPUTED_VALUE"""),3.39)</f>
        <v>3.39</v>
      </c>
      <c r="E112" s="14">
        <f>IFERROR(__xludf.DUMMYFUNCTION("""COMPUTED_VALUE"""),194.2)</f>
        <v>194.2</v>
      </c>
      <c r="F112" s="17">
        <f>IFERROR(__xludf.DUMMYFUNCTION("""COMPUTED_VALUE"""),0.05844490216271882)</f>
        <v>0.05844490216</v>
      </c>
      <c r="G112" s="14">
        <f>IFERROR(__xludf.DUMMYFUNCTION("""COMPUTED_VALUE"""),130.25)</f>
        <v>130.25</v>
      </c>
      <c r="H112" s="17">
        <f>IFERROR(__xludf.DUMMYFUNCTION("""COMPUTED_VALUE"""),0.4038387715930902)</f>
        <v>0.4038387716</v>
      </c>
      <c r="I112" s="14">
        <f>IFERROR(__xludf.DUMMYFUNCTION("""COMPUTED_VALUE"""),182.65)</f>
        <v>182.65</v>
      </c>
      <c r="J112" s="17">
        <f>IFERROR(__xludf.DUMMYFUNCTION("""COMPUTED_VALUE"""),0.001094990418833773)</f>
        <v>0.001094990419</v>
      </c>
      <c r="K112" s="14" t="s">
        <v>301</v>
      </c>
      <c r="L112" s="14" t="s">
        <v>383</v>
      </c>
      <c r="M112" s="14" t="s">
        <v>235</v>
      </c>
      <c r="N112" s="14" t="s">
        <v>236</v>
      </c>
      <c r="O112" s="14" t="s">
        <v>237</v>
      </c>
      <c r="P112" s="14" t="s">
        <v>241</v>
      </c>
    </row>
    <row r="113">
      <c r="A113" s="14" t="str">
        <f>IFERROR(__xludf.DUMMYFUNCTION("""COMPUTED_VALUE"""),"clean science")</f>
        <v>clean science</v>
      </c>
      <c r="B113" s="16">
        <f>IFERROR(__xludf.DUMMYFUNCTION("""COMPUTED_VALUE"""),15538.83)</f>
        <v>15538.83</v>
      </c>
      <c r="C113" s="14">
        <f>IFERROR(__xludf.DUMMYFUNCTION("""COMPUTED_VALUE"""),1463.5)</f>
        <v>1463.5</v>
      </c>
      <c r="D113" s="14">
        <f>IFERROR(__xludf.DUMMYFUNCTION("""COMPUTED_VALUE"""),61.9)</f>
        <v>61.9</v>
      </c>
      <c r="E113" s="14">
        <f>IFERROR(__xludf.DUMMYFUNCTION("""COMPUTED_VALUE"""),2624.0)</f>
        <v>2624</v>
      </c>
      <c r="F113" s="17">
        <f>IFERROR(__xludf.DUMMYFUNCTION("""COMPUTED_VALUE"""),0.4422637195121951)</f>
        <v>0.4422637195</v>
      </c>
      <c r="G113" s="14">
        <f>IFERROR(__xludf.DUMMYFUNCTION("""COMPUTED_VALUE"""),1410.1)</f>
        <v>1410.1</v>
      </c>
      <c r="H113" s="17">
        <f>IFERROR(__xludf.DUMMYFUNCTION("""COMPUTED_VALUE"""),0.037869654634423155)</f>
        <v>0.03786965463</v>
      </c>
      <c r="I113" s="14">
        <f>IFERROR(__xludf.DUMMYFUNCTION("""COMPUTED_VALUE"""),1471.05)</f>
        <v>1471.05</v>
      </c>
      <c r="J113" s="17">
        <f>IFERROR(__xludf.DUMMYFUNCTION("""COMPUTED_VALUE"""),-0.005132388430032939)</f>
        <v>-0.00513238843</v>
      </c>
      <c r="K113" s="14" t="s">
        <v>270</v>
      </c>
      <c r="L113" s="14" t="s">
        <v>384</v>
      </c>
      <c r="M113" s="14" t="s">
        <v>235</v>
      </c>
      <c r="N113" s="14" t="s">
        <v>236</v>
      </c>
      <c r="O113" s="14" t="s">
        <v>237</v>
      </c>
      <c r="P113" s="14" t="s">
        <v>241</v>
      </c>
    </row>
    <row r="114">
      <c r="A114" s="14" t="str">
        <f>IFERROR(__xludf.DUMMYFUNCTION("""COMPUTED_VALUE"""),"Alkyl Amine")</f>
        <v>Alkyl Amine</v>
      </c>
      <c r="B114" s="16">
        <f>IFERROR(__xludf.DUMMYFUNCTION("""COMPUTED_VALUE"""),13811.7)</f>
        <v>13811.7</v>
      </c>
      <c r="C114" s="14">
        <f>IFERROR(__xludf.DUMMYFUNCTION("""COMPUTED_VALUE"""),2714.9)</f>
        <v>2714.9</v>
      </c>
      <c r="D114" s="14">
        <f>IFERROR(__xludf.DUMMYFUNCTION("""COMPUTED_VALUE"""),61.31)</f>
        <v>61.31</v>
      </c>
      <c r="E114" s="14">
        <f>IFERROR(__xludf.DUMMYFUNCTION("""COMPUTED_VALUE"""),3797.6)</f>
        <v>3797.6</v>
      </c>
      <c r="F114" s="17">
        <f>IFERROR(__xludf.DUMMYFUNCTION("""COMPUTED_VALUE"""),0.28510111649462816)</f>
        <v>0.2851011165</v>
      </c>
      <c r="G114" s="14">
        <f>IFERROR(__xludf.DUMMYFUNCTION("""COMPUTED_VALUE"""),2506.2)</f>
        <v>2506.2</v>
      </c>
      <c r="H114" s="17">
        <f>IFERROR(__xludf.DUMMYFUNCTION("""COMPUTED_VALUE"""),0.08327348176522237)</f>
        <v>0.08327348177</v>
      </c>
      <c r="I114" s="14">
        <f>IFERROR(__xludf.DUMMYFUNCTION("""COMPUTED_VALUE"""),2750.75)</f>
        <v>2750.75</v>
      </c>
      <c r="J114" s="17">
        <f>IFERROR(__xludf.DUMMYFUNCTION("""COMPUTED_VALUE"""),-0.013032809233845281)</f>
        <v>-0.01303280923</v>
      </c>
      <c r="K114" s="14" t="s">
        <v>270</v>
      </c>
      <c r="L114" s="14" t="s">
        <v>385</v>
      </c>
      <c r="M114" s="14" t="s">
        <v>235</v>
      </c>
      <c r="N114" s="14" t="s">
        <v>236</v>
      </c>
      <c r="O114" s="14" t="s">
        <v>237</v>
      </c>
      <c r="P114" s="14" t="s">
        <v>241</v>
      </c>
    </row>
    <row r="115">
      <c r="A115" s="14" t="str">
        <f>IFERROR(__xludf.DUMMYFUNCTION("""COMPUTED_VALUE"""),"Indiamart Intermesh")</f>
        <v>Indiamart Intermesh</v>
      </c>
      <c r="B115" s="16">
        <f>IFERROR(__xludf.DUMMYFUNCTION("""COMPUTED_VALUE"""),13709.808)</f>
        <v>13709.808</v>
      </c>
      <c r="C115" s="14">
        <f>IFERROR(__xludf.DUMMYFUNCTION("""COMPUTED_VALUE"""),4477.0)</f>
        <v>4477</v>
      </c>
      <c r="D115" s="14">
        <f>IFERROR(__xludf.DUMMYFUNCTION("""COMPUTED_VALUE"""),56.62)</f>
        <v>56.62</v>
      </c>
      <c r="E115" s="14">
        <f>IFERROR(__xludf.DUMMYFUNCTION("""COMPUTED_VALUE"""),6898.75)</f>
        <v>6898.75</v>
      </c>
      <c r="F115" s="17">
        <f>IFERROR(__xludf.DUMMYFUNCTION("""COMPUTED_VALUE"""),0.3510418554085885)</f>
        <v>0.3510418554</v>
      </c>
      <c r="G115" s="14">
        <f>IFERROR(__xludf.DUMMYFUNCTION("""COMPUTED_VALUE"""),3676.0)</f>
        <v>3676</v>
      </c>
      <c r="H115" s="17">
        <f>IFERROR(__xludf.DUMMYFUNCTION("""COMPUTED_VALUE"""),0.2178998911860718)</f>
        <v>0.2178998912</v>
      </c>
      <c r="I115" s="14">
        <f>IFERROR(__xludf.DUMMYFUNCTION("""COMPUTED_VALUE"""),4446.55)</f>
        <v>4446.55</v>
      </c>
      <c r="J115" s="17">
        <f>IFERROR(__xludf.DUMMYFUNCTION("""COMPUTED_VALUE"""),0.006848005757272451)</f>
        <v>0.006848005757</v>
      </c>
      <c r="K115" s="14" t="s">
        <v>305</v>
      </c>
      <c r="L115" s="14" t="s">
        <v>386</v>
      </c>
      <c r="M115" s="14" t="s">
        <v>235</v>
      </c>
      <c r="N115" s="14" t="s">
        <v>236</v>
      </c>
      <c r="O115" s="14" t="s">
        <v>237</v>
      </c>
      <c r="P115" s="14" t="s">
        <v>241</v>
      </c>
    </row>
    <row r="116">
      <c r="A116" s="14" t="str">
        <f>IFERROR(__xludf.DUMMYFUNCTION("""COMPUTED_VALUE"""),"Affle India")</f>
        <v>Affle India</v>
      </c>
      <c r="B116" s="16">
        <f>IFERROR(__xludf.DUMMYFUNCTION("""COMPUTED_VALUE"""),13659.0)</f>
        <v>13659</v>
      </c>
      <c r="C116" s="14">
        <f>IFERROR(__xludf.DUMMYFUNCTION("""COMPUTED_VALUE"""),1024.0)</f>
        <v>1024</v>
      </c>
      <c r="D116" s="14">
        <f>IFERROR(__xludf.DUMMYFUNCTION("""COMPUTED_VALUE"""),55.83)</f>
        <v>55.83</v>
      </c>
      <c r="E116" s="14">
        <f>IFERROR(__xludf.DUMMYFUNCTION("""COMPUTED_VALUE"""),1511.0)</f>
        <v>1511</v>
      </c>
      <c r="F116" s="17">
        <f>IFERROR(__xludf.DUMMYFUNCTION("""COMPUTED_VALUE"""),0.32230311052283256)</f>
        <v>0.3223031105</v>
      </c>
      <c r="G116" s="14">
        <f>IFERROR(__xludf.DUMMYFUNCTION("""COMPUTED_VALUE"""),871.55)</f>
        <v>871.55</v>
      </c>
      <c r="H116" s="17">
        <f>IFERROR(__xludf.DUMMYFUNCTION("""COMPUTED_VALUE"""),0.17491824909643744)</f>
        <v>0.1749182491</v>
      </c>
      <c r="I116" s="14">
        <f>IFERROR(__xludf.DUMMYFUNCTION("""COMPUTED_VALUE"""),1035.55)</f>
        <v>1035.55</v>
      </c>
      <c r="J116" s="17">
        <f>IFERROR(__xludf.DUMMYFUNCTION("""COMPUTED_VALUE"""),-0.011153493312732321)</f>
        <v>-0.01115349331</v>
      </c>
      <c r="K116" s="14" t="s">
        <v>305</v>
      </c>
      <c r="L116" s="14" t="s">
        <v>387</v>
      </c>
      <c r="M116" s="14" t="s">
        <v>235</v>
      </c>
      <c r="N116" s="14" t="s">
        <v>236</v>
      </c>
      <c r="O116" s="14" t="s">
        <v>237</v>
      </c>
      <c r="P116" s="14" t="s">
        <v>241</v>
      </c>
    </row>
    <row r="117">
      <c r="A117" s="14" t="str">
        <f>IFERROR(__xludf.DUMMYFUNCTION("""COMPUTED_VALUE"""),"KEI Industries")</f>
        <v>KEI Industries</v>
      </c>
      <c r="B117" s="16">
        <f>IFERROR(__xludf.DUMMYFUNCTION("""COMPUTED_VALUE"""),12966.0743501)</f>
        <v>12966.07435</v>
      </c>
      <c r="C117" s="14">
        <f>IFERROR(__xludf.DUMMYFUNCTION("""COMPUTED_VALUE"""),1436.05)</f>
        <v>1436.05</v>
      </c>
      <c r="D117" s="14">
        <f>IFERROR(__xludf.DUMMYFUNCTION("""COMPUTED_VALUE"""),30.59)</f>
        <v>30.59</v>
      </c>
      <c r="E117" s="14">
        <f>IFERROR(__xludf.DUMMYFUNCTION("""COMPUTED_VALUE"""),1662.45)</f>
        <v>1662.45</v>
      </c>
      <c r="F117" s="17">
        <f>IFERROR(__xludf.DUMMYFUNCTION("""COMPUTED_VALUE"""),0.13618454690366633)</f>
        <v>0.1361845469</v>
      </c>
      <c r="G117" s="14">
        <f>IFERROR(__xludf.DUMMYFUNCTION("""COMPUTED_VALUE"""),905.2)</f>
        <v>905.2</v>
      </c>
      <c r="H117" s="17">
        <f>IFERROR(__xludf.DUMMYFUNCTION("""COMPUTED_VALUE"""),0.5864449845338046)</f>
        <v>0.5864449845</v>
      </c>
      <c r="I117" s="14">
        <f>IFERROR(__xludf.DUMMYFUNCTION("""COMPUTED_VALUE"""),1435.2)</f>
        <v>1435.2</v>
      </c>
      <c r="J117" s="17">
        <f>IFERROR(__xludf.DUMMYFUNCTION("""COMPUTED_VALUE"""),5.922519509475397E-4)</f>
        <v>0.0005922519509</v>
      </c>
      <c r="K117" s="14" t="s">
        <v>287</v>
      </c>
      <c r="L117" s="14" t="s">
        <v>388</v>
      </c>
      <c r="M117" s="14" t="s">
        <v>235</v>
      </c>
      <c r="N117" s="14" t="s">
        <v>236</v>
      </c>
      <c r="O117" s="14" t="s">
        <v>237</v>
      </c>
      <c r="P117" s="14" t="s">
        <v>241</v>
      </c>
    </row>
    <row r="118">
      <c r="A118" s="14" t="str">
        <f>IFERROR(__xludf.DUMMYFUNCTION("""COMPUTED_VALUE"""),"IEX")</f>
        <v>IEX</v>
      </c>
      <c r="B118" s="16">
        <f>IFERROR(__xludf.DUMMYFUNCTION("""COMPUTED_VALUE"""),12685.7721399)</f>
        <v>12685.77214</v>
      </c>
      <c r="C118" s="14">
        <f>IFERROR(__xludf.DUMMYFUNCTION("""COMPUTED_VALUE"""),141.55)</f>
        <v>141.55</v>
      </c>
      <c r="D118" s="14">
        <f>IFERROR(__xludf.DUMMYFUNCTION("""COMPUTED_VALUE"""),41.14)</f>
        <v>41.14</v>
      </c>
      <c r="E118" s="14">
        <f>IFERROR(__xludf.DUMMYFUNCTION("""COMPUTED_VALUE"""),271.95)</f>
        <v>271.95</v>
      </c>
      <c r="F118" s="17">
        <f>IFERROR(__xludf.DUMMYFUNCTION("""COMPUTED_VALUE"""),0.4794999080713366)</f>
        <v>0.4794999081</v>
      </c>
      <c r="G118" s="14">
        <f>IFERROR(__xludf.DUMMYFUNCTION("""COMPUTED_VALUE"""),129.25)</f>
        <v>129.25</v>
      </c>
      <c r="H118" s="17">
        <f>IFERROR(__xludf.DUMMYFUNCTION("""COMPUTED_VALUE"""),0.09516441005802717)</f>
        <v>0.09516441006</v>
      </c>
      <c r="I118" s="14">
        <f>IFERROR(__xludf.DUMMYFUNCTION("""COMPUTED_VALUE"""),141.4)</f>
        <v>141.4</v>
      </c>
      <c r="J118" s="17">
        <f>IFERROR(__xludf.DUMMYFUNCTION("""COMPUTED_VALUE"""),0.001060820367751101)</f>
        <v>0.001060820368</v>
      </c>
      <c r="K118" s="14" t="s">
        <v>305</v>
      </c>
      <c r="L118" s="14" t="s">
        <v>389</v>
      </c>
      <c r="M118" s="14" t="s">
        <v>235</v>
      </c>
      <c r="N118" s="14" t="s">
        <v>236</v>
      </c>
      <c r="O118" s="14" t="s">
        <v>237</v>
      </c>
      <c r="P118" s="14" t="s">
        <v>241</v>
      </c>
    </row>
    <row r="119">
      <c r="A119" s="14" t="str">
        <f>IFERROR(__xludf.DUMMYFUNCTION("""COMPUTED_VALUE"""),"Happiest Mind")</f>
        <v>Happiest Mind</v>
      </c>
      <c r="B119" s="16">
        <f>IFERROR(__xludf.DUMMYFUNCTION("""COMPUTED_VALUE"""),12642.1534329)</f>
        <v>12642.15343</v>
      </c>
      <c r="C119" s="14">
        <f>IFERROR(__xludf.DUMMYFUNCTION("""COMPUTED_VALUE"""),885.05)</f>
        <v>885.05</v>
      </c>
      <c r="D119" s="14">
        <f>IFERROR(__xludf.DUMMYFUNCTION("""COMPUTED_VALUE"""),59.08)</f>
        <v>59.08</v>
      </c>
      <c r="E119" s="14">
        <f>IFERROR(__xludf.DUMMYFUNCTION("""COMPUTED_VALUE"""),1359.85)</f>
        <v>1359.85</v>
      </c>
      <c r="F119" s="17">
        <f>IFERROR(__xludf.DUMMYFUNCTION("""COMPUTED_VALUE"""),0.34915615692907304)</f>
        <v>0.3491561569</v>
      </c>
      <c r="G119" s="14">
        <f>IFERROR(__xludf.DUMMYFUNCTION("""COMPUTED_VALUE"""),785.55)</f>
        <v>785.55</v>
      </c>
      <c r="H119" s="17">
        <f>IFERROR(__xludf.DUMMYFUNCTION("""COMPUTED_VALUE"""),0.12666284768633443)</f>
        <v>0.1266628477</v>
      </c>
      <c r="I119" s="14">
        <f>IFERROR(__xludf.DUMMYFUNCTION("""COMPUTED_VALUE"""),884.65)</f>
        <v>884.65</v>
      </c>
      <c r="J119" s="17">
        <f>IFERROR(__xludf.DUMMYFUNCTION("""COMPUTED_VALUE"""),4.5215621997397534E-4)</f>
        <v>0.00045215622</v>
      </c>
      <c r="K119" s="14" t="s">
        <v>233</v>
      </c>
      <c r="L119" s="14" t="s">
        <v>390</v>
      </c>
      <c r="M119" s="14" t="s">
        <v>235</v>
      </c>
      <c r="N119" s="14" t="s">
        <v>236</v>
      </c>
      <c r="O119" s="14" t="s">
        <v>237</v>
      </c>
      <c r="P119" s="14" t="s">
        <v>241</v>
      </c>
    </row>
    <row r="120">
      <c r="A120" s="14" t="str">
        <f>IFERROR(__xludf.DUMMYFUNCTION("""COMPUTED_VALUE"""),"Sheela Form")</f>
        <v>Sheela Form</v>
      </c>
      <c r="B120" s="16">
        <f>IFERROR(__xludf.DUMMYFUNCTION("""COMPUTED_VALUE"""),12260.1)</f>
        <v>12260.1</v>
      </c>
      <c r="C120" s="14">
        <f>IFERROR(__xludf.DUMMYFUNCTION("""COMPUTED_VALUE"""),1260.0)</f>
        <v>1260</v>
      </c>
      <c r="D120" s="14">
        <f>IFERROR(__xludf.DUMMYFUNCTION("""COMPUTED_VALUE"""),57.79)</f>
        <v>57.79</v>
      </c>
      <c r="E120" s="14">
        <f>IFERROR(__xludf.DUMMYFUNCTION("""COMPUTED_VALUE"""),2027.0)</f>
        <v>2027</v>
      </c>
      <c r="F120" s="17">
        <f>IFERROR(__xludf.DUMMYFUNCTION("""COMPUTED_VALUE"""),0.37839171188949183)</f>
        <v>0.3783917119</v>
      </c>
      <c r="G120" s="14">
        <f>IFERROR(__xludf.DUMMYFUNCTION("""COMPUTED_VALUE"""),1204.15)</f>
        <v>1204.15</v>
      </c>
      <c r="H120" s="17">
        <f>IFERROR(__xludf.DUMMYFUNCTION("""COMPUTED_VALUE"""),0.046381264792592206)</f>
        <v>0.04638126479</v>
      </c>
      <c r="I120" s="14">
        <f>IFERROR(__xludf.DUMMYFUNCTION("""COMPUTED_VALUE"""),1251.3)</f>
        <v>1251.3</v>
      </c>
      <c r="J120" s="17">
        <f>IFERROR(__xludf.DUMMYFUNCTION("""COMPUTED_VALUE"""),0.006952769120115117)</f>
        <v>0.00695276912</v>
      </c>
      <c r="K120" s="14" t="s">
        <v>391</v>
      </c>
      <c r="L120" s="14" t="s">
        <v>392</v>
      </c>
      <c r="M120" s="14" t="s">
        <v>235</v>
      </c>
      <c r="N120" s="14" t="s">
        <v>236</v>
      </c>
      <c r="O120" s="14" t="s">
        <v>237</v>
      </c>
      <c r="P120" s="14" t="s">
        <v>241</v>
      </c>
    </row>
    <row r="121">
      <c r="A121" s="14" t="str">
        <f>IFERROR(__xludf.DUMMYFUNCTION("""COMPUTED_VALUE"""),"Century Plyboard")</f>
        <v>Century Plyboard</v>
      </c>
      <c r="B121" s="16">
        <f>IFERROR(__xludf.DUMMYFUNCTION("""COMPUTED_VALUE"""),11658.528175)</f>
        <v>11658.52818</v>
      </c>
      <c r="C121" s="14">
        <f>IFERROR(__xludf.DUMMYFUNCTION("""COMPUTED_VALUE"""),523.9)</f>
        <v>523.9</v>
      </c>
      <c r="D121" s="14">
        <f>IFERROR(__xludf.DUMMYFUNCTION("""COMPUTED_VALUE"""),31.54)</f>
        <v>31.54</v>
      </c>
      <c r="E121" s="14">
        <f>IFERROR(__xludf.DUMMYFUNCTION("""COMPUTED_VALUE"""),749.0)</f>
        <v>749</v>
      </c>
      <c r="F121" s="17">
        <f>IFERROR(__xludf.DUMMYFUNCTION("""COMPUTED_VALUE"""),0.30053404539385853)</f>
        <v>0.3005340454</v>
      </c>
      <c r="G121" s="14">
        <f>IFERROR(__xludf.DUMMYFUNCTION("""COMPUTED_VALUE"""),484.7)</f>
        <v>484.7</v>
      </c>
      <c r="H121" s="17">
        <f>IFERROR(__xludf.DUMMYFUNCTION("""COMPUTED_VALUE"""),0.08087476789766863)</f>
        <v>0.0808747679</v>
      </c>
      <c r="I121" s="14">
        <f>IFERROR(__xludf.DUMMYFUNCTION("""COMPUTED_VALUE"""),517.65)</f>
        <v>517.65</v>
      </c>
      <c r="J121" s="17">
        <f>IFERROR(__xludf.DUMMYFUNCTION("""COMPUTED_VALUE"""),0.012073795035255483)</f>
        <v>0.01207379504</v>
      </c>
      <c r="K121" s="14" t="s">
        <v>393</v>
      </c>
      <c r="L121" s="14" t="s">
        <v>394</v>
      </c>
      <c r="M121" s="14" t="s">
        <v>235</v>
      </c>
      <c r="N121" s="14" t="s">
        <v>236</v>
      </c>
      <c r="O121" s="14" t="s">
        <v>237</v>
      </c>
      <c r="P121" s="14" t="s">
        <v>241</v>
      </c>
    </row>
    <row r="122">
      <c r="A122" s="14" t="str">
        <f>IFERROR(__xludf.DUMMYFUNCTION("""COMPUTED_VALUE"""),"CDSL")</f>
        <v>CDSL</v>
      </c>
      <c r="B122" s="16">
        <f>IFERROR(__xludf.DUMMYFUNCTION("""COMPUTED_VALUE"""),11261.44)</f>
        <v>11261.44</v>
      </c>
      <c r="C122" s="14">
        <f>IFERROR(__xludf.DUMMYFUNCTION("""COMPUTED_VALUE"""),1077.9)</f>
        <v>1077.9</v>
      </c>
      <c r="D122" s="14">
        <f>IFERROR(__xludf.DUMMYFUNCTION("""COMPUTED_VALUE"""),37.61)</f>
        <v>37.61</v>
      </c>
      <c r="E122" s="14">
        <f>IFERROR(__xludf.DUMMYFUNCTION("""COMPUTED_VALUE"""),1654.0)</f>
        <v>1654</v>
      </c>
      <c r="F122" s="17">
        <f>IFERROR(__xludf.DUMMYFUNCTION("""COMPUTED_VALUE"""),0.3483071342200725)</f>
        <v>0.3483071342</v>
      </c>
      <c r="G122" s="14">
        <f>IFERROR(__xludf.DUMMYFUNCTION("""COMPUTED_VALUE"""),1015.0)</f>
        <v>1015</v>
      </c>
      <c r="H122" s="17">
        <f>IFERROR(__xludf.DUMMYFUNCTION("""COMPUTED_VALUE"""),0.06197044334975378)</f>
        <v>0.06197044335</v>
      </c>
      <c r="I122" s="14">
        <f>IFERROR(__xludf.DUMMYFUNCTION("""COMPUTED_VALUE"""),1078.65)</f>
        <v>1078.65</v>
      </c>
      <c r="J122" s="17">
        <f>IFERROR(__xludf.DUMMYFUNCTION("""COMPUTED_VALUE"""),-6.953135864274788E-4)</f>
        <v>-0.0006953135864</v>
      </c>
      <c r="K122" s="14" t="s">
        <v>305</v>
      </c>
      <c r="L122" s="14" t="s">
        <v>109</v>
      </c>
      <c r="M122" s="14" t="s">
        <v>235</v>
      </c>
      <c r="N122" s="14" t="s">
        <v>236</v>
      </c>
      <c r="O122" s="14" t="s">
        <v>237</v>
      </c>
      <c r="P122" s="14" t="s">
        <v>241</v>
      </c>
    </row>
    <row r="123">
      <c r="A123" s="14" t="str">
        <f>IFERROR(__xludf.DUMMYFUNCTION("""COMPUTED_VALUE"""),"CAMS")</f>
        <v>CAMS</v>
      </c>
      <c r="B123" s="16">
        <f>IFERROR(__xludf.DUMMYFUNCTION("""COMPUTED_VALUE"""),11180.9471528)</f>
        <v>11180.94715</v>
      </c>
      <c r="C123" s="14">
        <f>IFERROR(__xludf.DUMMYFUNCTION("""COMPUTED_VALUE"""),2274.0)</f>
        <v>2274</v>
      </c>
      <c r="D123" s="14">
        <f>IFERROR(__xludf.DUMMYFUNCTION("""COMPUTED_VALUE"""),38.87)</f>
        <v>38.87</v>
      </c>
      <c r="E123" s="14">
        <f>IFERROR(__xludf.DUMMYFUNCTION("""COMPUTED_VALUE"""),2971.5)</f>
        <v>2971.5</v>
      </c>
      <c r="F123" s="17">
        <f>IFERROR(__xludf.DUMMYFUNCTION("""COMPUTED_VALUE"""),0.2347299343765775)</f>
        <v>0.2347299344</v>
      </c>
      <c r="G123" s="14">
        <f>IFERROR(__xludf.DUMMYFUNCTION("""COMPUTED_VALUE"""),2037.15)</f>
        <v>2037.15</v>
      </c>
      <c r="H123" s="17">
        <f>IFERROR(__xludf.DUMMYFUNCTION("""COMPUTED_VALUE"""),0.11626537073853173)</f>
        <v>0.1162653707</v>
      </c>
      <c r="I123" s="14">
        <f>IFERROR(__xludf.DUMMYFUNCTION("""COMPUTED_VALUE"""),2235.75)</f>
        <v>2235.75</v>
      </c>
      <c r="J123" s="17">
        <f>IFERROR(__xludf.DUMMYFUNCTION("""COMPUTED_VALUE"""),0.017108352901710835)</f>
        <v>0.0171083529</v>
      </c>
      <c r="K123" s="14" t="s">
        <v>305</v>
      </c>
      <c r="L123" s="14" t="s">
        <v>395</v>
      </c>
      <c r="M123" s="14" t="s">
        <v>235</v>
      </c>
      <c r="N123" s="14" t="s">
        <v>236</v>
      </c>
      <c r="O123" s="14" t="s">
        <v>237</v>
      </c>
      <c r="P123" s="14" t="s">
        <v>241</v>
      </c>
    </row>
    <row r="124">
      <c r="A124" s="14" t="str">
        <f>IFERROR(__xludf.DUMMYFUNCTION("""COMPUTED_VALUE"""),"HDFC Bank")</f>
        <v>HDFC Bank</v>
      </c>
      <c r="B124" s="16">
        <f>IFERROR(__xludf.DUMMYFUNCTION("""COMPUTED_VALUE"""),11060.0657861)</f>
        <v>11060.06579</v>
      </c>
      <c r="C124" s="14">
        <f>IFERROR(__xludf.DUMMYFUNCTION("""COMPUTED_VALUE"""),1601.0)</f>
        <v>1601</v>
      </c>
      <c r="D124" s="14">
        <f>IFERROR(__xludf.DUMMYFUNCTION("""COMPUTED_VALUE"""),21.39)</f>
        <v>21.39</v>
      </c>
      <c r="E124" s="14">
        <f>IFERROR(__xludf.DUMMYFUNCTION("""COMPUTED_VALUE"""),1722.1)</f>
        <v>1722.1</v>
      </c>
      <c r="F124" s="17">
        <f>IFERROR(__xludf.DUMMYFUNCTION("""COMPUTED_VALUE"""),0.0703211195633238)</f>
        <v>0.07032111956</v>
      </c>
      <c r="G124" s="14">
        <f>IFERROR(__xludf.DUMMYFUNCTION("""COMPUTED_VALUE"""),1271.6)</f>
        <v>1271.6</v>
      </c>
      <c r="H124" s="17">
        <f>IFERROR(__xludf.DUMMYFUNCTION("""COMPUTED_VALUE"""),0.2590437244416484)</f>
        <v>0.2590437244</v>
      </c>
      <c r="I124" s="14">
        <f>IFERROR(__xludf.DUMMYFUNCTION("""COMPUTED_VALUE"""),1599.4)</f>
        <v>1599.4</v>
      </c>
      <c r="J124" s="17">
        <f>IFERROR(__xludf.DUMMYFUNCTION("""COMPUTED_VALUE"""),0.0010003751406776973)</f>
        <v>0.001000375141</v>
      </c>
      <c r="K124" s="14" t="s">
        <v>242</v>
      </c>
      <c r="L124" s="14" t="s">
        <v>396</v>
      </c>
      <c r="M124" s="14" t="s">
        <v>235</v>
      </c>
      <c r="N124" s="14" t="s">
        <v>236</v>
      </c>
      <c r="O124" s="14" t="s">
        <v>237</v>
      </c>
      <c r="P124" s="14" t="s">
        <v>241</v>
      </c>
    </row>
    <row r="125">
      <c r="A125" s="14" t="str">
        <f>IFERROR(__xludf.DUMMYFUNCTION("""COMPUTED_VALUE"""),"TTK Prestige")</f>
        <v>TTK Prestige</v>
      </c>
      <c r="B125" s="16">
        <f>IFERROR(__xludf.DUMMYFUNCTION("""COMPUTED_VALUE"""),10943.5753)</f>
        <v>10943.5753</v>
      </c>
      <c r="C125" s="14">
        <f>IFERROR(__xludf.DUMMYFUNCTION("""COMPUTED_VALUE"""),789.5)</f>
        <v>789.5</v>
      </c>
      <c r="D125" s="14">
        <f>IFERROR(__xludf.DUMMYFUNCTION("""COMPUTED_VALUE"""),35.54)</f>
        <v>35.54</v>
      </c>
      <c r="E125" s="14">
        <f>IFERROR(__xludf.DUMMYFUNCTION("""COMPUTED_VALUE"""),1049.9)</f>
        <v>1049.9</v>
      </c>
      <c r="F125" s="17">
        <f>IFERROR(__xludf.DUMMYFUNCTION("""COMPUTED_VALUE"""),0.24802362129726646)</f>
        <v>0.2480236213</v>
      </c>
      <c r="G125" s="14">
        <f>IFERROR(__xludf.DUMMYFUNCTION("""COMPUTED_VALUE"""),744.7)</f>
        <v>744.7</v>
      </c>
      <c r="H125" s="17">
        <f>IFERROR(__xludf.DUMMYFUNCTION("""COMPUTED_VALUE"""),0.060158453068349604)</f>
        <v>0.06015845307</v>
      </c>
      <c r="I125" s="14">
        <f>IFERROR(__xludf.DUMMYFUNCTION("""COMPUTED_VALUE"""),794.05)</f>
        <v>794.05</v>
      </c>
      <c r="J125" s="17">
        <f>IFERROR(__xludf.DUMMYFUNCTION("""COMPUTED_VALUE"""),-0.005730117750771305)</f>
        <v>-0.005730117751</v>
      </c>
      <c r="K125" s="14" t="s">
        <v>287</v>
      </c>
      <c r="L125" s="14" t="s">
        <v>397</v>
      </c>
      <c r="M125" s="14" t="s">
        <v>235</v>
      </c>
      <c r="N125" s="14" t="s">
        <v>236</v>
      </c>
      <c r="O125" s="14" t="s">
        <v>237</v>
      </c>
      <c r="P125" s="14" t="s">
        <v>241</v>
      </c>
    </row>
    <row r="126">
      <c r="A126" s="14" t="str">
        <f>IFERROR(__xludf.DUMMYFUNCTION("""COMPUTED_VALUE"""),"Alembic Pharma")</f>
        <v>Alembic Pharma</v>
      </c>
      <c r="B126" s="16">
        <f>IFERROR(__xludf.DUMMYFUNCTION("""COMPUTED_VALUE"""),10913.18)</f>
        <v>10913.18</v>
      </c>
      <c r="C126" s="14">
        <f>IFERROR(__xludf.DUMMYFUNCTION("""COMPUTED_VALUE"""),555.0)</f>
        <v>555</v>
      </c>
      <c r="D126" s="14">
        <f>IFERROR(__xludf.DUMMYFUNCTION("""COMPUTED_VALUE"""),42.84)</f>
        <v>42.84</v>
      </c>
      <c r="E126" s="14">
        <f>IFERROR(__xludf.DUMMYFUNCTION("""COMPUTED_VALUE"""),822.8)</f>
        <v>822.8</v>
      </c>
      <c r="F126" s="17">
        <f>IFERROR(__xludf.DUMMYFUNCTION("""COMPUTED_VALUE"""),0.3254739912493923)</f>
        <v>0.3254739912</v>
      </c>
      <c r="G126" s="14">
        <f>IFERROR(__xludf.DUMMYFUNCTION("""COMPUTED_VALUE"""),540.0)</f>
        <v>540</v>
      </c>
      <c r="H126" s="17">
        <f>IFERROR(__xludf.DUMMYFUNCTION("""COMPUTED_VALUE"""),0.027777777777777776)</f>
        <v>0.02777777778</v>
      </c>
      <c r="I126" s="14">
        <f>IFERROR(__xludf.DUMMYFUNCTION("""COMPUTED_VALUE"""),557.4)</f>
        <v>557.4</v>
      </c>
      <c r="J126" s="17">
        <f>IFERROR(__xludf.DUMMYFUNCTION("""COMPUTED_VALUE"""),-0.004305705059203404)</f>
        <v>-0.004305705059</v>
      </c>
      <c r="K126" s="14" t="s">
        <v>259</v>
      </c>
      <c r="L126" s="14" t="s">
        <v>398</v>
      </c>
      <c r="M126" s="14" t="s">
        <v>235</v>
      </c>
      <c r="N126" s="14" t="s">
        <v>236</v>
      </c>
      <c r="O126" s="14" t="s">
        <v>237</v>
      </c>
      <c r="P126" s="14" t="s">
        <v>241</v>
      </c>
    </row>
    <row r="127">
      <c r="A127" s="14" t="str">
        <f>IFERROR(__xludf.DUMMYFUNCTION("""COMPUTED_VALUE"""),"Finolex Industries")</f>
        <v>Finolex Industries</v>
      </c>
      <c r="B127" s="16">
        <f>IFERROR(__xludf.DUMMYFUNCTION("""COMPUTED_VALUE"""),10644.74)</f>
        <v>10644.74</v>
      </c>
      <c r="C127" s="14">
        <f>IFERROR(__xludf.DUMMYFUNCTION("""COMPUTED_VALUE"""),173.0)</f>
        <v>173</v>
      </c>
      <c r="D127" s="14">
        <f>IFERROR(__xludf.DUMMYFUNCTION("""COMPUTED_VALUE"""),15.85)</f>
        <v>15.85</v>
      </c>
      <c r="E127" s="14">
        <f>IFERROR(__xludf.DUMMYFUNCTION("""COMPUTED_VALUE"""),204.5)</f>
        <v>204.5</v>
      </c>
      <c r="F127" s="17">
        <f>IFERROR(__xludf.DUMMYFUNCTION("""COMPUTED_VALUE"""),0.15403422982885084)</f>
        <v>0.1540342298</v>
      </c>
      <c r="G127" s="14">
        <f>IFERROR(__xludf.DUMMYFUNCTION("""COMPUTED_VALUE"""),128.0)</f>
        <v>128</v>
      </c>
      <c r="H127" s="17">
        <f>IFERROR(__xludf.DUMMYFUNCTION("""COMPUTED_VALUE"""),0.3515625)</f>
        <v>0.3515625</v>
      </c>
      <c r="I127" s="14">
        <f>IFERROR(__xludf.DUMMYFUNCTION("""COMPUTED_VALUE"""),170.9)</f>
        <v>170.9</v>
      </c>
      <c r="J127" s="17">
        <f>IFERROR(__xludf.DUMMYFUNCTION("""COMPUTED_VALUE"""),0.012287887653598561)</f>
        <v>0.01228788765</v>
      </c>
      <c r="K127" s="14" t="s">
        <v>319</v>
      </c>
      <c r="L127" s="14" t="s">
        <v>399</v>
      </c>
      <c r="M127" s="14" t="s">
        <v>235</v>
      </c>
      <c r="N127" s="14" t="s">
        <v>236</v>
      </c>
      <c r="O127" s="14" t="s">
        <v>237</v>
      </c>
      <c r="P127" s="14" t="s">
        <v>241</v>
      </c>
    </row>
    <row r="128">
      <c r="A128" s="14" t="str">
        <f>IFERROR(__xludf.DUMMYFUNCTION("""COMPUTED_VALUE"""),"Mannapuran Finance")</f>
        <v>Mannapuran Finance</v>
      </c>
      <c r="B128" s="16">
        <f>IFERROR(__xludf.DUMMYFUNCTION("""COMPUTED_VALUE"""),10287.9254057)</f>
        <v>10287.92541</v>
      </c>
      <c r="C128" s="14">
        <f>IFERROR(__xludf.DUMMYFUNCTION("""COMPUTED_VALUE"""),121.55)</f>
        <v>121.55</v>
      </c>
      <c r="D128" s="14">
        <f>IFERROR(__xludf.DUMMYFUNCTION("""COMPUTED_VALUE"""),8.7)</f>
        <v>8.7</v>
      </c>
      <c r="E128" s="14">
        <f>IFERROR(__xludf.DUMMYFUNCTION("""COMPUTED_VALUE"""),173.75)</f>
        <v>173.75</v>
      </c>
      <c r="F128" s="17">
        <f>IFERROR(__xludf.DUMMYFUNCTION("""COMPUTED_VALUE"""),0.300431654676259)</f>
        <v>0.3004316547</v>
      </c>
      <c r="G128" s="14">
        <f>IFERROR(__xludf.DUMMYFUNCTION("""COMPUTED_VALUE"""),81.5)</f>
        <v>81.5</v>
      </c>
      <c r="H128" s="17">
        <f>IFERROR(__xludf.DUMMYFUNCTION("""COMPUTED_VALUE"""),0.4914110429447852)</f>
        <v>0.4914110429</v>
      </c>
      <c r="I128" s="14">
        <f>IFERROR(__xludf.DUMMYFUNCTION("""COMPUTED_VALUE"""),120.15)</f>
        <v>120.15</v>
      </c>
      <c r="J128" s="17">
        <f>IFERROR(__xludf.DUMMYFUNCTION("""COMPUTED_VALUE"""),0.011652101539741918)</f>
        <v>0.01165210154</v>
      </c>
      <c r="K128" s="14" t="s">
        <v>249</v>
      </c>
      <c r="L128" s="14" t="s">
        <v>400</v>
      </c>
      <c r="M128" s="14" t="s">
        <v>235</v>
      </c>
      <c r="N128" s="14" t="s">
        <v>236</v>
      </c>
      <c r="O128" s="14" t="s">
        <v>237</v>
      </c>
      <c r="P128" s="14" t="s">
        <v>241</v>
      </c>
    </row>
    <row r="129">
      <c r="A129" s="14" t="str">
        <f>IFERROR(__xludf.DUMMYFUNCTION("""COMPUTED_VALUE"""),"UTI AMC")</f>
        <v>UTI AMC</v>
      </c>
      <c r="B129" s="16">
        <f>IFERROR(__xludf.DUMMYFUNCTION("""COMPUTED_VALUE"""),10284.2865)</f>
        <v>10284.2865</v>
      </c>
      <c r="C129" s="14">
        <f>IFERROR(__xludf.DUMMYFUNCTION("""COMPUTED_VALUE"""),807.2)</f>
        <v>807.2</v>
      </c>
      <c r="D129" s="14">
        <f>IFERROR(__xludf.DUMMYFUNCTION("""COMPUTED_VALUE"""),21.59)</f>
        <v>21.59</v>
      </c>
      <c r="E129" s="14">
        <f>IFERROR(__xludf.DUMMYFUNCTION("""COMPUTED_VALUE"""),1096.05)</f>
        <v>1096.05</v>
      </c>
      <c r="F129" s="17">
        <f>IFERROR(__xludf.DUMMYFUNCTION("""COMPUTED_VALUE"""),0.263537247388349)</f>
        <v>0.2635372474</v>
      </c>
      <c r="G129" s="14">
        <f>IFERROR(__xludf.DUMMYFUNCTION("""COMPUTED_VALUE"""),595.0)</f>
        <v>595</v>
      </c>
      <c r="H129" s="17">
        <f>IFERROR(__xludf.DUMMYFUNCTION("""COMPUTED_VALUE"""),0.35663865546218493)</f>
        <v>0.3566386555</v>
      </c>
      <c r="I129" s="14">
        <f>IFERROR(__xludf.DUMMYFUNCTION("""COMPUTED_VALUE"""),812.9)</f>
        <v>812.9</v>
      </c>
      <c r="J129" s="17">
        <f>IFERROR(__xludf.DUMMYFUNCTION("""COMPUTED_VALUE"""),-0.007011932587033992)</f>
        <v>-0.007011932587</v>
      </c>
      <c r="K129" s="14" t="s">
        <v>309</v>
      </c>
      <c r="L129" s="14" t="s">
        <v>401</v>
      </c>
      <c r="M129" s="14" t="s">
        <v>235</v>
      </c>
      <c r="N129" s="14" t="s">
        <v>236</v>
      </c>
      <c r="O129" s="14" t="s">
        <v>237</v>
      </c>
      <c r="P129" s="14" t="s">
        <v>241</v>
      </c>
    </row>
    <row r="130">
      <c r="A130" s="14" t="str">
        <f>IFERROR(__xludf.DUMMYFUNCTION("""COMPUTED_VALUE"""),"HFCL")</f>
        <v>HFCL</v>
      </c>
      <c r="B130" s="16">
        <f>IFERROR(__xludf.DUMMYFUNCTION("""COMPUTED_VALUE"""),10126.79307)</f>
        <v>10126.79307</v>
      </c>
      <c r="C130" s="14">
        <f>IFERROR(__xludf.DUMMYFUNCTION("""COMPUTED_VALUE"""),73.6)</f>
        <v>73.6</v>
      </c>
      <c r="D130" s="14">
        <f>IFERROR(__xludf.DUMMYFUNCTION("""COMPUTED_VALUE"""),36.15)</f>
        <v>36.15</v>
      </c>
      <c r="E130" s="14">
        <f>IFERROR(__xludf.DUMMYFUNCTION("""COMPUTED_VALUE"""),101.35)</f>
        <v>101.35</v>
      </c>
      <c r="F130" s="17">
        <f>IFERROR(__xludf.DUMMYFUNCTION("""COMPUTED_VALUE"""),0.2738036507153429)</f>
        <v>0.2738036507</v>
      </c>
      <c r="G130" s="14">
        <f>IFERROR(__xludf.DUMMYFUNCTION("""COMPUTED_VALUE"""),51.55)</f>
        <v>51.55</v>
      </c>
      <c r="H130" s="17">
        <f>IFERROR(__xludf.DUMMYFUNCTION("""COMPUTED_VALUE"""),0.42774005819592625)</f>
        <v>0.4277400582</v>
      </c>
      <c r="I130" s="14">
        <f>IFERROR(__xludf.DUMMYFUNCTION("""COMPUTED_VALUE"""),72.4)</f>
        <v>72.4</v>
      </c>
      <c r="J130" s="17">
        <f>IFERROR(__xludf.DUMMYFUNCTION("""COMPUTED_VALUE"""),0.01657458563535896)</f>
        <v>0.01657458564</v>
      </c>
      <c r="K130" s="14" t="s">
        <v>247</v>
      </c>
      <c r="L130" s="14" t="s">
        <v>402</v>
      </c>
      <c r="M130" s="14" t="s">
        <v>235</v>
      </c>
      <c r="N130" s="14" t="s">
        <v>236</v>
      </c>
      <c r="O130" s="14" t="s">
        <v>237</v>
      </c>
      <c r="P130" s="14" t="s">
        <v>241</v>
      </c>
    </row>
    <row r="131">
      <c r="A131" s="14" t="str">
        <f>IFERROR(__xludf.DUMMYFUNCTION("""COMPUTED_VALUE"""),"Tanla Platform")</f>
        <v>Tanla Platform</v>
      </c>
      <c r="B131" s="16">
        <f>IFERROR(__xludf.DUMMYFUNCTION("""COMPUTED_VALUE"""),9951.4177429)</f>
        <v>9951.417743</v>
      </c>
      <c r="C131" s="14">
        <f>IFERROR(__xludf.DUMMYFUNCTION("""COMPUTED_VALUE"""),731.9)</f>
        <v>731.9</v>
      </c>
      <c r="D131" s="14">
        <f>IFERROR(__xludf.DUMMYFUNCTION("""COMPUTED_VALUE"""),19.49)</f>
        <v>19.49</v>
      </c>
      <c r="E131" s="14">
        <f>IFERROR(__xludf.DUMMYFUNCTION("""COMPUTED_VALUE"""),2094.4)</f>
        <v>2094.4</v>
      </c>
      <c r="F131" s="17">
        <f>IFERROR(__xludf.DUMMYFUNCTION("""COMPUTED_VALUE"""),0.6505443086325439)</f>
        <v>0.6505443086</v>
      </c>
      <c r="G131" s="14">
        <f>IFERROR(__xludf.DUMMYFUNCTION("""COMPUTED_VALUE"""),584.8)</f>
        <v>584.8</v>
      </c>
      <c r="H131" s="17">
        <f>IFERROR(__xludf.DUMMYFUNCTION("""COMPUTED_VALUE"""),0.25153898768809857)</f>
        <v>0.2515389877</v>
      </c>
      <c r="I131" s="14">
        <f>IFERROR(__xludf.DUMMYFUNCTION("""COMPUTED_VALUE"""),724.3)</f>
        <v>724.3</v>
      </c>
      <c r="J131" s="17">
        <f>IFERROR(__xludf.DUMMYFUNCTION("""COMPUTED_VALUE"""),0.010492889686593985)</f>
        <v>0.01049288969</v>
      </c>
      <c r="K131" s="14" t="s">
        <v>305</v>
      </c>
      <c r="L131" s="14" t="s">
        <v>403</v>
      </c>
      <c r="M131" s="14" t="s">
        <v>235</v>
      </c>
      <c r="N131" s="14" t="s">
        <v>236</v>
      </c>
      <c r="O131" s="14" t="s">
        <v>237</v>
      </c>
      <c r="P131" s="14" t="s">
        <v>241</v>
      </c>
    </row>
    <row r="132">
      <c r="A132" s="14" t="str">
        <f>IFERROR(__xludf.DUMMYFUNCTION("""COMPUTED_VALUE"""),"Amara Raja Batter")</f>
        <v>Amara Raja Batter</v>
      </c>
      <c r="B132" s="16">
        <f>IFERROR(__xludf.DUMMYFUNCTION("""COMPUTED_VALUE"""),9847.33486)</f>
        <v>9847.33486</v>
      </c>
      <c r="C132" s="14">
        <f>IFERROR(__xludf.DUMMYFUNCTION("""COMPUTED_VALUE"""),576.5)</f>
        <v>576.5</v>
      </c>
      <c r="D132" s="14">
        <f>IFERROR(__xludf.DUMMYFUNCTION("""COMPUTED_VALUE"""),17.05)</f>
        <v>17.05</v>
      </c>
      <c r="E132" s="14">
        <f>IFERROR(__xludf.DUMMYFUNCTION("""COMPUTED_VALUE"""),668.15)</f>
        <v>668.15</v>
      </c>
      <c r="F132" s="17">
        <f>IFERROR(__xludf.DUMMYFUNCTION("""COMPUTED_VALUE"""),0.13716979720122724)</f>
        <v>0.1371697972</v>
      </c>
      <c r="G132" s="14">
        <f>IFERROR(__xludf.DUMMYFUNCTION("""COMPUTED_VALUE"""),438.05)</f>
        <v>438.05</v>
      </c>
      <c r="H132" s="17">
        <f>IFERROR(__xludf.DUMMYFUNCTION("""COMPUTED_VALUE"""),0.31605981052391274)</f>
        <v>0.3160598105</v>
      </c>
      <c r="I132" s="14">
        <f>IFERROR(__xludf.DUMMYFUNCTION("""COMPUTED_VALUE"""),590.95)</f>
        <v>590.95</v>
      </c>
      <c r="J132" s="17">
        <f>IFERROR(__xludf.DUMMYFUNCTION("""COMPUTED_VALUE"""),-0.02445215331246306)</f>
        <v>-0.02445215331</v>
      </c>
      <c r="K132" s="14" t="s">
        <v>301</v>
      </c>
      <c r="L132" s="14" t="s">
        <v>404</v>
      </c>
      <c r="M132" s="14" t="s">
        <v>235</v>
      </c>
      <c r="N132" s="14" t="s">
        <v>236</v>
      </c>
      <c r="O132" s="14" t="s">
        <v>237</v>
      </c>
      <c r="P132" s="14" t="s">
        <v>241</v>
      </c>
    </row>
    <row r="133">
      <c r="A133" s="14" t="str">
        <f>IFERROR(__xludf.DUMMYFUNCTION("""COMPUTED_VALUE"""),"Cyient")</f>
        <v>Cyient</v>
      </c>
      <c r="B133" s="16">
        <f>IFERROR(__xludf.DUMMYFUNCTION("""COMPUTED_VALUE"""),9606.1541)</f>
        <v>9606.1541</v>
      </c>
      <c r="C133" s="14">
        <f>IFERROR(__xludf.DUMMYFUNCTION("""COMPUTED_VALUE"""),876.0)</f>
        <v>876</v>
      </c>
      <c r="D133" s="14">
        <f>IFERROR(__xludf.DUMMYFUNCTION("""COMPUTED_VALUE"""),19.98)</f>
        <v>19.98</v>
      </c>
      <c r="E133" s="14">
        <f>IFERROR(__xludf.DUMMYFUNCTION("""COMPUTED_VALUE"""),1051.85)</f>
        <v>1051.85</v>
      </c>
      <c r="F133" s="17">
        <f>IFERROR(__xludf.DUMMYFUNCTION("""COMPUTED_VALUE"""),0.16718163236202874)</f>
        <v>0.1671816324</v>
      </c>
      <c r="G133" s="14">
        <f>IFERROR(__xludf.DUMMYFUNCTION("""COMPUTED_VALUE"""),720.0)</f>
        <v>720</v>
      </c>
      <c r="H133" s="17">
        <f>IFERROR(__xludf.DUMMYFUNCTION("""COMPUTED_VALUE"""),0.21666666666666667)</f>
        <v>0.2166666667</v>
      </c>
      <c r="I133" s="14">
        <f>IFERROR(__xludf.DUMMYFUNCTION("""COMPUTED_VALUE"""),883.3)</f>
        <v>883.3</v>
      </c>
      <c r="J133" s="17">
        <f>IFERROR(__xludf.DUMMYFUNCTION("""COMPUTED_VALUE"""),-0.008264462809917304)</f>
        <v>-0.00826446281</v>
      </c>
      <c r="K133" s="14" t="s">
        <v>324</v>
      </c>
      <c r="L133" s="14" t="s">
        <v>405</v>
      </c>
      <c r="M133" s="14" t="s">
        <v>235</v>
      </c>
      <c r="N133" s="14" t="s">
        <v>236</v>
      </c>
      <c r="O133" s="14" t="s">
        <v>237</v>
      </c>
      <c r="P133" s="14" t="s">
        <v>241</v>
      </c>
    </row>
    <row r="134">
      <c r="A134" s="14" t="str">
        <f>IFERROR(__xludf.DUMMYFUNCTION("""COMPUTED_VALUE"""),"Astrazeneca")</f>
        <v>Astrazeneca</v>
      </c>
      <c r="B134" s="16">
        <f>IFERROR(__xludf.DUMMYFUNCTION("""COMPUTED_VALUE"""),8815.8228535)</f>
        <v>8815.822854</v>
      </c>
      <c r="C134" s="14">
        <f>IFERROR(__xludf.DUMMYFUNCTION("""COMPUTED_VALUE"""),3515.05)</f>
        <v>3515.05</v>
      </c>
      <c r="D134" s="14">
        <f>IFERROR(__xludf.DUMMYFUNCTION("""COMPUTED_VALUE"""),95.35)</f>
        <v>95.35</v>
      </c>
      <c r="E134" s="14">
        <f>IFERROR(__xludf.DUMMYFUNCTION("""COMPUTED_VALUE"""),3619.7)</f>
        <v>3619.7</v>
      </c>
      <c r="F134" s="17">
        <f>IFERROR(__xludf.DUMMYFUNCTION("""COMPUTED_VALUE"""),0.028911235737768225)</f>
        <v>0.02891123574</v>
      </c>
      <c r="G134" s="14">
        <f>IFERROR(__xludf.DUMMYFUNCTION("""COMPUTED_VALUE"""),2437.75)</f>
        <v>2437.75</v>
      </c>
      <c r="H134" s="17">
        <f>IFERROR(__xludf.DUMMYFUNCTION("""COMPUTED_VALUE"""),0.44192390524048825)</f>
        <v>0.4419239052</v>
      </c>
      <c r="I134" s="14">
        <f>IFERROR(__xludf.DUMMYFUNCTION("""COMPUTED_VALUE"""),3443.4)</f>
        <v>3443.4</v>
      </c>
      <c r="J134" s="17">
        <f>IFERROR(__xludf.DUMMYFUNCTION("""COMPUTED_VALUE"""),0.020807922402276847)</f>
        <v>0.0208079224</v>
      </c>
      <c r="K134" s="14" t="s">
        <v>259</v>
      </c>
      <c r="L134" s="14" t="s">
        <v>406</v>
      </c>
      <c r="M134" s="14" t="s">
        <v>235</v>
      </c>
      <c r="N134" s="14" t="s">
        <v>236</v>
      </c>
      <c r="O134" s="14" t="s">
        <v>237</v>
      </c>
      <c r="P134" s="14" t="s">
        <v>241</v>
      </c>
    </row>
    <row r="135">
      <c r="A135" s="14" t="str">
        <f>IFERROR(__xludf.DUMMYFUNCTION("""COMPUTED_VALUE"""),"Poly Medicure Ltd")</f>
        <v>Poly Medicure Ltd</v>
      </c>
      <c r="B135" s="16">
        <f>IFERROR(__xludf.DUMMYFUNCTION("""COMPUTED_VALUE"""),8584.669055)</f>
        <v>8584.669055</v>
      </c>
      <c r="C135" s="14">
        <f>IFERROR(__xludf.DUMMYFUNCTION("""COMPUTED_VALUE"""),891.5)</f>
        <v>891.5</v>
      </c>
      <c r="D135" s="14">
        <f>IFERROR(__xludf.DUMMYFUNCTION("""COMPUTED_VALUE"""),61.12)</f>
        <v>61.12</v>
      </c>
      <c r="E135" s="14">
        <f>IFERROR(__xludf.DUMMYFUNCTION("""COMPUTED_VALUE"""),1044.4)</f>
        <v>1044.4</v>
      </c>
      <c r="F135" s="17">
        <f>IFERROR(__xludf.DUMMYFUNCTION("""COMPUTED_VALUE"""),0.14639984680199164)</f>
        <v>0.1463998468</v>
      </c>
      <c r="G135" s="14">
        <f>IFERROR(__xludf.DUMMYFUNCTION("""COMPUTED_VALUE"""),652.3)</f>
        <v>652.3</v>
      </c>
      <c r="H135" s="17">
        <f>IFERROR(__xludf.DUMMYFUNCTION("""COMPUTED_VALUE"""),0.36670243752874454)</f>
        <v>0.3667024375</v>
      </c>
      <c r="I135" s="14">
        <f>IFERROR(__xludf.DUMMYFUNCTION("""COMPUTED_VALUE"""),897.9)</f>
        <v>897.9</v>
      </c>
      <c r="J135" s="17">
        <f>IFERROR(__xludf.DUMMYFUNCTION("""COMPUTED_VALUE"""),-0.00712774251030179)</f>
        <v>-0.00712774251</v>
      </c>
      <c r="K135" s="14" t="s">
        <v>376</v>
      </c>
      <c r="L135" s="14" t="s">
        <v>407</v>
      </c>
      <c r="M135" s="14" t="s">
        <v>235</v>
      </c>
      <c r="N135" s="14" t="s">
        <v>236</v>
      </c>
      <c r="O135" s="14" t="s">
        <v>237</v>
      </c>
      <c r="P135" s="14" t="s">
        <v>241</v>
      </c>
    </row>
    <row r="136">
      <c r="A136" s="14" t="str">
        <f>IFERROR(__xludf.DUMMYFUNCTION("""COMPUTED_VALUE"""),"Finolex Cable")</f>
        <v>Finolex Cable</v>
      </c>
      <c r="B136" s="16">
        <f>IFERROR(__xludf.DUMMYFUNCTION("""COMPUTED_VALUE"""),8463.6612353)</f>
        <v>8463.661235</v>
      </c>
      <c r="C136" s="14">
        <f>IFERROR(__xludf.DUMMYFUNCTION("""COMPUTED_VALUE"""),553.4)</f>
        <v>553.4</v>
      </c>
      <c r="D136" s="14">
        <f>IFERROR(__xludf.DUMMYFUNCTION("""COMPUTED_VALUE"""),15.6)</f>
        <v>15.6</v>
      </c>
      <c r="E136" s="14">
        <f>IFERROR(__xludf.DUMMYFUNCTION("""COMPUTED_VALUE"""),593.9)</f>
        <v>593.9</v>
      </c>
      <c r="F136" s="17">
        <f>IFERROR(__xludf.DUMMYFUNCTION("""COMPUTED_VALUE"""),0.06819329853510692)</f>
        <v>0.06819329854</v>
      </c>
      <c r="G136" s="14">
        <f>IFERROR(__xludf.DUMMYFUNCTION("""COMPUTED_VALUE"""),343.5)</f>
        <v>343.5</v>
      </c>
      <c r="H136" s="17">
        <f>IFERROR(__xludf.DUMMYFUNCTION("""COMPUTED_VALUE"""),0.6110625909752546)</f>
        <v>0.611062591</v>
      </c>
      <c r="I136" s="14">
        <f>IFERROR(__xludf.DUMMYFUNCTION("""COMPUTED_VALUE"""),539.85)</f>
        <v>539.85</v>
      </c>
      <c r="J136" s="17">
        <f>IFERROR(__xludf.DUMMYFUNCTION("""COMPUTED_VALUE"""),0.02509956469389637)</f>
        <v>0.02509956469</v>
      </c>
      <c r="K136" s="14" t="s">
        <v>287</v>
      </c>
      <c r="L136" s="14" t="s">
        <v>408</v>
      </c>
      <c r="M136" s="14" t="s">
        <v>235</v>
      </c>
      <c r="N136" s="14" t="s">
        <v>236</v>
      </c>
      <c r="O136" s="14" t="s">
        <v>237</v>
      </c>
      <c r="P136" s="14" t="s">
        <v>241</v>
      </c>
    </row>
    <row r="137">
      <c r="A137" s="14" t="str">
        <f>IFERROR(__xludf.DUMMYFUNCTION("""COMPUTED_VALUE"""),"Mahangar Gas")</f>
        <v>Mahangar Gas</v>
      </c>
      <c r="B137" s="16">
        <f>IFERROR(__xludf.DUMMYFUNCTION("""COMPUTED_VALUE"""),8445.006)</f>
        <v>8445.006</v>
      </c>
      <c r="C137" s="14">
        <f>IFERROR(__xludf.DUMMYFUNCTION("""COMPUTED_VALUE"""),853.05)</f>
        <v>853.05</v>
      </c>
      <c r="D137" s="14">
        <f>IFERROR(__xludf.DUMMYFUNCTION("""COMPUTED_VALUE"""),15.67)</f>
        <v>15.67</v>
      </c>
      <c r="E137" s="14">
        <f>IFERROR(__xludf.DUMMYFUNCTION("""COMPUTED_VALUE"""),925.0)</f>
        <v>925</v>
      </c>
      <c r="F137" s="17">
        <f>IFERROR(__xludf.DUMMYFUNCTION("""COMPUTED_VALUE"""),0.07778378378378384)</f>
        <v>0.07778378378</v>
      </c>
      <c r="G137" s="14">
        <f>IFERROR(__xludf.DUMMYFUNCTION("""COMPUTED_VALUE"""),666.35)</f>
        <v>666.35</v>
      </c>
      <c r="H137" s="17">
        <f>IFERROR(__xludf.DUMMYFUNCTION("""COMPUTED_VALUE"""),0.2801830869663089)</f>
        <v>0.280183087</v>
      </c>
      <c r="I137" s="14">
        <f>IFERROR(__xludf.DUMMYFUNCTION("""COMPUTED_VALUE"""),862.5)</f>
        <v>862.5</v>
      </c>
      <c r="J137" s="17">
        <f>IFERROR(__xludf.DUMMYFUNCTION("""COMPUTED_VALUE"""),-0.010956521739130488)</f>
        <v>-0.01095652174</v>
      </c>
      <c r="K137" s="14" t="s">
        <v>336</v>
      </c>
      <c r="L137" s="14" t="s">
        <v>409</v>
      </c>
      <c r="M137" s="14" t="s">
        <v>235</v>
      </c>
      <c r="N137" s="14" t="s">
        <v>236</v>
      </c>
      <c r="O137" s="14" t="s">
        <v>237</v>
      </c>
      <c r="P137" s="14" t="s">
        <v>241</v>
      </c>
    </row>
    <row r="138">
      <c r="A138" s="14" t="str">
        <f>IFERROR(__xludf.DUMMYFUNCTION("""COMPUTED_VALUE"""),"Galaxy Surfactant")</f>
        <v>Galaxy Surfactant</v>
      </c>
      <c r="B138" s="16">
        <f>IFERROR(__xludf.DUMMYFUNCTION("""COMPUTED_VALUE"""),8341.1378051)</f>
        <v>8341.137805</v>
      </c>
      <c r="C138" s="14">
        <f>IFERROR(__xludf.DUMMYFUNCTION("""COMPUTED_VALUE"""),2358.0)</f>
        <v>2358</v>
      </c>
      <c r="D138" s="14">
        <f>IFERROR(__xludf.DUMMYFUNCTION("""COMPUTED_VALUE"""),25.47)</f>
        <v>25.47</v>
      </c>
      <c r="E138" s="14">
        <f>IFERROR(__xludf.DUMMYFUNCTION("""COMPUTED_VALUE"""),3447.55)</f>
        <v>3447.55</v>
      </c>
      <c r="F138" s="17">
        <f>IFERROR(__xludf.DUMMYFUNCTION("""COMPUTED_VALUE"""),0.31603602558338534)</f>
        <v>0.3160360256</v>
      </c>
      <c r="G138" s="14">
        <f>IFERROR(__xludf.DUMMYFUNCTION("""COMPUTED_VALUE"""),2310.1)</f>
        <v>2310.1</v>
      </c>
      <c r="H138" s="17">
        <f>IFERROR(__xludf.DUMMYFUNCTION("""COMPUTED_VALUE"""),0.020735033115449587)</f>
        <v>0.02073503312</v>
      </c>
      <c r="I138" s="14">
        <f>IFERROR(__xludf.DUMMYFUNCTION("""COMPUTED_VALUE"""),2340.5)</f>
        <v>2340.5</v>
      </c>
      <c r="J138" s="17">
        <f>IFERROR(__xludf.DUMMYFUNCTION("""COMPUTED_VALUE"""),0.007477034821619312)</f>
        <v>0.007477034822</v>
      </c>
      <c r="K138" s="14" t="s">
        <v>270</v>
      </c>
      <c r="L138" s="14" t="s">
        <v>410</v>
      </c>
      <c r="M138" s="14" t="s">
        <v>235</v>
      </c>
      <c r="N138" s="14" t="s">
        <v>236</v>
      </c>
      <c r="O138" s="14" t="s">
        <v>237</v>
      </c>
      <c r="P138" s="14" t="s">
        <v>241</v>
      </c>
    </row>
    <row r="139">
      <c r="A139" s="14" t="str">
        <f>IFERROR(__xludf.DUMMYFUNCTION("""COMPUTED_VALUE"""),"Balaji Amine")</f>
        <v>Balaji Amine</v>
      </c>
      <c r="B139" s="16">
        <f>IFERROR(__xludf.DUMMYFUNCTION("""COMPUTED_VALUE"""),8293.1763762)</f>
        <v>8293.176376</v>
      </c>
      <c r="C139" s="14">
        <f>IFERROR(__xludf.DUMMYFUNCTION("""COMPUTED_VALUE"""),2562.7)</f>
        <v>2562.7</v>
      </c>
      <c r="D139" s="14">
        <f>IFERROR(__xludf.DUMMYFUNCTION("""COMPUTED_VALUE"""),20.06)</f>
        <v>20.06</v>
      </c>
      <c r="E139" s="14">
        <f>IFERROR(__xludf.DUMMYFUNCTION("""COMPUTED_VALUE"""),3841.85)</f>
        <v>3841.85</v>
      </c>
      <c r="F139" s="17">
        <f>IFERROR(__xludf.DUMMYFUNCTION("""COMPUTED_VALUE"""),0.3329515728099744)</f>
        <v>0.3329515728</v>
      </c>
      <c r="G139" s="14">
        <f>IFERROR(__xludf.DUMMYFUNCTION("""COMPUTED_VALUE"""),2530.0)</f>
        <v>2530</v>
      </c>
      <c r="H139" s="17">
        <f>IFERROR(__xludf.DUMMYFUNCTION("""COMPUTED_VALUE"""),0.01292490118577068)</f>
        <v>0.01292490119</v>
      </c>
      <c r="I139" s="14">
        <f>IFERROR(__xludf.DUMMYFUNCTION("""COMPUTED_VALUE"""),2557.4)</f>
        <v>2557.4</v>
      </c>
      <c r="J139" s="17">
        <f>IFERROR(__xludf.DUMMYFUNCTION("""COMPUTED_VALUE"""),0.0020724172988190064)</f>
        <v>0.002072417299</v>
      </c>
      <c r="K139" s="14" t="s">
        <v>270</v>
      </c>
      <c r="L139" s="14" t="s">
        <v>411</v>
      </c>
      <c r="M139" s="14" t="s">
        <v>235</v>
      </c>
      <c r="N139" s="14" t="s">
        <v>236</v>
      </c>
      <c r="O139" s="14" t="s">
        <v>237</v>
      </c>
      <c r="P139" s="14" t="s">
        <v>241</v>
      </c>
    </row>
    <row r="140">
      <c r="A140" s="14" t="str">
        <f>IFERROR(__xludf.DUMMYFUNCTION("""COMPUTED_VALUE"""),"Sonata Software")</f>
        <v>Sonata Software</v>
      </c>
      <c r="B140" s="16">
        <f>IFERROR(__xludf.DUMMYFUNCTION("""COMPUTED_VALUE"""),8104.163)</f>
        <v>8104.163</v>
      </c>
      <c r="C140" s="14">
        <f>IFERROR(__xludf.DUMMYFUNCTION("""COMPUTED_VALUE"""),582.0)</f>
        <v>582</v>
      </c>
      <c r="D140" s="14">
        <f>IFERROR(__xludf.DUMMYFUNCTION("""COMPUTED_VALUE"""),19.25)</f>
        <v>19.25</v>
      </c>
      <c r="E140" s="14">
        <f>IFERROR(__xludf.DUMMYFUNCTION("""COMPUTED_VALUE"""),694.5)</f>
        <v>694.5</v>
      </c>
      <c r="F140" s="17">
        <f>IFERROR(__xludf.DUMMYFUNCTION("""COMPUTED_VALUE"""),0.16198704103671707)</f>
        <v>0.161987041</v>
      </c>
      <c r="G140" s="14">
        <f>IFERROR(__xludf.DUMMYFUNCTION("""COMPUTED_VALUE"""),457.58)</f>
        <v>457.58</v>
      </c>
      <c r="H140" s="17">
        <f>IFERROR(__xludf.DUMMYFUNCTION("""COMPUTED_VALUE"""),0.2719087372699856)</f>
        <v>0.2719087373</v>
      </c>
      <c r="I140" s="14">
        <f>IFERROR(__xludf.DUMMYFUNCTION("""COMPUTED_VALUE"""),574.4)</f>
        <v>574.4</v>
      </c>
      <c r="J140" s="17">
        <f>IFERROR(__xludf.DUMMYFUNCTION("""COMPUTED_VALUE"""),0.013231197771587783)</f>
        <v>0.01323119777</v>
      </c>
      <c r="K140" s="14" t="s">
        <v>324</v>
      </c>
      <c r="L140" s="14" t="s">
        <v>412</v>
      </c>
      <c r="M140" s="14" t="s">
        <v>235</v>
      </c>
      <c r="N140" s="14" t="s">
        <v>236</v>
      </c>
      <c r="O140" s="14" t="s">
        <v>237</v>
      </c>
      <c r="P140" s="14" t="s">
        <v>241</v>
      </c>
    </row>
    <row r="141">
      <c r="A141" s="14" t="str">
        <f>IFERROR(__xludf.DUMMYFUNCTION("""COMPUTED_VALUE"""),"Granules India")</f>
        <v>Granules India</v>
      </c>
      <c r="B141" s="16">
        <f>IFERROR(__xludf.DUMMYFUNCTION("""COMPUTED_VALUE"""),7705.431)</f>
        <v>7705.431</v>
      </c>
      <c r="C141" s="14">
        <f>IFERROR(__xludf.DUMMYFUNCTION("""COMPUTED_VALUE"""),318.6)</f>
        <v>318.6</v>
      </c>
      <c r="D141" s="14">
        <f>IFERROR(__xludf.DUMMYFUNCTION("""COMPUTED_VALUE"""),16.36)</f>
        <v>16.36</v>
      </c>
      <c r="E141" s="14">
        <f>IFERROR(__xludf.DUMMYFUNCTION("""COMPUTED_VALUE"""),381.25)</f>
        <v>381.25</v>
      </c>
      <c r="F141" s="17">
        <f>IFERROR(__xludf.DUMMYFUNCTION("""COMPUTED_VALUE"""),0.16432786885245895)</f>
        <v>0.1643278689</v>
      </c>
      <c r="G141" s="14">
        <f>IFERROR(__xludf.DUMMYFUNCTION("""COMPUTED_VALUE"""),227.0)</f>
        <v>227</v>
      </c>
      <c r="H141" s="17">
        <f>IFERROR(__xludf.DUMMYFUNCTION("""COMPUTED_VALUE"""),0.40352422907489)</f>
        <v>0.4035242291</v>
      </c>
      <c r="I141" s="14">
        <f>IFERROR(__xludf.DUMMYFUNCTION("""COMPUTED_VALUE"""),318.15)</f>
        <v>318.15</v>
      </c>
      <c r="J141" s="17">
        <f>IFERROR(__xludf.DUMMYFUNCTION("""COMPUTED_VALUE"""),0.0014144271570015574)</f>
        <v>0.001414427157</v>
      </c>
      <c r="K141" s="14" t="s">
        <v>259</v>
      </c>
      <c r="L141" s="14" t="s">
        <v>413</v>
      </c>
      <c r="M141" s="14" t="s">
        <v>235</v>
      </c>
      <c r="N141" s="14" t="s">
        <v>236</v>
      </c>
      <c r="O141" s="14" t="s">
        <v>237</v>
      </c>
      <c r="P141" s="14" t="s">
        <v>241</v>
      </c>
    </row>
    <row r="142">
      <c r="A142" s="14" t="str">
        <f>IFERROR(__xludf.DUMMYFUNCTION("""COMPUTED_VALUE"""),"Laxmi Orgamic")</f>
        <v>Laxmi Orgamic</v>
      </c>
      <c r="B142" s="16">
        <f>IFERROR(__xludf.DUMMYFUNCTION("""COMPUTED_VALUE"""),7672.4308321)</f>
        <v>7672.430832</v>
      </c>
      <c r="C142" s="14">
        <f>IFERROR(__xludf.DUMMYFUNCTION("""COMPUTED_VALUE"""),289.4)</f>
        <v>289.4</v>
      </c>
      <c r="D142" s="14">
        <f>IFERROR(__xludf.DUMMYFUNCTION("""COMPUTED_VALUE"""),36.41)</f>
        <v>36.41</v>
      </c>
      <c r="E142" s="14">
        <f>IFERROR(__xludf.DUMMYFUNCTION("""COMPUTED_VALUE"""),501.6)</f>
        <v>501.6</v>
      </c>
      <c r="F142" s="17">
        <f>IFERROR(__xludf.DUMMYFUNCTION("""COMPUTED_VALUE"""),0.4230462519936205)</f>
        <v>0.423046252</v>
      </c>
      <c r="G142" s="14">
        <f>IFERROR(__xludf.DUMMYFUNCTION("""COMPUTED_VALUE"""),274.35)</f>
        <v>274.35</v>
      </c>
      <c r="H142" s="17">
        <f>IFERROR(__xludf.DUMMYFUNCTION("""COMPUTED_VALUE"""),0.05485693457262604)</f>
        <v>0.05485693457</v>
      </c>
      <c r="I142" s="14">
        <f>IFERROR(__xludf.DUMMYFUNCTION("""COMPUTED_VALUE"""),289.25)</f>
        <v>289.25</v>
      </c>
      <c r="J142" s="17">
        <f>IFERROR(__xludf.DUMMYFUNCTION("""COMPUTED_VALUE"""),5.185825410543726E-4)</f>
        <v>0.0005185825411</v>
      </c>
      <c r="K142" s="14" t="s">
        <v>270</v>
      </c>
      <c r="L142" s="14" t="s">
        <v>414</v>
      </c>
      <c r="M142" s="14" t="s">
        <v>235</v>
      </c>
      <c r="N142" s="14" t="s">
        <v>236</v>
      </c>
      <c r="O142" s="14" t="s">
        <v>237</v>
      </c>
      <c r="P142" s="14" t="s">
        <v>241</v>
      </c>
    </row>
    <row r="143">
      <c r="A143" s="14" t="str">
        <f>IFERROR(__xludf.DUMMYFUNCTION("""COMPUTED_VALUE"""),"Infosys")</f>
        <v>Infosys</v>
      </c>
      <c r="B143" s="16">
        <f>IFERROR(__xludf.DUMMYFUNCTION("""COMPUTED_VALUE"""),7658.1331612)</f>
        <v>7658.133161</v>
      </c>
      <c r="C143" s="14">
        <f>IFERROR(__xludf.DUMMYFUNCTION("""COMPUTED_VALUE"""),1503.5)</f>
        <v>1503.5</v>
      </c>
      <c r="D143" s="14">
        <f>IFERROR(__xludf.DUMMYFUNCTION("""COMPUTED_VALUE"""),27.61)</f>
        <v>27.61</v>
      </c>
      <c r="E143" s="14">
        <f>IFERROR(__xludf.DUMMYFUNCTION("""COMPUTED_VALUE"""),1953.7)</f>
        <v>1953.7</v>
      </c>
      <c r="F143" s="17">
        <f>IFERROR(__xludf.DUMMYFUNCTION("""COMPUTED_VALUE"""),0.23043456006551674)</f>
        <v>0.2304345601</v>
      </c>
      <c r="G143" s="14">
        <f>IFERROR(__xludf.DUMMYFUNCTION("""COMPUTED_VALUE"""),1355.5)</f>
        <v>1355.5</v>
      </c>
      <c r="H143" s="17">
        <f>IFERROR(__xludf.DUMMYFUNCTION("""COMPUTED_VALUE"""),0.10918480265584656)</f>
        <v>0.1091848027</v>
      </c>
      <c r="I143" s="14">
        <f>IFERROR(__xludf.DUMMYFUNCTION("""COMPUTED_VALUE"""),1480.55)</f>
        <v>1480.55</v>
      </c>
      <c r="J143" s="17">
        <f>IFERROR(__xludf.DUMMYFUNCTION("""COMPUTED_VALUE"""),0.015500996251393095)</f>
        <v>0.01550099625</v>
      </c>
      <c r="K143" s="14" t="s">
        <v>233</v>
      </c>
      <c r="L143" s="14" t="s">
        <v>415</v>
      </c>
      <c r="M143" s="14" t="s">
        <v>235</v>
      </c>
      <c r="N143" s="14" t="s">
        <v>236</v>
      </c>
      <c r="O143" s="14" t="s">
        <v>237</v>
      </c>
      <c r="P143" s="14" t="s">
        <v>241</v>
      </c>
    </row>
    <row r="144">
      <c r="A144" s="14" t="str">
        <f>IFERROR(__xludf.DUMMYFUNCTION("""COMPUTED_VALUE"""),"Latent View")</f>
        <v>Latent View</v>
      </c>
      <c r="B144" s="16">
        <f>IFERROR(__xludf.DUMMYFUNCTION("""COMPUTED_VALUE"""),7452.986336)</f>
        <v>7452.986336</v>
      </c>
      <c r="C144" s="14">
        <f>IFERROR(__xludf.DUMMYFUNCTION("""COMPUTED_VALUE"""),367.25)</f>
        <v>367.25</v>
      </c>
      <c r="D144" s="14">
        <f>IFERROR(__xludf.DUMMYFUNCTION("""COMPUTED_VALUE"""),49.25)</f>
        <v>49.25</v>
      </c>
      <c r="E144" s="14">
        <f>IFERROR(__xludf.DUMMYFUNCTION("""COMPUTED_VALUE"""),617.4)</f>
        <v>617.4</v>
      </c>
      <c r="F144" s="17">
        <f>IFERROR(__xludf.DUMMYFUNCTION("""COMPUTED_VALUE"""),0.4051668286362164)</f>
        <v>0.4051668286</v>
      </c>
      <c r="G144" s="14">
        <f>IFERROR(__xludf.DUMMYFUNCTION("""COMPUTED_VALUE"""),305.25)</f>
        <v>305.25</v>
      </c>
      <c r="H144" s="17">
        <f>IFERROR(__xludf.DUMMYFUNCTION("""COMPUTED_VALUE"""),0.2031122031122031)</f>
        <v>0.2031122031</v>
      </c>
      <c r="I144" s="14">
        <f>IFERROR(__xludf.DUMMYFUNCTION("""COMPUTED_VALUE"""),368.4)</f>
        <v>368.4</v>
      </c>
      <c r="J144" s="17">
        <f>IFERROR(__xludf.DUMMYFUNCTION("""COMPUTED_VALUE"""),-0.003121606948968451)</f>
        <v>-0.003121606949</v>
      </c>
      <c r="K144" s="14" t="s">
        <v>233</v>
      </c>
      <c r="L144" s="14" t="s">
        <v>416</v>
      </c>
      <c r="M144" s="14" t="s">
        <v>235</v>
      </c>
      <c r="N144" s="14" t="s">
        <v>236</v>
      </c>
      <c r="O144" s="14" t="s">
        <v>237</v>
      </c>
      <c r="P144" s="14" t="s">
        <v>241</v>
      </c>
    </row>
    <row r="145">
      <c r="A145" s="14" t="str">
        <f>IFERROR(__xludf.DUMMYFUNCTION("""COMPUTED_VALUE"""),"ICICI Bank")</f>
        <v>ICICI Bank</v>
      </c>
      <c r="B145" s="16">
        <f>IFERROR(__xludf.DUMMYFUNCTION("""COMPUTED_VALUE"""),7451.4657292)</f>
        <v>7451.465729</v>
      </c>
      <c r="C145" s="14">
        <f>IFERROR(__xludf.DUMMYFUNCTION("""COMPUTED_VALUE"""),873.25)</f>
        <v>873.25</v>
      </c>
      <c r="D145" s="14">
        <f>IFERROR(__xludf.DUMMYFUNCTION("""COMPUTED_VALUE"""),20.88)</f>
        <v>20.88</v>
      </c>
      <c r="E145" s="14">
        <f>IFERROR(__xludf.DUMMYFUNCTION("""COMPUTED_VALUE"""),958.0)</f>
        <v>958</v>
      </c>
      <c r="F145" s="17">
        <f>IFERROR(__xludf.DUMMYFUNCTION("""COMPUTED_VALUE"""),0.08846555323590814)</f>
        <v>0.08846555324</v>
      </c>
      <c r="G145" s="14">
        <f>IFERROR(__xludf.DUMMYFUNCTION("""COMPUTED_VALUE"""),642.0)</f>
        <v>642</v>
      </c>
      <c r="H145" s="17">
        <f>IFERROR(__xludf.DUMMYFUNCTION("""COMPUTED_VALUE"""),0.36020249221183803)</f>
        <v>0.3602024922</v>
      </c>
      <c r="I145" s="14">
        <f>IFERROR(__xludf.DUMMYFUNCTION("""COMPUTED_VALUE"""),861.2)</f>
        <v>861.2</v>
      </c>
      <c r="J145" s="17">
        <f>IFERROR(__xludf.DUMMYFUNCTION("""COMPUTED_VALUE"""),0.013992104040873147)</f>
        <v>0.01399210404</v>
      </c>
      <c r="K145" s="14" t="s">
        <v>242</v>
      </c>
      <c r="L145" s="14" t="s">
        <v>417</v>
      </c>
      <c r="M145" s="14" t="s">
        <v>235</v>
      </c>
      <c r="N145" s="14" t="s">
        <v>236</v>
      </c>
      <c r="O145" s="14" t="s">
        <v>237</v>
      </c>
      <c r="P145" s="14" t="s">
        <v>241</v>
      </c>
    </row>
    <row r="146">
      <c r="A146" s="14" t="str">
        <f>IFERROR(__xludf.DUMMYFUNCTION("""COMPUTED_VALUE"""),"Route Mobile")</f>
        <v>Route Mobile</v>
      </c>
      <c r="B146" s="16">
        <f>IFERROR(__xludf.DUMMYFUNCTION("""COMPUTED_VALUE"""),7415.8287656)</f>
        <v>7415.828766</v>
      </c>
      <c r="C146" s="14">
        <f>IFERROR(__xludf.DUMMYFUNCTION("""COMPUTED_VALUE"""),1190.8)</f>
        <v>1190.8</v>
      </c>
      <c r="D146" s="14">
        <f>IFERROR(__xludf.DUMMYFUNCTION("""COMPUTED_VALUE"""),32.12)</f>
        <v>32.12</v>
      </c>
      <c r="E146" s="14">
        <f>IFERROR(__xludf.DUMMYFUNCTION("""COMPUTED_VALUE"""),1919.0)</f>
        <v>1919</v>
      </c>
      <c r="F146" s="17">
        <f>IFERROR(__xludf.DUMMYFUNCTION("""COMPUTED_VALUE"""),0.37946847316310583)</f>
        <v>0.3794684732</v>
      </c>
      <c r="G146" s="14">
        <f>IFERROR(__xludf.DUMMYFUNCTION("""COMPUTED_VALUE"""),1052.6)</f>
        <v>1052.6</v>
      </c>
      <c r="H146" s="17">
        <f>IFERROR(__xludf.DUMMYFUNCTION("""COMPUTED_VALUE"""),0.1312939388181646)</f>
        <v>0.1312939388</v>
      </c>
      <c r="I146" s="14">
        <f>IFERROR(__xludf.DUMMYFUNCTION("""COMPUTED_VALUE"""),1197.6)</f>
        <v>1197.6</v>
      </c>
      <c r="J146" s="17">
        <f>IFERROR(__xludf.DUMMYFUNCTION("""COMPUTED_VALUE"""),-0.005678022712090811)</f>
        <v>-0.005678022712</v>
      </c>
      <c r="K146" s="14" t="s">
        <v>305</v>
      </c>
      <c r="L146" s="14" t="s">
        <v>418</v>
      </c>
      <c r="M146" s="14" t="s">
        <v>235</v>
      </c>
      <c r="N146" s="14" t="s">
        <v>236</v>
      </c>
      <c r="O146" s="14" t="s">
        <v>237</v>
      </c>
      <c r="P146" s="14" t="s">
        <v>241</v>
      </c>
    </row>
    <row r="147">
      <c r="A147" s="14" t="str">
        <f>IFERROR(__xludf.DUMMYFUNCTION("""COMPUTED_VALUE"""),"craftsman automation")</f>
        <v>craftsman automation</v>
      </c>
      <c r="B147" s="16">
        <f>IFERROR(__xludf.DUMMYFUNCTION("""COMPUTED_VALUE"""),7324.341471)</f>
        <v>7324.341471</v>
      </c>
      <c r="C147" s="14">
        <f>IFERROR(__xludf.DUMMYFUNCTION("""COMPUTED_VALUE"""),3465.1)</f>
        <v>3465.1</v>
      </c>
      <c r="D147" s="14">
        <f>IFERROR(__xludf.DUMMYFUNCTION("""COMPUTED_VALUE"""),35.75)</f>
        <v>35.75</v>
      </c>
      <c r="E147" s="14">
        <f>IFERROR(__xludf.DUMMYFUNCTION("""COMPUTED_VALUE"""),3709.95)</f>
        <v>3709.95</v>
      </c>
      <c r="F147" s="17">
        <f>IFERROR(__xludf.DUMMYFUNCTION("""COMPUTED_VALUE"""),0.06599819404574184)</f>
        <v>0.06599819405</v>
      </c>
      <c r="G147" s="14">
        <f>IFERROR(__xludf.DUMMYFUNCTION("""COMPUTED_VALUE"""),1845.0)</f>
        <v>1845</v>
      </c>
      <c r="H147" s="17">
        <f>IFERROR(__xludf.DUMMYFUNCTION("""COMPUTED_VALUE"""),0.8781029810298102)</f>
        <v>0.878102981</v>
      </c>
      <c r="I147" s="14">
        <f>IFERROR(__xludf.DUMMYFUNCTION("""COMPUTED_VALUE"""),3461.8)</f>
        <v>3461.8</v>
      </c>
      <c r="J147" s="17">
        <f>IFERROR(__xludf.DUMMYFUNCTION("""COMPUTED_VALUE"""),9.532613091454524E-4)</f>
        <v>0.0009532613091</v>
      </c>
      <c r="K147" s="14" t="s">
        <v>349</v>
      </c>
      <c r="L147" s="14" t="s">
        <v>419</v>
      </c>
      <c r="M147" s="14" t="s">
        <v>235</v>
      </c>
      <c r="N147" s="14" t="s">
        <v>236</v>
      </c>
      <c r="O147" s="14" t="s">
        <v>237</v>
      </c>
      <c r="P147" s="14" t="s">
        <v>241</v>
      </c>
    </row>
    <row r="148">
      <c r="A148" s="14" t="str">
        <f>IFERROR(__xludf.DUMMYFUNCTION("""COMPUTED_VALUE"""),"Metropolis Healthcare")</f>
        <v>Metropolis Healthcare</v>
      </c>
      <c r="B148" s="16">
        <f>IFERROR(__xludf.DUMMYFUNCTION("""COMPUTED_VALUE"""),7063.23)</f>
        <v>7063.23</v>
      </c>
      <c r="C148" s="14">
        <f>IFERROR(__xludf.DUMMYFUNCTION("""COMPUTED_VALUE"""),1380.05)</f>
        <v>1380.05</v>
      </c>
      <c r="D148" s="14">
        <f>IFERROR(__xludf.DUMMYFUNCTION("""COMPUTED_VALUE"""),45.85)</f>
        <v>45.85</v>
      </c>
      <c r="E148" s="14">
        <f>IFERROR(__xludf.DUMMYFUNCTION("""COMPUTED_VALUE"""),3142.0)</f>
        <v>3142</v>
      </c>
      <c r="F148" s="17">
        <f>IFERROR(__xludf.DUMMYFUNCTION("""COMPUTED_VALUE"""),0.5607733927434755)</f>
        <v>0.5607733927</v>
      </c>
      <c r="G148" s="14">
        <f>IFERROR(__xludf.DUMMYFUNCTION("""COMPUTED_VALUE"""),1267.05)</f>
        <v>1267.05</v>
      </c>
      <c r="H148" s="17">
        <f>IFERROR(__xludf.DUMMYFUNCTION("""COMPUTED_VALUE"""),0.08918353656130382)</f>
        <v>0.08918353656</v>
      </c>
      <c r="I148" s="14">
        <f>IFERROR(__xludf.DUMMYFUNCTION("""COMPUTED_VALUE"""),1382.35)</f>
        <v>1382.35</v>
      </c>
      <c r="J148" s="17">
        <f>IFERROR(__xludf.DUMMYFUNCTION("""COMPUTED_VALUE"""),-0.0016638333273049188)</f>
        <v>-0.001663833327</v>
      </c>
      <c r="K148" s="14" t="s">
        <v>376</v>
      </c>
      <c r="L148" s="14" t="s">
        <v>420</v>
      </c>
      <c r="M148" s="14" t="s">
        <v>235</v>
      </c>
      <c r="N148" s="14" t="s">
        <v>236</v>
      </c>
      <c r="O148" s="14" t="s">
        <v>237</v>
      </c>
      <c r="P148" s="14" t="s">
        <v>241</v>
      </c>
    </row>
    <row r="149">
      <c r="A149" s="14" t="str">
        <f>IFERROR(__xludf.DUMMYFUNCTION("""COMPUTED_VALUE"""),"GMM Pfaudler")</f>
        <v>GMM Pfaudler</v>
      </c>
      <c r="B149" s="16">
        <f>IFERROR(__xludf.DUMMYFUNCTION("""COMPUTED_VALUE"""),7046.8192293)</f>
        <v>7046.819229</v>
      </c>
      <c r="C149" s="14">
        <f>IFERROR(__xludf.DUMMYFUNCTION("""COMPUTED_VALUE"""),1567.45)</f>
        <v>1567.45</v>
      </c>
      <c r="D149" s="14">
        <f>IFERROR(__xludf.DUMMYFUNCTION("""COMPUTED_VALUE"""),53.87)</f>
        <v>53.87</v>
      </c>
      <c r="E149" s="14">
        <f>IFERROR(__xludf.DUMMYFUNCTION("""COMPUTED_VALUE"""),2110.0)</f>
        <v>2110</v>
      </c>
      <c r="F149" s="17">
        <f>IFERROR(__xludf.DUMMYFUNCTION("""COMPUTED_VALUE"""),0.25713270142180095)</f>
        <v>0.2571327014</v>
      </c>
      <c r="G149" s="14">
        <f>IFERROR(__xludf.DUMMYFUNCTION("""COMPUTED_VALUE"""),1256.67)</f>
        <v>1256.67</v>
      </c>
      <c r="H149" s="17">
        <f>IFERROR(__xludf.DUMMYFUNCTION("""COMPUTED_VALUE"""),0.24730438380800046)</f>
        <v>0.2473043838</v>
      </c>
      <c r="I149" s="14">
        <f>IFERROR(__xludf.DUMMYFUNCTION("""COMPUTED_VALUE"""),1576.95)</f>
        <v>1576.95</v>
      </c>
      <c r="J149" s="17">
        <f>IFERROR(__xludf.DUMMYFUNCTION("""COMPUTED_VALUE"""),-0.006024287390215289)</f>
        <v>-0.00602428739</v>
      </c>
      <c r="K149" s="14" t="s">
        <v>362</v>
      </c>
      <c r="L149" s="14" t="s">
        <v>421</v>
      </c>
      <c r="M149" s="14" t="s">
        <v>235</v>
      </c>
      <c r="N149" s="14" t="s">
        <v>236</v>
      </c>
      <c r="O149" s="14" t="s">
        <v>237</v>
      </c>
      <c r="P149" s="14" t="s">
        <v>241</v>
      </c>
    </row>
    <row r="150">
      <c r="A150" s="14" t="str">
        <f>IFERROR(__xludf.DUMMYFUNCTION("""COMPUTED_VALUE"""),"TCI Express")</f>
        <v>TCI Express</v>
      </c>
      <c r="B150" s="16">
        <f>IFERROR(__xludf.DUMMYFUNCTION("""COMPUTED_VALUE"""),6985.583)</f>
        <v>6985.583</v>
      </c>
      <c r="C150" s="14">
        <f>IFERROR(__xludf.DUMMYFUNCTION("""COMPUTED_VALUE"""),1795.0)</f>
        <v>1795</v>
      </c>
      <c r="D150" s="14">
        <f>IFERROR(__xludf.DUMMYFUNCTION("""COMPUTED_VALUE"""),49.5)</f>
        <v>49.5</v>
      </c>
      <c r="E150" s="14">
        <f>IFERROR(__xludf.DUMMYFUNCTION("""COMPUTED_VALUE"""),2249.0)</f>
        <v>2249</v>
      </c>
      <c r="F150" s="17">
        <f>IFERROR(__xludf.DUMMYFUNCTION("""COMPUTED_VALUE"""),0.20186749666518453)</f>
        <v>0.2018674967</v>
      </c>
      <c r="G150" s="14">
        <f>IFERROR(__xludf.DUMMYFUNCTION("""COMPUTED_VALUE"""),1444.5)</f>
        <v>1444.5</v>
      </c>
      <c r="H150" s="17">
        <f>IFERROR(__xludf.DUMMYFUNCTION("""COMPUTED_VALUE"""),0.24264451367255105)</f>
        <v>0.2426445137</v>
      </c>
      <c r="I150" s="14">
        <f>IFERROR(__xludf.DUMMYFUNCTION("""COMPUTED_VALUE"""),1807.4)</f>
        <v>1807.4</v>
      </c>
      <c r="J150" s="17">
        <f>IFERROR(__xludf.DUMMYFUNCTION("""COMPUTED_VALUE"""),-0.006860683855261752)</f>
        <v>-0.006860683855</v>
      </c>
      <c r="K150" s="14" t="s">
        <v>422</v>
      </c>
      <c r="L150" s="14" t="s">
        <v>423</v>
      </c>
      <c r="M150" s="14" t="s">
        <v>235</v>
      </c>
      <c r="N150" s="14" t="s">
        <v>236</v>
      </c>
      <c r="O150" s="14" t="s">
        <v>237</v>
      </c>
      <c r="P150" s="14" t="s">
        <v>241</v>
      </c>
    </row>
    <row r="151">
      <c r="A151" s="14" t="str">
        <f>IFERROR(__xludf.DUMMYFUNCTION("""COMPUTED_VALUE"""),"Cera Sanitaryware")</f>
        <v>Cera Sanitaryware</v>
      </c>
      <c r="B151" s="16">
        <f>IFERROR(__xludf.DUMMYFUNCTION("""COMPUTED_VALUE"""),6919.97)</f>
        <v>6919.97</v>
      </c>
      <c r="C151" s="14">
        <f>IFERROR(__xludf.DUMMYFUNCTION("""COMPUTED_VALUE"""),5294.0)</f>
        <v>5294</v>
      </c>
      <c r="D151" s="14">
        <f>IFERROR(__xludf.DUMMYFUNCTION("""COMPUTED_VALUE"""),37.0)</f>
        <v>37</v>
      </c>
      <c r="E151" s="14">
        <f>IFERROR(__xludf.DUMMYFUNCTION("""COMPUTED_VALUE"""),6067.95)</f>
        <v>6067.95</v>
      </c>
      <c r="F151" s="17">
        <f>IFERROR(__xludf.DUMMYFUNCTION("""COMPUTED_VALUE"""),0.1275471946868382)</f>
        <v>0.1275471947</v>
      </c>
      <c r="G151" s="14">
        <f>IFERROR(__xludf.DUMMYFUNCTION("""COMPUTED_VALUE"""),3518.6)</f>
        <v>3518.6</v>
      </c>
      <c r="H151" s="17">
        <f>IFERROR(__xludf.DUMMYFUNCTION("""COMPUTED_VALUE"""),0.5045756835104872)</f>
        <v>0.5045756835</v>
      </c>
      <c r="I151" s="14">
        <f>IFERROR(__xludf.DUMMYFUNCTION("""COMPUTED_VALUE"""),5320.0)</f>
        <v>5320</v>
      </c>
      <c r="J151" s="17">
        <f>IFERROR(__xludf.DUMMYFUNCTION("""COMPUTED_VALUE"""),-0.004887218045112782)</f>
        <v>-0.004887218045</v>
      </c>
      <c r="K151" s="14" t="s">
        <v>424</v>
      </c>
      <c r="L151" s="14" t="s">
        <v>425</v>
      </c>
      <c r="M151" s="14" t="s">
        <v>235</v>
      </c>
      <c r="N151" s="14" t="s">
        <v>236</v>
      </c>
      <c r="O151" s="14" t="s">
        <v>237</v>
      </c>
      <c r="P151" s="14" t="s">
        <v>241</v>
      </c>
    </row>
    <row r="152">
      <c r="A152" s="14" t="str">
        <f>IFERROR(__xludf.DUMMYFUNCTION("""COMPUTED_VALUE"""),"Prince Pipe")</f>
        <v>Prince Pipe</v>
      </c>
      <c r="B152" s="16">
        <f>IFERROR(__xludf.DUMMYFUNCTION("""COMPUTED_VALUE"""),6524.233845)</f>
        <v>6524.233845</v>
      </c>
      <c r="C152" s="14">
        <f>IFERROR(__xludf.DUMMYFUNCTION("""COMPUTED_VALUE"""),590.7)</f>
        <v>590.7</v>
      </c>
      <c r="D152" s="14">
        <f>IFERROR(__xludf.DUMMYFUNCTION("""COMPUTED_VALUE"""),44.19)</f>
        <v>44.19</v>
      </c>
      <c r="E152" s="14">
        <f>IFERROR(__xludf.DUMMYFUNCTION("""COMPUTED_VALUE"""),748.0)</f>
        <v>748</v>
      </c>
      <c r="F152" s="17">
        <f>IFERROR(__xludf.DUMMYFUNCTION("""COMPUTED_VALUE"""),0.21029411764705877)</f>
        <v>0.2102941176</v>
      </c>
      <c r="G152" s="14">
        <f>IFERROR(__xludf.DUMMYFUNCTION("""COMPUTED_VALUE"""),513.1)</f>
        <v>513.1</v>
      </c>
      <c r="H152" s="17">
        <f>IFERROR(__xludf.DUMMYFUNCTION("""COMPUTED_VALUE"""),0.1512375755213409)</f>
        <v>0.1512375755</v>
      </c>
      <c r="I152" s="14">
        <f>IFERROR(__xludf.DUMMYFUNCTION("""COMPUTED_VALUE"""),575.3)</f>
        <v>575.3</v>
      </c>
      <c r="J152" s="17">
        <f>IFERROR(__xludf.DUMMYFUNCTION("""COMPUTED_VALUE"""),0.0267686424474189)</f>
        <v>0.02676864245</v>
      </c>
      <c r="K152" s="14" t="s">
        <v>319</v>
      </c>
      <c r="L152" s="14" t="s">
        <v>426</v>
      </c>
      <c r="M152" s="14" t="s">
        <v>235</v>
      </c>
      <c r="N152" s="14" t="s">
        <v>236</v>
      </c>
      <c r="O152" s="14" t="s">
        <v>237</v>
      </c>
      <c r="P152" s="14" t="s">
        <v>241</v>
      </c>
    </row>
    <row r="153">
      <c r="A153" s="14" t="str">
        <f>IFERROR(__xludf.DUMMYFUNCTION("""COMPUTED_VALUE"""),"Praj Industries")</f>
        <v>Praj Industries</v>
      </c>
      <c r="B153" s="16">
        <f>IFERROR(__xludf.DUMMYFUNCTION("""COMPUTED_VALUE"""),6488.72245)</f>
        <v>6488.72245</v>
      </c>
      <c r="C153" s="14">
        <f>IFERROR(__xludf.DUMMYFUNCTION("""COMPUTED_VALUE"""),353.0)</f>
        <v>353</v>
      </c>
      <c r="D153" s="14">
        <f>IFERROR(__xludf.DUMMYFUNCTION("""COMPUTED_VALUE"""),35.19)</f>
        <v>35.19</v>
      </c>
      <c r="E153" s="14">
        <f>IFERROR(__xludf.DUMMYFUNCTION("""COMPUTED_VALUE"""),461.5)</f>
        <v>461.5</v>
      </c>
      <c r="F153" s="17">
        <f>IFERROR(__xludf.DUMMYFUNCTION("""COMPUTED_VALUE"""),0.23510292524377033)</f>
        <v>0.2351029252</v>
      </c>
      <c r="G153" s="14">
        <f>IFERROR(__xludf.DUMMYFUNCTION("""COMPUTED_VALUE"""),289.05)</f>
        <v>289.05</v>
      </c>
      <c r="H153" s="17">
        <f>IFERROR(__xludf.DUMMYFUNCTION("""COMPUTED_VALUE"""),0.22124199965403904)</f>
        <v>0.2212419997</v>
      </c>
      <c r="I153" s="14">
        <f>IFERROR(__xludf.DUMMYFUNCTION("""COMPUTED_VALUE"""),355.1)</f>
        <v>355.1</v>
      </c>
      <c r="J153" s="17">
        <f>IFERROR(__xludf.DUMMYFUNCTION("""COMPUTED_VALUE"""),-0.005913827090960356)</f>
        <v>-0.005913827091</v>
      </c>
      <c r="K153" s="14" t="s">
        <v>362</v>
      </c>
      <c r="L153" s="14" t="s">
        <v>427</v>
      </c>
      <c r="M153" s="14" t="s">
        <v>235</v>
      </c>
      <c r="N153" s="14" t="s">
        <v>236</v>
      </c>
      <c r="O153" s="14" t="s">
        <v>237</v>
      </c>
      <c r="P153" s="14" t="s">
        <v>241</v>
      </c>
    </row>
    <row r="154">
      <c r="A154" s="14" t="str">
        <f>IFERROR(__xludf.DUMMYFUNCTION("""COMPUTED_VALUE"""),"Data Pattern")</f>
        <v>Data Pattern</v>
      </c>
      <c r="B154" s="16">
        <f>IFERROR(__xludf.DUMMYFUNCTION("""COMPUTED_VALUE"""),6367.8328518)</f>
        <v>6367.832852</v>
      </c>
      <c r="C154" s="14">
        <f>IFERROR(__xludf.DUMMYFUNCTION("""COMPUTED_VALUE"""),1227.1)</f>
        <v>1227.1</v>
      </c>
      <c r="D154" s="14">
        <f>IFERROR(__xludf.DUMMYFUNCTION("""COMPUTED_VALUE"""),59.65)</f>
        <v>59.65</v>
      </c>
      <c r="E154" s="14">
        <f>IFERROR(__xludf.DUMMYFUNCTION("""COMPUTED_VALUE"""),1480.0)</f>
        <v>1480</v>
      </c>
      <c r="F154" s="17">
        <f>IFERROR(__xludf.DUMMYFUNCTION("""COMPUTED_VALUE"""),0.17087837837837844)</f>
        <v>0.1708783784</v>
      </c>
      <c r="G154" s="14">
        <f>IFERROR(__xludf.DUMMYFUNCTION("""COMPUTED_VALUE"""),575.0)</f>
        <v>575</v>
      </c>
      <c r="H154" s="17">
        <f>IFERROR(__xludf.DUMMYFUNCTION("""COMPUTED_VALUE"""),1.134086956521739)</f>
        <v>1.134086957</v>
      </c>
      <c r="I154" s="14">
        <f>IFERROR(__xludf.DUMMYFUNCTION("""COMPUTED_VALUE"""),1161.25)</f>
        <v>1161.25</v>
      </c>
      <c r="J154" s="17">
        <f>IFERROR(__xludf.DUMMYFUNCTION("""COMPUTED_VALUE"""),0.05670613562970929)</f>
        <v>0.05670613563</v>
      </c>
      <c r="K154" s="14" t="s">
        <v>305</v>
      </c>
      <c r="L154" s="14" t="s">
        <v>428</v>
      </c>
      <c r="M154" s="14" t="s">
        <v>235</v>
      </c>
      <c r="N154" s="14" t="s">
        <v>236</v>
      </c>
      <c r="O154" s="14" t="s">
        <v>237</v>
      </c>
      <c r="P154" s="14" t="s">
        <v>241</v>
      </c>
    </row>
    <row r="155">
      <c r="A155" s="14" t="str">
        <f>IFERROR(__xludf.DUMMYFUNCTION("""COMPUTED_VALUE"""),"Amber Enterprise")</f>
        <v>Amber Enterprise</v>
      </c>
      <c r="B155" s="16">
        <f>IFERROR(__xludf.DUMMYFUNCTION("""COMPUTED_VALUE"""),6297.527)</f>
        <v>6297.527</v>
      </c>
      <c r="C155" s="14">
        <f>IFERROR(__xludf.DUMMYFUNCTION("""COMPUTED_VALUE"""),1870.0)</f>
        <v>1870</v>
      </c>
      <c r="D155" s="14">
        <f>IFERROR(__xludf.DUMMYFUNCTION("""COMPUTED_VALUE"""),49.07)</f>
        <v>49.07</v>
      </c>
      <c r="E155" s="14">
        <f>IFERROR(__xludf.DUMMYFUNCTION("""COMPUTED_VALUE"""),4023.65)</f>
        <v>4023.65</v>
      </c>
      <c r="F155" s="17">
        <f>IFERROR(__xludf.DUMMYFUNCTION("""COMPUTED_VALUE"""),0.5352478471039976)</f>
        <v>0.5352478471</v>
      </c>
      <c r="G155" s="14">
        <f>IFERROR(__xludf.DUMMYFUNCTION("""COMPUTED_VALUE"""),1844.15)</f>
        <v>1844.15</v>
      </c>
      <c r="H155" s="17">
        <f>IFERROR(__xludf.DUMMYFUNCTION("""COMPUTED_VALUE"""),0.014017297942141316)</f>
        <v>0.01401729794</v>
      </c>
      <c r="I155" s="14">
        <f>IFERROR(__xludf.DUMMYFUNCTION("""COMPUTED_VALUE"""),1876.0)</f>
        <v>1876</v>
      </c>
      <c r="J155" s="17">
        <f>IFERROR(__xludf.DUMMYFUNCTION("""COMPUTED_VALUE"""),-0.0031982942430703624)</f>
        <v>-0.003198294243</v>
      </c>
      <c r="K155" s="14" t="s">
        <v>362</v>
      </c>
      <c r="L155" s="14" t="s">
        <v>429</v>
      </c>
      <c r="M155" s="14" t="s">
        <v>235</v>
      </c>
      <c r="N155" s="14" t="s">
        <v>236</v>
      </c>
      <c r="O155" s="14" t="s">
        <v>237</v>
      </c>
      <c r="P155" s="14" t="s">
        <v>241</v>
      </c>
    </row>
    <row r="156">
      <c r="A156" s="14" t="str">
        <f>IFERROR(__xludf.DUMMYFUNCTION("""COMPUTED_VALUE"""),"Garware technical")</f>
        <v>Garware technical</v>
      </c>
      <c r="B156" s="16">
        <f>IFERROR(__xludf.DUMMYFUNCTION("""COMPUTED_VALUE"""),6152.5851506)</f>
        <v>6152.585151</v>
      </c>
      <c r="C156" s="14">
        <f>IFERROR(__xludf.DUMMYFUNCTION("""COMPUTED_VALUE"""),3024.95)</f>
        <v>3024.95</v>
      </c>
      <c r="D156" s="14">
        <f>IFERROR(__xludf.DUMMYFUNCTION("""COMPUTED_VALUE"""),37.14)</f>
        <v>37.14</v>
      </c>
      <c r="E156" s="14">
        <f>IFERROR(__xludf.DUMMYFUNCTION("""COMPUTED_VALUE"""),3754.85)</f>
        <v>3754.85</v>
      </c>
      <c r="F156" s="17">
        <f>IFERROR(__xludf.DUMMYFUNCTION("""COMPUTED_VALUE"""),0.19438859075595566)</f>
        <v>0.1943885908</v>
      </c>
      <c r="G156" s="14">
        <f>IFERROR(__xludf.DUMMYFUNCTION("""COMPUTED_VALUE"""),2619.8)</f>
        <v>2619.8</v>
      </c>
      <c r="H156" s="17">
        <f>IFERROR(__xludf.DUMMYFUNCTION("""COMPUTED_VALUE"""),0.1546492098633482)</f>
        <v>0.1546492099</v>
      </c>
      <c r="I156" s="14">
        <f>IFERROR(__xludf.DUMMYFUNCTION("""COMPUTED_VALUE"""),3026.7)</f>
        <v>3026.7</v>
      </c>
      <c r="J156" s="17">
        <f>IFERROR(__xludf.DUMMYFUNCTION("""COMPUTED_VALUE"""),-5.781874648957611E-4)</f>
        <v>-0.0005781874649</v>
      </c>
      <c r="K156" s="14" t="s">
        <v>311</v>
      </c>
      <c r="L156" s="14" t="s">
        <v>430</v>
      </c>
      <c r="M156" s="14" t="s">
        <v>235</v>
      </c>
      <c r="N156" s="14" t="s">
        <v>236</v>
      </c>
      <c r="O156" s="14" t="s">
        <v>237</v>
      </c>
      <c r="P156" s="14" t="s">
        <v>241</v>
      </c>
    </row>
    <row r="157">
      <c r="A157" s="14" t="str">
        <f>IFERROR(__xludf.DUMMYFUNCTION("""COMPUTED_VALUE"""),"MapmyIndia")</f>
        <v>MapmyIndia</v>
      </c>
      <c r="B157" s="16">
        <f>IFERROR(__xludf.DUMMYFUNCTION("""COMPUTED_VALUE"""),5752.7067025)</f>
        <v>5752.706703</v>
      </c>
      <c r="C157" s="14">
        <f>IFERROR(__xludf.DUMMYFUNCTION("""COMPUTED_VALUE"""),1071.5)</f>
        <v>1071.5</v>
      </c>
      <c r="D157" s="14">
        <f>IFERROR(__xludf.DUMMYFUNCTION("""COMPUTED_VALUE"""),65.24)</f>
        <v>65.24</v>
      </c>
      <c r="E157" s="14">
        <f>IFERROR(__xludf.DUMMYFUNCTION("""COMPUTED_VALUE"""),1918.35)</f>
        <v>1918.35</v>
      </c>
      <c r="F157" s="17">
        <f>IFERROR(__xludf.DUMMYFUNCTION("""COMPUTED_VALUE"""),0.4414470769150572)</f>
        <v>0.4414470769</v>
      </c>
      <c r="G157" s="14">
        <f>IFERROR(__xludf.DUMMYFUNCTION("""COMPUTED_VALUE"""),1023.2)</f>
        <v>1023.2</v>
      </c>
      <c r="H157" s="17">
        <f>IFERROR(__xludf.DUMMYFUNCTION("""COMPUTED_VALUE"""),0.04720484753713834)</f>
        <v>0.04720484754</v>
      </c>
      <c r="I157" s="14">
        <f>IFERROR(__xludf.DUMMYFUNCTION("""COMPUTED_VALUE"""),1069.9)</f>
        <v>1069.9</v>
      </c>
      <c r="J157" s="17">
        <f>IFERROR(__xludf.DUMMYFUNCTION("""COMPUTED_VALUE"""),0.0014954668660621636)</f>
        <v>0.001495466866</v>
      </c>
      <c r="K157" s="14" t="s">
        <v>305</v>
      </c>
      <c r="L157" s="14" t="s">
        <v>431</v>
      </c>
      <c r="M157" s="14" t="s">
        <v>235</v>
      </c>
      <c r="N157" s="14" t="s">
        <v>236</v>
      </c>
      <c r="O157" s="14" t="s">
        <v>237</v>
      </c>
      <c r="P157" s="14" t="s">
        <v>241</v>
      </c>
    </row>
    <row r="158">
      <c r="A158" s="14" t="str">
        <f>IFERROR(__xludf.DUMMYFUNCTION("""COMPUTED_VALUE"""),"Borosil Renewable")</f>
        <v>Borosil Renewable</v>
      </c>
      <c r="B158" s="16">
        <f>IFERROR(__xludf.DUMMYFUNCTION("""COMPUTED_VALUE"""),5686.243)</f>
        <v>5686.243</v>
      </c>
      <c r="C158" s="14">
        <f>IFERROR(__xludf.DUMMYFUNCTION("""COMPUTED_VALUE"""),499.35)</f>
        <v>499.35</v>
      </c>
      <c r="D158" s="14">
        <f>IFERROR(__xludf.DUMMYFUNCTION("""COMPUTED_VALUE"""),39.43)</f>
        <v>39.43</v>
      </c>
      <c r="E158" s="14">
        <f>IFERROR(__xludf.DUMMYFUNCTION("""COMPUTED_VALUE"""),833.0)</f>
        <v>833</v>
      </c>
      <c r="F158" s="17">
        <f>IFERROR(__xludf.DUMMYFUNCTION("""COMPUTED_VALUE"""),0.40054021608643453)</f>
        <v>0.4005402161</v>
      </c>
      <c r="G158" s="14">
        <f>IFERROR(__xludf.DUMMYFUNCTION("""COMPUTED_VALUE"""),468.0)</f>
        <v>468</v>
      </c>
      <c r="H158" s="17">
        <f>IFERROR(__xludf.DUMMYFUNCTION("""COMPUTED_VALUE"""),0.06698717948717954)</f>
        <v>0.06698717949</v>
      </c>
      <c r="I158" s="14">
        <f>IFERROR(__xludf.DUMMYFUNCTION("""COMPUTED_VALUE"""),494.9)</f>
        <v>494.9</v>
      </c>
      <c r="J158" s="17">
        <f>IFERROR(__xludf.DUMMYFUNCTION("""COMPUTED_VALUE"""),0.008991715498080513)</f>
        <v>0.008991715498</v>
      </c>
      <c r="K158" s="14" t="s">
        <v>362</v>
      </c>
      <c r="L158" s="14" t="s">
        <v>432</v>
      </c>
      <c r="M158" s="14" t="s">
        <v>235</v>
      </c>
      <c r="N158" s="14" t="s">
        <v>236</v>
      </c>
      <c r="O158" s="14" t="s">
        <v>237</v>
      </c>
      <c r="P158" s="14" t="s">
        <v>241</v>
      </c>
    </row>
    <row r="159">
      <c r="A159" s="14" t="str">
        <f>IFERROR(__xludf.DUMMYFUNCTION("""COMPUTED_VALUE"""),"Orient Electric")</f>
        <v>Orient Electric</v>
      </c>
      <c r="B159" s="16">
        <f>IFERROR(__xludf.DUMMYFUNCTION("""COMPUTED_VALUE"""),5679.5794914)</f>
        <v>5679.579491</v>
      </c>
      <c r="C159" s="14">
        <f>IFERROR(__xludf.DUMMYFUNCTION("""COMPUTED_VALUE"""),267.2)</f>
        <v>267.2</v>
      </c>
      <c r="D159" s="14">
        <f>IFERROR(__xludf.DUMMYFUNCTION("""COMPUTED_VALUE"""),53.9)</f>
        <v>53.9</v>
      </c>
      <c r="E159" s="14">
        <f>IFERROR(__xludf.DUMMYFUNCTION("""COMPUTED_VALUE"""),372.2)</f>
        <v>372.2</v>
      </c>
      <c r="F159" s="17">
        <f>IFERROR(__xludf.DUMMYFUNCTION("""COMPUTED_VALUE"""),0.2821063944116067)</f>
        <v>0.2821063944</v>
      </c>
      <c r="G159" s="14">
        <f>IFERROR(__xludf.DUMMYFUNCTION("""COMPUTED_VALUE"""),244.0)</f>
        <v>244</v>
      </c>
      <c r="H159" s="17">
        <f>IFERROR(__xludf.DUMMYFUNCTION("""COMPUTED_VALUE"""),0.09508196721311471)</f>
        <v>0.09508196721</v>
      </c>
      <c r="I159" s="14">
        <f>IFERROR(__xludf.DUMMYFUNCTION("""COMPUTED_VALUE"""),268.4)</f>
        <v>268.4</v>
      </c>
      <c r="J159" s="17">
        <f>IFERROR(__xludf.DUMMYFUNCTION("""COMPUTED_VALUE"""),-0.004470938897168364)</f>
        <v>-0.004470938897</v>
      </c>
      <c r="K159" s="14" t="s">
        <v>287</v>
      </c>
      <c r="L159" s="14" t="s">
        <v>433</v>
      </c>
      <c r="M159" s="14" t="s">
        <v>235</v>
      </c>
      <c r="N159" s="14" t="s">
        <v>236</v>
      </c>
      <c r="O159" s="14" t="s">
        <v>237</v>
      </c>
      <c r="P159" s="14" t="s">
        <v>241</v>
      </c>
    </row>
    <row r="160">
      <c r="A160" s="14" t="str">
        <f>IFERROR(__xludf.DUMMYFUNCTION("""COMPUTED_VALUE"""),"Gujarat Ambuja Export")</f>
        <v>Gujarat Ambuja Export</v>
      </c>
      <c r="B160" s="16">
        <f>IFERROR(__xludf.DUMMYFUNCTION("""COMPUTED_VALUE"""),5515.515)</f>
        <v>5515.515</v>
      </c>
      <c r="C160" s="14">
        <f>IFERROR(__xludf.DUMMYFUNCTION("""COMPUTED_VALUE"""),241.5)</f>
        <v>241.5</v>
      </c>
      <c r="D160" s="14">
        <f>IFERROR(__xludf.DUMMYFUNCTION("""COMPUTED_VALUE"""),12.67)</f>
        <v>12.67</v>
      </c>
      <c r="E160" s="14">
        <f>IFERROR(__xludf.DUMMYFUNCTION("""COMPUTED_VALUE"""),393.85)</f>
        <v>393.85</v>
      </c>
      <c r="F160" s="17">
        <f>IFERROR(__xludf.DUMMYFUNCTION("""COMPUTED_VALUE"""),0.38682239431255555)</f>
        <v>0.3868223943</v>
      </c>
      <c r="G160" s="14">
        <f>IFERROR(__xludf.DUMMYFUNCTION("""COMPUTED_VALUE"""),169.25)</f>
        <v>169.25</v>
      </c>
      <c r="H160" s="17">
        <f>IFERROR(__xludf.DUMMYFUNCTION("""COMPUTED_VALUE"""),0.42688330871491875)</f>
        <v>0.4268833087</v>
      </c>
      <c r="I160" s="14">
        <f>IFERROR(__xludf.DUMMYFUNCTION("""COMPUTED_VALUE"""),236.7)</f>
        <v>236.7</v>
      </c>
      <c r="J160" s="17">
        <f>IFERROR(__xludf.DUMMYFUNCTION("""COMPUTED_VALUE"""),0.020278833967046942)</f>
        <v>0.02027883397</v>
      </c>
      <c r="K160" s="14"/>
      <c r="L160" s="14" t="s">
        <v>434</v>
      </c>
      <c r="M160" s="14" t="s">
        <v>235</v>
      </c>
      <c r="N160" s="14" t="s">
        <v>236</v>
      </c>
      <c r="O160" s="14" t="s">
        <v>237</v>
      </c>
      <c r="P160" s="14" t="s">
        <v>241</v>
      </c>
    </row>
    <row r="161">
      <c r="A161" s="14" t="str">
        <f>IFERROR(__xludf.DUMMYFUNCTION("""COMPUTED_VALUE"""),"Avanti Feed")</f>
        <v>Avanti Feed</v>
      </c>
      <c r="B161" s="16">
        <f>IFERROR(__xludf.DUMMYFUNCTION("""COMPUTED_VALUE"""),5305.4035808)</f>
        <v>5305.403581</v>
      </c>
      <c r="C161" s="14">
        <f>IFERROR(__xludf.DUMMYFUNCTION("""COMPUTED_VALUE"""),389.4)</f>
        <v>389.4</v>
      </c>
      <c r="D161" s="14">
        <f>IFERROR(__xludf.DUMMYFUNCTION("""COMPUTED_VALUE"""),21.44)</f>
        <v>21.44</v>
      </c>
      <c r="E161" s="14">
        <f>IFERROR(__xludf.DUMMYFUNCTION("""COMPUTED_VALUE"""),638.8)</f>
        <v>638.8</v>
      </c>
      <c r="F161" s="17">
        <f>IFERROR(__xludf.DUMMYFUNCTION("""COMPUTED_VALUE"""),0.39041953663118345)</f>
        <v>0.3904195366</v>
      </c>
      <c r="G161" s="14">
        <f>IFERROR(__xludf.DUMMYFUNCTION("""COMPUTED_VALUE"""),364.1)</f>
        <v>364.1</v>
      </c>
      <c r="H161" s="17">
        <f>IFERROR(__xludf.DUMMYFUNCTION("""COMPUTED_VALUE"""),0.06948640483383672)</f>
        <v>0.06948640483</v>
      </c>
      <c r="I161" s="14">
        <f>IFERROR(__xludf.DUMMYFUNCTION("""COMPUTED_VALUE"""),388.7)</f>
        <v>388.7</v>
      </c>
      <c r="J161" s="17">
        <f>IFERROR(__xludf.DUMMYFUNCTION("""COMPUTED_VALUE"""),0.001800874710573678)</f>
        <v>0.001800874711</v>
      </c>
      <c r="K161" s="14" t="s">
        <v>285</v>
      </c>
      <c r="L161" s="14" t="s">
        <v>435</v>
      </c>
      <c r="M161" s="14" t="s">
        <v>235</v>
      </c>
      <c r="N161" s="14" t="s">
        <v>236</v>
      </c>
      <c r="O161" s="14" t="s">
        <v>237</v>
      </c>
      <c r="P161" s="14" t="s">
        <v>241</v>
      </c>
    </row>
    <row r="162">
      <c r="A162" s="14" t="str">
        <f>IFERROR(__xludf.DUMMYFUNCTION("""COMPUTED_VALUE"""),"MTAR")</f>
        <v>MTAR</v>
      </c>
      <c r="B162" s="16">
        <f>IFERROR(__xludf.DUMMYFUNCTION("""COMPUTED_VALUE"""),5182.98923)</f>
        <v>5182.98923</v>
      </c>
      <c r="C162" s="14">
        <f>IFERROR(__xludf.DUMMYFUNCTION("""COMPUTED_VALUE"""),1688.15)</f>
        <v>1688.15</v>
      </c>
      <c r="D162" s="14">
        <f>IFERROR(__xludf.DUMMYFUNCTION("""COMPUTED_VALUE"""),70.16)</f>
        <v>70.16</v>
      </c>
      <c r="E162" s="14">
        <f>IFERROR(__xludf.DUMMYFUNCTION("""COMPUTED_VALUE"""),2409.15)</f>
        <v>2409.15</v>
      </c>
      <c r="F162" s="17">
        <f>IFERROR(__xludf.DUMMYFUNCTION("""COMPUTED_VALUE"""),0.2992756781437436)</f>
        <v>0.2992756781</v>
      </c>
      <c r="G162" s="14">
        <f>IFERROR(__xludf.DUMMYFUNCTION("""COMPUTED_VALUE"""),1211.85)</f>
        <v>1211.85</v>
      </c>
      <c r="H162" s="17">
        <f>IFERROR(__xludf.DUMMYFUNCTION("""COMPUTED_VALUE"""),0.3930354416800761)</f>
        <v>0.3930354417</v>
      </c>
      <c r="I162" s="14">
        <f>IFERROR(__xludf.DUMMYFUNCTION("""COMPUTED_VALUE"""),1670.5)</f>
        <v>1670.5</v>
      </c>
      <c r="J162" s="17">
        <f>IFERROR(__xludf.DUMMYFUNCTION("""COMPUTED_VALUE"""),0.010565698892547196)</f>
        <v>0.01056569889</v>
      </c>
      <c r="K162" s="14" t="s">
        <v>322</v>
      </c>
      <c r="L162" s="14" t="s">
        <v>436</v>
      </c>
      <c r="M162" s="14" t="s">
        <v>235</v>
      </c>
      <c r="N162" s="14" t="s">
        <v>236</v>
      </c>
      <c r="O162" s="14" t="s">
        <v>237</v>
      </c>
      <c r="P162" s="14" t="s">
        <v>241</v>
      </c>
    </row>
    <row r="163">
      <c r="A163" s="14" t="str">
        <f>IFERROR(__xludf.DUMMYFUNCTION("""COMPUTED_VALUE"""),"Mastek")</f>
        <v>Mastek</v>
      </c>
      <c r="B163" s="16">
        <f>IFERROR(__xludf.DUMMYFUNCTION("""COMPUTED_VALUE"""),5153.9576635)</f>
        <v>5153.957664</v>
      </c>
      <c r="C163" s="14">
        <f>IFERROR(__xludf.DUMMYFUNCTION("""COMPUTED_VALUE"""),1714.7)</f>
        <v>1714.7</v>
      </c>
      <c r="D163" s="14">
        <f>IFERROR(__xludf.DUMMYFUNCTION("""COMPUTED_VALUE"""),17.12)</f>
        <v>17.12</v>
      </c>
      <c r="E163" s="14">
        <f>IFERROR(__xludf.DUMMYFUNCTION("""COMPUTED_VALUE"""),3410.85)</f>
        <v>3410.85</v>
      </c>
      <c r="F163" s="17">
        <f>IFERROR(__xludf.DUMMYFUNCTION("""COMPUTED_VALUE"""),0.49728073647331306)</f>
        <v>0.4972807365</v>
      </c>
      <c r="G163" s="14">
        <f>IFERROR(__xludf.DUMMYFUNCTION("""COMPUTED_VALUE"""),1492.0)</f>
        <v>1492</v>
      </c>
      <c r="H163" s="17">
        <f>IFERROR(__xludf.DUMMYFUNCTION("""COMPUTED_VALUE"""),0.14926273458445044)</f>
        <v>0.1492627346</v>
      </c>
      <c r="I163" s="14">
        <f>IFERROR(__xludf.DUMMYFUNCTION("""COMPUTED_VALUE"""),1693.7)</f>
        <v>1693.7</v>
      </c>
      <c r="J163" s="17">
        <f>IFERROR(__xludf.DUMMYFUNCTION("""COMPUTED_VALUE"""),0.012398890004132962)</f>
        <v>0.01239889</v>
      </c>
      <c r="K163" s="14" t="s">
        <v>233</v>
      </c>
      <c r="L163" s="14" t="s">
        <v>437</v>
      </c>
      <c r="M163" s="14" t="s">
        <v>235</v>
      </c>
      <c r="N163" s="14" t="s">
        <v>236</v>
      </c>
      <c r="O163" s="14" t="s">
        <v>237</v>
      </c>
      <c r="P163" s="14" t="s">
        <v>241</v>
      </c>
    </row>
    <row r="164">
      <c r="A164" s="14" t="str">
        <f>IFERROR(__xludf.DUMMYFUNCTION("""COMPUTED_VALUE"""),"Vaibhav Global")</f>
        <v>Vaibhav Global</v>
      </c>
      <c r="B164" s="16">
        <f>IFERROR(__xludf.DUMMYFUNCTION("""COMPUTED_VALUE"""),4927.69342)</f>
        <v>4927.69342</v>
      </c>
      <c r="C164" s="14">
        <f>IFERROR(__xludf.DUMMYFUNCTION("""COMPUTED_VALUE"""),299.0)</f>
        <v>299</v>
      </c>
      <c r="D164" s="14">
        <f>IFERROR(__xludf.DUMMYFUNCTION("""COMPUTED_VALUE"""),35.85)</f>
        <v>35.85</v>
      </c>
      <c r="E164" s="14">
        <f>IFERROR(__xludf.DUMMYFUNCTION("""COMPUTED_VALUE"""),566.5)</f>
        <v>566.5</v>
      </c>
      <c r="F164" s="17">
        <f>IFERROR(__xludf.DUMMYFUNCTION("""COMPUTED_VALUE"""),0.47219770520741394)</f>
        <v>0.4721977052</v>
      </c>
      <c r="G164" s="14">
        <f>IFERROR(__xludf.DUMMYFUNCTION("""COMPUTED_VALUE"""),288.0)</f>
        <v>288</v>
      </c>
      <c r="H164" s="17">
        <f>IFERROR(__xludf.DUMMYFUNCTION("""COMPUTED_VALUE"""),0.03819444444444445)</f>
        <v>0.03819444444</v>
      </c>
      <c r="I164" s="14">
        <f>IFERROR(__xludf.DUMMYFUNCTION("""COMPUTED_VALUE"""),297.35)</f>
        <v>297.35</v>
      </c>
      <c r="J164" s="17">
        <f>IFERROR(__xludf.DUMMYFUNCTION("""COMPUTED_VALUE"""),0.0055490163107448365)</f>
        <v>0.005549016311</v>
      </c>
      <c r="K164" s="14" t="s">
        <v>262</v>
      </c>
      <c r="L164" s="14" t="s">
        <v>438</v>
      </c>
      <c r="M164" s="14" t="s">
        <v>235</v>
      </c>
      <c r="N164" s="14" t="s">
        <v>236</v>
      </c>
      <c r="O164" s="14" t="s">
        <v>237</v>
      </c>
      <c r="P164" s="14" t="s">
        <v>241</v>
      </c>
    </row>
    <row r="165">
      <c r="A165" s="14" t="str">
        <f>IFERROR(__xludf.DUMMYFUNCTION("""COMPUTED_VALUE"""),"Polyplex Corporation")</f>
        <v>Polyplex Corporation</v>
      </c>
      <c r="B165" s="16">
        <f>IFERROR(__xludf.DUMMYFUNCTION("""COMPUTED_VALUE"""),4868.970546)</f>
        <v>4868.970546</v>
      </c>
      <c r="C165" s="14">
        <f>IFERROR(__xludf.DUMMYFUNCTION("""COMPUTED_VALUE"""),1555.0)</f>
        <v>1555</v>
      </c>
      <c r="D165" s="14">
        <f>IFERROR(__xludf.DUMMYFUNCTION("""COMPUTED_VALUE"""),7.36)</f>
        <v>7.36</v>
      </c>
      <c r="E165" s="14">
        <f>IFERROR(__xludf.DUMMYFUNCTION("""COMPUTED_VALUE"""),2870.0)</f>
        <v>2870</v>
      </c>
      <c r="F165" s="17">
        <f>IFERROR(__xludf.DUMMYFUNCTION("""COMPUTED_VALUE"""),0.45818815331010454)</f>
        <v>0.4581881533</v>
      </c>
      <c r="G165" s="14">
        <f>IFERROR(__xludf.DUMMYFUNCTION("""COMPUTED_VALUE"""),1463.3)</f>
        <v>1463.3</v>
      </c>
      <c r="H165" s="17">
        <f>IFERROR(__xludf.DUMMYFUNCTION("""COMPUTED_VALUE"""),0.062666575548418)</f>
        <v>0.06266657555</v>
      </c>
      <c r="I165" s="14">
        <f>IFERROR(__xludf.DUMMYFUNCTION("""COMPUTED_VALUE"""),1559.1)</f>
        <v>1559.1</v>
      </c>
      <c r="J165" s="17">
        <f>IFERROR(__xludf.DUMMYFUNCTION("""COMPUTED_VALUE"""),-0.0026297222756718037)</f>
        <v>-0.002629722276</v>
      </c>
      <c r="K165" s="14" t="s">
        <v>439</v>
      </c>
      <c r="L165" s="14" t="s">
        <v>440</v>
      </c>
      <c r="M165" s="14" t="s">
        <v>235</v>
      </c>
      <c r="N165" s="14" t="s">
        <v>236</v>
      </c>
      <c r="O165" s="14" t="s">
        <v>237</v>
      </c>
      <c r="P165" s="14" t="s">
        <v>241</v>
      </c>
    </row>
    <row r="166">
      <c r="A166" s="14" t="str">
        <f>IFERROR(__xludf.DUMMYFUNCTION("""COMPUTED_VALUE"""),"Zensar Tech")</f>
        <v>Zensar Tech</v>
      </c>
      <c r="B166" s="16">
        <f>IFERROR(__xludf.DUMMYFUNCTION("""COMPUTED_VALUE"""),4785.1628071)</f>
        <v>4785.162807</v>
      </c>
      <c r="C166" s="14">
        <f>IFERROR(__xludf.DUMMYFUNCTION("""COMPUTED_VALUE"""),211.35)</f>
        <v>211.35</v>
      </c>
      <c r="D166" s="14">
        <f>IFERROR(__xludf.DUMMYFUNCTION("""COMPUTED_VALUE"""),13.73)</f>
        <v>13.73</v>
      </c>
      <c r="E166" s="14">
        <f>IFERROR(__xludf.DUMMYFUNCTION("""COMPUTED_VALUE"""),496.1)</f>
        <v>496.1</v>
      </c>
      <c r="F166" s="17">
        <f>IFERROR(__xludf.DUMMYFUNCTION("""COMPUTED_VALUE"""),0.5739770207619431)</f>
        <v>0.5739770208</v>
      </c>
      <c r="G166" s="14">
        <f>IFERROR(__xludf.DUMMYFUNCTION("""COMPUTED_VALUE"""),202.0)</f>
        <v>202</v>
      </c>
      <c r="H166" s="17">
        <f>IFERROR(__xludf.DUMMYFUNCTION("""COMPUTED_VALUE"""),0.04628712871287126)</f>
        <v>0.04628712871</v>
      </c>
      <c r="I166" s="14">
        <f>IFERROR(__xludf.DUMMYFUNCTION("""COMPUTED_VALUE"""),212.4)</f>
        <v>212.4</v>
      </c>
      <c r="J166" s="17">
        <f>IFERROR(__xludf.DUMMYFUNCTION("""COMPUTED_VALUE"""),-0.00494350282485881)</f>
        <v>-0.004943502825</v>
      </c>
      <c r="K166" s="14" t="s">
        <v>233</v>
      </c>
      <c r="L166" s="14" t="s">
        <v>441</v>
      </c>
      <c r="M166" s="14" t="s">
        <v>235</v>
      </c>
      <c r="N166" s="14" t="s">
        <v>236</v>
      </c>
      <c r="O166" s="14" t="s">
        <v>237</v>
      </c>
      <c r="P166" s="14" t="s">
        <v>241</v>
      </c>
    </row>
    <row r="167">
      <c r="A167" s="14" t="str">
        <f>IFERROR(__xludf.DUMMYFUNCTION("""COMPUTED_VALUE"""),"Lux Industries")</f>
        <v>Lux Industries</v>
      </c>
      <c r="B167" s="16">
        <f>IFERROR(__xludf.DUMMYFUNCTION("""COMPUTED_VALUE"""),4564.43)</f>
        <v>4564.43</v>
      </c>
      <c r="C167" s="14">
        <f>IFERROR(__xludf.DUMMYFUNCTION("""COMPUTED_VALUE"""),1524.7)</f>
        <v>1524.7</v>
      </c>
      <c r="D167" s="14">
        <f>IFERROR(__xludf.DUMMYFUNCTION("""COMPUTED_VALUE"""),17.12)</f>
        <v>17.12</v>
      </c>
      <c r="E167" s="14">
        <f>IFERROR(__xludf.DUMMYFUNCTION("""COMPUTED_VALUE"""),3925.0)</f>
        <v>3925</v>
      </c>
      <c r="F167" s="17">
        <f>IFERROR(__xludf.DUMMYFUNCTION("""COMPUTED_VALUE"""),0.6115414012738853)</f>
        <v>0.6115414013</v>
      </c>
      <c r="G167" s="14">
        <f>IFERROR(__xludf.DUMMYFUNCTION("""COMPUTED_VALUE"""),1515.1)</f>
        <v>1515.1</v>
      </c>
      <c r="H167" s="17">
        <f>IFERROR(__xludf.DUMMYFUNCTION("""COMPUTED_VALUE"""),0.0063362154313247555)</f>
        <v>0.006336215431</v>
      </c>
      <c r="I167" s="14">
        <f>IFERROR(__xludf.DUMMYFUNCTION("""COMPUTED_VALUE"""),1526.65)</f>
        <v>1526.65</v>
      </c>
      <c r="J167" s="17">
        <f>IFERROR(__xludf.DUMMYFUNCTION("""COMPUTED_VALUE"""),-0.0012773065208135756)</f>
        <v>-0.001277306521</v>
      </c>
      <c r="K167" s="14" t="s">
        <v>311</v>
      </c>
      <c r="L167" s="14" t="s">
        <v>442</v>
      </c>
      <c r="M167" s="14" t="s">
        <v>235</v>
      </c>
      <c r="N167" s="14" t="s">
        <v>236</v>
      </c>
      <c r="O167" s="14" t="s">
        <v>237</v>
      </c>
      <c r="P167" s="14" t="s">
        <v>241</v>
      </c>
    </row>
    <row r="168">
      <c r="A168" s="14" t="str">
        <f>IFERROR(__xludf.DUMMYFUNCTION("""COMPUTED_VALUE"""),"Heidelberg Cement")</f>
        <v>Heidelberg Cement</v>
      </c>
      <c r="B168" s="16">
        <f>IFERROR(__xludf.DUMMYFUNCTION("""COMPUTED_VALUE"""),4230.867)</f>
        <v>4230.867</v>
      </c>
      <c r="C168" s="14">
        <f>IFERROR(__xludf.DUMMYFUNCTION("""COMPUTED_VALUE"""),186.9)</f>
        <v>186.9</v>
      </c>
      <c r="D168" s="14">
        <f>IFERROR(__xludf.DUMMYFUNCTION("""COMPUTED_VALUE"""),23.18)</f>
        <v>23.18</v>
      </c>
      <c r="E168" s="14">
        <f>IFERROR(__xludf.DUMMYFUNCTION("""COMPUTED_VALUE"""),242.0)</f>
        <v>242</v>
      </c>
      <c r="F168" s="17">
        <f>IFERROR(__xludf.DUMMYFUNCTION("""COMPUTED_VALUE"""),0.22768595041322312)</f>
        <v>0.2276859504</v>
      </c>
      <c r="G168" s="14">
        <f>IFERROR(__xludf.DUMMYFUNCTION("""COMPUTED_VALUE"""),164.0)</f>
        <v>164</v>
      </c>
      <c r="H168" s="17">
        <f>IFERROR(__xludf.DUMMYFUNCTION("""COMPUTED_VALUE"""),0.13963414634146346)</f>
        <v>0.1396341463</v>
      </c>
      <c r="I168" s="14">
        <f>IFERROR(__xludf.DUMMYFUNCTION("""COMPUTED_VALUE"""),186.85)</f>
        <v>186.85</v>
      </c>
      <c r="J168" s="17">
        <f>IFERROR(__xludf.DUMMYFUNCTION("""COMPUTED_VALUE"""),2.6759432700032847E-4)</f>
        <v>0.000267594327</v>
      </c>
      <c r="K168" s="14" t="s">
        <v>264</v>
      </c>
      <c r="L168" s="14" t="s">
        <v>443</v>
      </c>
      <c r="M168" s="14" t="s">
        <v>235</v>
      </c>
      <c r="N168" s="14" t="s">
        <v>236</v>
      </c>
      <c r="O168" s="14" t="s">
        <v>237</v>
      </c>
      <c r="P168" s="14" t="s">
        <v>241</v>
      </c>
    </row>
    <row r="169">
      <c r="A169" s="14" t="str">
        <f>IFERROR(__xludf.DUMMYFUNCTION("""COMPUTED_VALUE"""),"Aarti Drugs")</f>
        <v>Aarti Drugs</v>
      </c>
      <c r="B169" s="16">
        <f>IFERROR(__xludf.DUMMYFUNCTION("""COMPUTED_VALUE"""),4148.48)</f>
        <v>4148.48</v>
      </c>
      <c r="C169" s="14">
        <f>IFERROR(__xludf.DUMMYFUNCTION("""COMPUTED_VALUE"""),448.0)</f>
        <v>448</v>
      </c>
      <c r="D169" s="14">
        <f>IFERROR(__xludf.DUMMYFUNCTION("""COMPUTED_VALUE"""),22.17)</f>
        <v>22.17</v>
      </c>
      <c r="E169" s="14">
        <f>IFERROR(__xludf.DUMMYFUNCTION("""COMPUTED_VALUE"""),537.4)</f>
        <v>537.4</v>
      </c>
      <c r="F169" s="17">
        <f>IFERROR(__xludf.DUMMYFUNCTION("""COMPUTED_VALUE"""),0.16635653144771118)</f>
        <v>0.1663565314</v>
      </c>
      <c r="G169" s="14">
        <f>IFERROR(__xludf.DUMMYFUNCTION("""COMPUTED_VALUE"""),378.4)</f>
        <v>378.4</v>
      </c>
      <c r="H169" s="17">
        <f>IFERROR(__xludf.DUMMYFUNCTION("""COMPUTED_VALUE"""),0.18393234672304448)</f>
        <v>0.1839323467</v>
      </c>
      <c r="I169" s="14">
        <f>IFERROR(__xludf.DUMMYFUNCTION("""COMPUTED_VALUE"""),445.5)</f>
        <v>445.5</v>
      </c>
      <c r="J169" s="17">
        <f>IFERROR(__xludf.DUMMYFUNCTION("""COMPUTED_VALUE"""),0.005611672278338945)</f>
        <v>0.005611672278</v>
      </c>
      <c r="K169" s="14" t="s">
        <v>259</v>
      </c>
      <c r="L169" s="14" t="s">
        <v>444</v>
      </c>
      <c r="M169" s="14" t="s">
        <v>235</v>
      </c>
      <c r="N169" s="14" t="s">
        <v>236</v>
      </c>
      <c r="O169" s="14" t="s">
        <v>237</v>
      </c>
      <c r="P169" s="14" t="s">
        <v>241</v>
      </c>
    </row>
    <row r="170">
      <c r="A170" s="14" t="str">
        <f>IFERROR(__xludf.DUMMYFUNCTION("""COMPUTED_VALUE"""),"Rossari Biotech")</f>
        <v>Rossari Biotech</v>
      </c>
      <c r="B170" s="16">
        <f>IFERROR(__xludf.DUMMYFUNCTION("""COMPUTED_VALUE"""),3951.357)</f>
        <v>3951.357</v>
      </c>
      <c r="C170" s="14">
        <f>IFERROR(__xludf.DUMMYFUNCTION("""COMPUTED_VALUE"""),717.0)</f>
        <v>717</v>
      </c>
      <c r="D170" s="14">
        <f>IFERROR(__xludf.DUMMYFUNCTION("""COMPUTED_VALUE"""),39.87)</f>
        <v>39.87</v>
      </c>
      <c r="E170" s="14">
        <f>IFERROR(__xludf.DUMMYFUNCTION("""COMPUTED_VALUE"""),1375.0)</f>
        <v>1375</v>
      </c>
      <c r="F170" s="17">
        <f>IFERROR(__xludf.DUMMYFUNCTION("""COMPUTED_VALUE"""),0.47854545454545455)</f>
        <v>0.4785454545</v>
      </c>
      <c r="G170" s="14">
        <f>IFERROR(__xludf.DUMMYFUNCTION("""COMPUTED_VALUE"""),675.0)</f>
        <v>675</v>
      </c>
      <c r="H170" s="17">
        <f>IFERROR(__xludf.DUMMYFUNCTION("""COMPUTED_VALUE"""),0.06222222222222222)</f>
        <v>0.06222222222</v>
      </c>
      <c r="I170" s="14">
        <f>IFERROR(__xludf.DUMMYFUNCTION("""COMPUTED_VALUE"""),726.2)</f>
        <v>726.2</v>
      </c>
      <c r="J170" s="17">
        <f>IFERROR(__xludf.DUMMYFUNCTION("""COMPUTED_VALUE"""),-0.012668686312310721)</f>
        <v>-0.01266868631</v>
      </c>
      <c r="K170" s="14" t="s">
        <v>270</v>
      </c>
      <c r="L170" s="14" t="s">
        <v>445</v>
      </c>
      <c r="M170" s="14" t="s">
        <v>235</v>
      </c>
      <c r="N170" s="14" t="s">
        <v>236</v>
      </c>
      <c r="O170" s="14" t="s">
        <v>237</v>
      </c>
      <c r="P170" s="14" t="s">
        <v>241</v>
      </c>
    </row>
    <row r="171">
      <c r="A171" s="14" t="str">
        <f>IFERROR(__xludf.DUMMYFUNCTION("""COMPUTED_VALUE"""),"Bharat Rasayan")</f>
        <v>Bharat Rasayan</v>
      </c>
      <c r="B171" s="16">
        <f>IFERROR(__xludf.DUMMYFUNCTION("""COMPUTED_VALUE"""),3941.666)</f>
        <v>3941.666</v>
      </c>
      <c r="C171" s="14">
        <f>IFERROR(__xludf.DUMMYFUNCTION("""COMPUTED_VALUE"""),9517.9)</f>
        <v>9517.9</v>
      </c>
      <c r="D171" s="14">
        <f>IFERROR(__xludf.DUMMYFUNCTION("""COMPUTED_VALUE"""),23.12)</f>
        <v>23.12</v>
      </c>
      <c r="E171" s="14">
        <f>IFERROR(__xludf.DUMMYFUNCTION("""COMPUTED_VALUE"""),14362.9)</f>
        <v>14362.9</v>
      </c>
      <c r="F171" s="17">
        <f>IFERROR(__xludf.DUMMYFUNCTION("""COMPUTED_VALUE"""),0.3373274199500101)</f>
        <v>0.33732742</v>
      </c>
      <c r="G171" s="14">
        <f>IFERROR(__xludf.DUMMYFUNCTION("""COMPUTED_VALUE"""),9301.0)</f>
        <v>9301</v>
      </c>
      <c r="H171" s="17">
        <f>IFERROR(__xludf.DUMMYFUNCTION("""COMPUTED_VALUE"""),0.023320073110418196)</f>
        <v>0.02332007311</v>
      </c>
      <c r="I171" s="14">
        <f>IFERROR(__xludf.DUMMYFUNCTION("""COMPUTED_VALUE"""),9497.7)</f>
        <v>9497.7</v>
      </c>
      <c r="J171" s="17">
        <f>IFERROR(__xludf.DUMMYFUNCTION("""COMPUTED_VALUE"""),0.00212683070638143)</f>
        <v>0.002126830706</v>
      </c>
      <c r="K171" s="14" t="s">
        <v>299</v>
      </c>
      <c r="L171" s="14" t="s">
        <v>446</v>
      </c>
      <c r="M171" s="14" t="s">
        <v>235</v>
      </c>
      <c r="N171" s="14" t="s">
        <v>236</v>
      </c>
      <c r="O171" s="14" t="s">
        <v>237</v>
      </c>
      <c r="P171" s="14" t="s">
        <v>241</v>
      </c>
    </row>
    <row r="172">
      <c r="A172" s="14" t="str">
        <f>IFERROR(__xludf.DUMMYFUNCTION("""COMPUTED_VALUE"""),"Dhanuka Agritech")</f>
        <v>Dhanuka Agritech</v>
      </c>
      <c r="B172" s="16">
        <f>IFERROR(__xludf.DUMMYFUNCTION("""COMPUTED_VALUE"""),3345.7206687)</f>
        <v>3345.720669</v>
      </c>
      <c r="C172" s="14">
        <f>IFERROR(__xludf.DUMMYFUNCTION("""COMPUTED_VALUE"""),717.5)</f>
        <v>717.5</v>
      </c>
      <c r="D172" s="14">
        <f>IFERROR(__xludf.DUMMYFUNCTION("""COMPUTED_VALUE"""),15.26)</f>
        <v>15.26</v>
      </c>
      <c r="E172" s="14">
        <f>IFERROR(__xludf.DUMMYFUNCTION("""COMPUTED_VALUE"""),815.0)</f>
        <v>815</v>
      </c>
      <c r="F172" s="17">
        <f>IFERROR(__xludf.DUMMYFUNCTION("""COMPUTED_VALUE"""),0.1196319018404908)</f>
        <v>0.1196319018</v>
      </c>
      <c r="G172" s="14">
        <f>IFERROR(__xludf.DUMMYFUNCTION("""COMPUTED_VALUE"""),630.65)</f>
        <v>630.65</v>
      </c>
      <c r="H172" s="17">
        <f>IFERROR(__xludf.DUMMYFUNCTION("""COMPUTED_VALUE"""),0.13771505589471184)</f>
        <v>0.1377150559</v>
      </c>
      <c r="I172" s="14">
        <f>IFERROR(__xludf.DUMMYFUNCTION("""COMPUTED_VALUE"""),724.95)</f>
        <v>724.95</v>
      </c>
      <c r="J172" s="17">
        <f>IFERROR(__xludf.DUMMYFUNCTION("""COMPUTED_VALUE"""),-0.01027657079798613)</f>
        <v>-0.0102765708</v>
      </c>
      <c r="K172" s="14" t="s">
        <v>299</v>
      </c>
      <c r="L172" s="14" t="s">
        <v>447</v>
      </c>
      <c r="M172" s="14" t="s">
        <v>235</v>
      </c>
      <c r="N172" s="14" t="s">
        <v>236</v>
      </c>
      <c r="O172" s="14" t="s">
        <v>237</v>
      </c>
      <c r="P172" s="14" t="s">
        <v>241</v>
      </c>
    </row>
    <row r="173">
      <c r="A173" s="14" t="str">
        <f>IFERROR(__xludf.DUMMYFUNCTION("""COMPUTED_VALUE"""),"Somany home innovation ltd")</f>
        <v>Somany home innovation ltd</v>
      </c>
      <c r="B173" s="16">
        <f>IFERROR(__xludf.DUMMYFUNCTION("""COMPUTED_VALUE"""),3335.191069)</f>
        <v>3335.191069</v>
      </c>
      <c r="C173" s="14">
        <f>IFERROR(__xludf.DUMMYFUNCTION("""COMPUTED_VALUE"""),462.25)</f>
        <v>462.25</v>
      </c>
      <c r="D173" s="14">
        <f>IFERROR(__xludf.DUMMYFUNCTION("""COMPUTED_VALUE"""),33.36)</f>
        <v>33.36</v>
      </c>
      <c r="E173" s="14">
        <f>IFERROR(__xludf.DUMMYFUNCTION("""COMPUTED_VALUE"""),480.4)</f>
        <v>480.4</v>
      </c>
      <c r="F173" s="17">
        <f>IFERROR(__xludf.DUMMYFUNCTION("""COMPUTED_VALUE"""),0.03778101582014983)</f>
        <v>0.03778101582</v>
      </c>
      <c r="G173" s="14">
        <f>IFERROR(__xludf.DUMMYFUNCTION("""COMPUTED_VALUE"""),258.95)</f>
        <v>258.95</v>
      </c>
      <c r="H173" s="17">
        <f>IFERROR(__xludf.DUMMYFUNCTION("""COMPUTED_VALUE"""),0.7850936474222824)</f>
        <v>0.7850936474</v>
      </c>
      <c r="I173" s="14">
        <f>IFERROR(__xludf.DUMMYFUNCTION("""COMPUTED_VALUE"""),473.2)</f>
        <v>473.2</v>
      </c>
      <c r="J173" s="17">
        <f>IFERROR(__xludf.DUMMYFUNCTION("""COMPUTED_VALUE"""),-0.02314032121724427)</f>
        <v>-0.02314032122</v>
      </c>
      <c r="K173" s="14" t="s">
        <v>448</v>
      </c>
      <c r="L173" s="14" t="s">
        <v>449</v>
      </c>
      <c r="M173" s="14" t="s">
        <v>235</v>
      </c>
      <c r="N173" s="14" t="s">
        <v>236</v>
      </c>
      <c r="O173" s="14" t="s">
        <v>237</v>
      </c>
      <c r="P173" s="14" t="s">
        <v>241</v>
      </c>
    </row>
    <row r="174">
      <c r="A174" s="14" t="str">
        <f>IFERROR(__xludf.DUMMYFUNCTION("""COMPUTED_VALUE"""),"Astec Lifesciences")</f>
        <v>Astec Lifesciences</v>
      </c>
      <c r="B174" s="16">
        <f>IFERROR(__xludf.DUMMYFUNCTION("""COMPUTED_VALUE"""),3279.733)</f>
        <v>3279.733</v>
      </c>
      <c r="C174" s="14">
        <f>IFERROR(__xludf.DUMMYFUNCTION("""COMPUTED_VALUE"""),1669.3)</f>
        <v>1669.3</v>
      </c>
      <c r="D174" s="14">
        <f>IFERROR(__xludf.DUMMYFUNCTION("""COMPUTED_VALUE"""),33.56)</f>
        <v>33.56</v>
      </c>
      <c r="E174" s="14">
        <f>IFERROR(__xludf.DUMMYFUNCTION("""COMPUTED_VALUE"""),2285.65)</f>
        <v>2285.65</v>
      </c>
      <c r="F174" s="17">
        <f>IFERROR(__xludf.DUMMYFUNCTION("""COMPUTED_VALUE"""),0.2696607092074465)</f>
        <v>0.2696607092</v>
      </c>
      <c r="G174" s="14">
        <f>IFERROR(__xludf.DUMMYFUNCTION("""COMPUTED_VALUE"""),1276.15)</f>
        <v>1276.15</v>
      </c>
      <c r="H174" s="17">
        <f>IFERROR(__xludf.DUMMYFUNCTION("""COMPUTED_VALUE"""),0.30807506954511604)</f>
        <v>0.3080750695</v>
      </c>
      <c r="I174" s="14">
        <f>IFERROR(__xludf.DUMMYFUNCTION("""COMPUTED_VALUE"""),1635.25)</f>
        <v>1635.25</v>
      </c>
      <c r="J174" s="17">
        <f>IFERROR(__xludf.DUMMYFUNCTION("""COMPUTED_VALUE"""),0.020822504204250088)</f>
        <v>0.0208225042</v>
      </c>
      <c r="K174" s="14" t="s">
        <v>259</v>
      </c>
      <c r="L174" s="14" t="s">
        <v>450</v>
      </c>
      <c r="M174" s="14" t="s">
        <v>235</v>
      </c>
      <c r="N174" s="14" t="s">
        <v>236</v>
      </c>
      <c r="O174" s="14" t="s">
        <v>237</v>
      </c>
      <c r="P174" s="14" t="s">
        <v>241</v>
      </c>
    </row>
    <row r="175">
      <c r="A175" s="14" t="str">
        <f>IFERROR(__xludf.DUMMYFUNCTION("""COMPUTED_VALUE"""),"Mold tech")</f>
        <v>Mold tech</v>
      </c>
      <c r="B175" s="16">
        <f>IFERROR(__xludf.DUMMYFUNCTION("""COMPUTED_VALUE"""),3279.606)</f>
        <v>3279.606</v>
      </c>
      <c r="C175" s="14">
        <f>IFERROR(__xludf.DUMMYFUNCTION("""COMPUTED_VALUE"""),988.1)</f>
        <v>988.1</v>
      </c>
      <c r="D175" s="14">
        <f>IFERROR(__xludf.DUMMYFUNCTION("""COMPUTED_VALUE"""),41.73)</f>
        <v>41.73</v>
      </c>
      <c r="E175" s="14">
        <f>IFERROR(__xludf.DUMMYFUNCTION("""COMPUTED_VALUE"""),1057.85)</f>
        <v>1057.85</v>
      </c>
      <c r="F175" s="17">
        <f>IFERROR(__xludf.DUMMYFUNCTION("""COMPUTED_VALUE"""),0.06593562414330945)</f>
        <v>0.06593562414</v>
      </c>
      <c r="G175" s="14">
        <f>IFERROR(__xludf.DUMMYFUNCTION("""COMPUTED_VALUE"""),648.05)</f>
        <v>648.05</v>
      </c>
      <c r="H175" s="17">
        <f>IFERROR(__xludf.DUMMYFUNCTION("""COMPUTED_VALUE"""),0.52472803024458)</f>
        <v>0.5247280302</v>
      </c>
      <c r="I175" s="14">
        <f>IFERROR(__xludf.DUMMYFUNCTION("""COMPUTED_VALUE"""),991.35)</f>
        <v>991.35</v>
      </c>
      <c r="J175" s="17">
        <f>IFERROR(__xludf.DUMMYFUNCTION("""COMPUTED_VALUE"""),-0.0032783577949261106)</f>
        <v>-0.003278357795</v>
      </c>
      <c r="K175" s="14"/>
      <c r="L175" s="14" t="s">
        <v>451</v>
      </c>
      <c r="M175" s="14" t="s">
        <v>235</v>
      </c>
      <c r="N175" s="14" t="s">
        <v>236</v>
      </c>
      <c r="O175" s="14" t="s">
        <v>237</v>
      </c>
      <c r="P175" s="14" t="s">
        <v>241</v>
      </c>
    </row>
    <row r="176">
      <c r="A176" s="14" t="str">
        <f>IFERROR(__xludf.DUMMYFUNCTION("""COMPUTED_VALUE"""),"Hawkins Cooker")</f>
        <v>Hawkins Cooker</v>
      </c>
      <c r="B176" s="16">
        <f>IFERROR(__xludf.DUMMYFUNCTION("""COMPUTED_VALUE"""),3273.157)</f>
        <v>3273.157</v>
      </c>
      <c r="C176" s="14">
        <f>IFERROR(__xludf.DUMMYFUNCTION("""COMPUTED_VALUE"""),6195.0)</f>
        <v>6195</v>
      </c>
      <c r="D176" s="14">
        <f>IFERROR(__xludf.DUMMYFUNCTION("""COMPUTED_VALUE"""),34.69)</f>
        <v>34.69</v>
      </c>
      <c r="E176" s="14">
        <f>IFERROR(__xludf.DUMMYFUNCTION("""COMPUTED_VALUE"""),6572.75)</f>
        <v>6572.75</v>
      </c>
      <c r="F176" s="17">
        <f>IFERROR(__xludf.DUMMYFUNCTION("""COMPUTED_VALUE"""),0.057472138754706935)</f>
        <v>0.05747213875</v>
      </c>
      <c r="G176" s="14">
        <f>IFERROR(__xludf.DUMMYFUNCTION("""COMPUTED_VALUE"""),4932.05)</f>
        <v>4932.05</v>
      </c>
      <c r="H176" s="17">
        <f>IFERROR(__xludf.DUMMYFUNCTION("""COMPUTED_VALUE"""),0.256069991180138)</f>
        <v>0.2560699912</v>
      </c>
      <c r="I176" s="14">
        <f>IFERROR(__xludf.DUMMYFUNCTION("""COMPUTED_VALUE"""),6169.85)</f>
        <v>6169.85</v>
      </c>
      <c r="J176" s="17">
        <f>IFERROR(__xludf.DUMMYFUNCTION("""COMPUTED_VALUE"""),0.004076274139565733)</f>
        <v>0.00407627414</v>
      </c>
      <c r="K176" s="14" t="s">
        <v>287</v>
      </c>
      <c r="L176" s="14" t="s">
        <v>452</v>
      </c>
      <c r="M176" s="14" t="s">
        <v>235</v>
      </c>
      <c r="N176" s="14" t="s">
        <v>236</v>
      </c>
      <c r="O176" s="14" t="s">
        <v>237</v>
      </c>
      <c r="P176" s="14" t="s">
        <v>241</v>
      </c>
    </row>
    <row r="177">
      <c r="A177" s="14" t="str">
        <f>IFERROR(__xludf.DUMMYFUNCTION("""COMPUTED_VALUE"""),"Neogen Chemcial")</f>
        <v>Neogen Chemcial</v>
      </c>
      <c r="B177" s="16">
        <f>IFERROR(__xludf.DUMMYFUNCTION("""COMPUTED_VALUE"""),3099.3320457)</f>
        <v>3099.332046</v>
      </c>
      <c r="C177" s="14">
        <f>IFERROR(__xludf.DUMMYFUNCTION("""COMPUTED_VALUE"""),1242.8)</f>
        <v>1242.8</v>
      </c>
      <c r="D177" s="14">
        <f>IFERROR(__xludf.DUMMYFUNCTION("""COMPUTED_VALUE"""),68.51)</f>
        <v>68.51</v>
      </c>
      <c r="E177" s="14">
        <f>IFERROR(__xludf.DUMMYFUNCTION("""COMPUTED_VALUE"""),1842.2)</f>
        <v>1842.2</v>
      </c>
      <c r="F177" s="17">
        <f>IFERROR(__xludf.DUMMYFUNCTION("""COMPUTED_VALUE"""),0.32537183801975905)</f>
        <v>0.325371838</v>
      </c>
      <c r="G177" s="14">
        <f>IFERROR(__xludf.DUMMYFUNCTION("""COMPUTED_VALUE"""),1201.25)</f>
        <v>1201.25</v>
      </c>
      <c r="H177" s="17">
        <f>IFERROR(__xludf.DUMMYFUNCTION("""COMPUTED_VALUE"""),0.0345889698231009)</f>
        <v>0.03458896982</v>
      </c>
      <c r="I177" s="14">
        <f>IFERROR(__xludf.DUMMYFUNCTION("""COMPUTED_VALUE"""),1229.5)</f>
        <v>1229.5</v>
      </c>
      <c r="J177" s="17">
        <f>IFERROR(__xludf.DUMMYFUNCTION("""COMPUTED_VALUE"""),0.010817405449369625)</f>
        <v>0.01081740545</v>
      </c>
      <c r="K177" s="14" t="s">
        <v>270</v>
      </c>
      <c r="L177" s="14" t="s">
        <v>453</v>
      </c>
      <c r="M177" s="14" t="s">
        <v>235</v>
      </c>
      <c r="N177" s="14" t="s">
        <v>236</v>
      </c>
      <c r="O177" s="14" t="s">
        <v>237</v>
      </c>
      <c r="P177" s="14" t="s">
        <v>241</v>
      </c>
    </row>
    <row r="178">
      <c r="A178" s="14" t="str">
        <f>IFERROR(__xludf.DUMMYFUNCTION("""COMPUTED_VALUE"""),"Advance Enzymes")</f>
        <v>Advance Enzymes</v>
      </c>
      <c r="B178" s="16">
        <f>IFERROR(__xludf.DUMMYFUNCTION("""COMPUTED_VALUE"""),3094.098595)</f>
        <v>3094.098595</v>
      </c>
      <c r="C178" s="14">
        <f>IFERROR(__xludf.DUMMYFUNCTION("""COMPUTED_VALUE"""),276.7)</f>
        <v>276.7</v>
      </c>
      <c r="D178" s="14">
        <f>IFERROR(__xludf.DUMMYFUNCTION("""COMPUTED_VALUE"""),32.26)</f>
        <v>32.26</v>
      </c>
      <c r="E178" s="14">
        <f>IFERROR(__xludf.DUMMYFUNCTION("""COMPUTED_VALUE"""),354.9)</f>
        <v>354.9</v>
      </c>
      <c r="F178" s="17">
        <f>IFERROR(__xludf.DUMMYFUNCTION("""COMPUTED_VALUE"""),0.22034375880529725)</f>
        <v>0.2203437588</v>
      </c>
      <c r="G178" s="14">
        <f>IFERROR(__xludf.DUMMYFUNCTION("""COMPUTED_VALUE"""),258.4)</f>
        <v>258.4</v>
      </c>
      <c r="H178" s="17">
        <f>IFERROR(__xludf.DUMMYFUNCTION("""COMPUTED_VALUE"""),0.07082043343653256)</f>
        <v>0.07082043344</v>
      </c>
      <c r="I178" s="14">
        <f>IFERROR(__xludf.DUMMYFUNCTION("""COMPUTED_VALUE"""),278.9)</f>
        <v>278.9</v>
      </c>
      <c r="J178" s="17">
        <f>IFERROR(__xludf.DUMMYFUNCTION("""COMPUTED_VALUE"""),-0.007888131946934345)</f>
        <v>-0.007888131947</v>
      </c>
      <c r="K178" s="14" t="s">
        <v>270</v>
      </c>
      <c r="L178" s="14" t="s">
        <v>454</v>
      </c>
      <c r="M178" s="14" t="s">
        <v>235</v>
      </c>
      <c r="N178" s="14" t="s">
        <v>236</v>
      </c>
      <c r="O178" s="14" t="s">
        <v>237</v>
      </c>
      <c r="P178" s="14" t="s">
        <v>241</v>
      </c>
    </row>
    <row r="179">
      <c r="A179" s="14" t="str">
        <f>IFERROR(__xludf.DUMMYFUNCTION("""COMPUTED_VALUE"""),"Thyrocare")</f>
        <v>Thyrocare</v>
      </c>
      <c r="B179" s="16">
        <f>IFERROR(__xludf.DUMMYFUNCTION("""COMPUTED_VALUE"""),3024.4291291)</f>
        <v>3024.429129</v>
      </c>
      <c r="C179" s="14">
        <f>IFERROR(__xludf.DUMMYFUNCTION("""COMPUTED_VALUE"""),571.8)</f>
        <v>571.8</v>
      </c>
      <c r="D179" s="14">
        <f>IFERROR(__xludf.DUMMYFUNCTION("""COMPUTED_VALUE"""),35.81)</f>
        <v>35.81</v>
      </c>
      <c r="E179" s="14">
        <f>IFERROR(__xludf.DUMMYFUNCTION("""COMPUTED_VALUE"""),1087.0)</f>
        <v>1087</v>
      </c>
      <c r="F179" s="17">
        <f>IFERROR(__xludf.DUMMYFUNCTION("""COMPUTED_VALUE"""),0.4739650413983441)</f>
        <v>0.4739650414</v>
      </c>
      <c r="G179" s="14">
        <f>IFERROR(__xludf.DUMMYFUNCTION("""COMPUTED_VALUE"""),562.1)</f>
        <v>562.1</v>
      </c>
      <c r="H179" s="17">
        <f>IFERROR(__xludf.DUMMYFUNCTION("""COMPUTED_VALUE"""),0.01725671588685275)</f>
        <v>0.01725671589</v>
      </c>
      <c r="I179" s="14">
        <f>IFERROR(__xludf.DUMMYFUNCTION("""COMPUTED_VALUE"""),574.7)</f>
        <v>574.7</v>
      </c>
      <c r="J179" s="17">
        <f>IFERROR(__xludf.DUMMYFUNCTION("""COMPUTED_VALUE"""),-0.005046111014442476)</f>
        <v>-0.005046111014</v>
      </c>
      <c r="K179" s="14" t="s">
        <v>376</v>
      </c>
      <c r="L179" s="14" t="s">
        <v>455</v>
      </c>
      <c r="M179" s="14" t="s">
        <v>235</v>
      </c>
      <c r="N179" s="14" t="s">
        <v>236</v>
      </c>
      <c r="O179" s="14" t="s">
        <v>237</v>
      </c>
      <c r="P179" s="14" t="s">
        <v>241</v>
      </c>
    </row>
    <row r="180">
      <c r="A180" s="14" t="str">
        <f>IFERROR(__xludf.DUMMYFUNCTION("""COMPUTED_VALUE"""),"Newgen")</f>
        <v>Newgen</v>
      </c>
      <c r="B180" s="16">
        <f>IFERROR(__xludf.DUMMYFUNCTION("""COMPUTED_VALUE"""),2664.205)</f>
        <v>2664.205</v>
      </c>
      <c r="C180" s="14">
        <f>IFERROR(__xludf.DUMMYFUNCTION("""COMPUTED_VALUE"""),382.15)</f>
        <v>382.15</v>
      </c>
      <c r="D180" s="14">
        <f>IFERROR(__xludf.DUMMYFUNCTION("""COMPUTED_VALUE"""),17.49)</f>
        <v>17.49</v>
      </c>
      <c r="E180" s="14">
        <f>IFERROR(__xludf.DUMMYFUNCTION("""COMPUTED_VALUE"""),671.0)</f>
        <v>671</v>
      </c>
      <c r="F180" s="17">
        <f>IFERROR(__xludf.DUMMYFUNCTION("""COMPUTED_VALUE"""),0.43047690014903134)</f>
        <v>0.4304769001</v>
      </c>
      <c r="G180" s="14">
        <f>IFERROR(__xludf.DUMMYFUNCTION("""COMPUTED_VALUE"""),320.85)</f>
        <v>320.85</v>
      </c>
      <c r="H180" s="17">
        <f>IFERROR(__xludf.DUMMYFUNCTION("""COMPUTED_VALUE"""),0.19105501012934378)</f>
        <v>0.1910550101</v>
      </c>
      <c r="I180" s="14">
        <f>IFERROR(__xludf.DUMMYFUNCTION("""COMPUTED_VALUE"""),362.3)</f>
        <v>362.3</v>
      </c>
      <c r="J180" s="17">
        <f>IFERROR(__xludf.DUMMYFUNCTION("""COMPUTED_VALUE"""),0.05478884902014895)</f>
        <v>0.05478884902</v>
      </c>
      <c r="K180" s="14" t="s">
        <v>233</v>
      </c>
      <c r="L180" s="14" t="s">
        <v>456</v>
      </c>
      <c r="M180" s="14" t="s">
        <v>235</v>
      </c>
      <c r="N180" s="14" t="s">
        <v>236</v>
      </c>
      <c r="O180" s="14" t="s">
        <v>237</v>
      </c>
      <c r="P180" s="14" t="s">
        <v>241</v>
      </c>
    </row>
    <row r="181">
      <c r="A181" s="14" t="str">
        <f>IFERROR(__xludf.DUMMYFUNCTION("""COMPUTED_VALUE"""),"Wipro")</f>
        <v>Wipro</v>
      </c>
      <c r="B181" s="16">
        <f>IFERROR(__xludf.DUMMYFUNCTION("""COMPUTED_VALUE"""),2618.5195811)</f>
        <v>2618.519581</v>
      </c>
      <c r="C181" s="14">
        <f>IFERROR(__xludf.DUMMYFUNCTION("""COMPUTED_VALUE"""),393.65)</f>
        <v>393.65</v>
      </c>
      <c r="D181" s="14">
        <f>IFERROR(__xludf.DUMMYFUNCTION("""COMPUTED_VALUE"""),19.15)</f>
        <v>19.15</v>
      </c>
      <c r="E181" s="14">
        <f>IFERROR(__xludf.DUMMYFUNCTION("""COMPUTED_VALUE"""),666.0)</f>
        <v>666</v>
      </c>
      <c r="F181" s="17">
        <f>IFERROR(__xludf.DUMMYFUNCTION("""COMPUTED_VALUE"""),0.40893393393393396)</f>
        <v>0.4089339339</v>
      </c>
      <c r="G181" s="14">
        <f>IFERROR(__xludf.DUMMYFUNCTION("""COMPUTED_VALUE"""),372.4)</f>
        <v>372.4</v>
      </c>
      <c r="H181" s="17">
        <f>IFERROR(__xludf.DUMMYFUNCTION("""COMPUTED_VALUE"""),0.057062298603651994)</f>
        <v>0.0570622986</v>
      </c>
      <c r="I181" s="14">
        <f>IFERROR(__xludf.DUMMYFUNCTION("""COMPUTED_VALUE"""),394.45)</f>
        <v>394.45</v>
      </c>
      <c r="J181" s="17">
        <f>IFERROR(__xludf.DUMMYFUNCTION("""COMPUTED_VALUE"""),-0.002028140448726103)</f>
        <v>-0.002028140449</v>
      </c>
      <c r="K181" s="14" t="s">
        <v>233</v>
      </c>
      <c r="L181" s="14" t="s">
        <v>457</v>
      </c>
      <c r="M181" s="14" t="s">
        <v>235</v>
      </c>
      <c r="N181" s="14" t="s">
        <v>236</v>
      </c>
      <c r="O181" s="14" t="s">
        <v>237</v>
      </c>
      <c r="P181" s="14" t="s">
        <v>241</v>
      </c>
    </row>
    <row r="182">
      <c r="A182" s="14" t="str">
        <f>IFERROR(__xludf.DUMMYFUNCTION("""COMPUTED_VALUE"""),"Gokaldas Export")</f>
        <v>Gokaldas Export</v>
      </c>
      <c r="B182" s="16">
        <f>IFERROR(__xludf.DUMMYFUNCTION("""COMPUTED_VALUE"""),2340.128)</f>
        <v>2340.128</v>
      </c>
      <c r="C182" s="14">
        <f>IFERROR(__xludf.DUMMYFUNCTION("""COMPUTED_VALUE"""),386.0)</f>
        <v>386</v>
      </c>
      <c r="D182" s="14">
        <f>IFERROR(__xludf.DUMMYFUNCTION("""COMPUTED_VALUE"""),13.46)</f>
        <v>13.46</v>
      </c>
      <c r="E182" s="14">
        <f>IFERROR(__xludf.DUMMYFUNCTION("""COMPUTED_VALUE"""),519.55)</f>
        <v>519.55</v>
      </c>
      <c r="F182" s="17">
        <f>IFERROR(__xludf.DUMMYFUNCTION("""COMPUTED_VALUE"""),0.2570493696468097)</f>
        <v>0.2570493696</v>
      </c>
      <c r="G182" s="14">
        <f>IFERROR(__xludf.DUMMYFUNCTION("""COMPUTED_VALUE"""),301.1)</f>
        <v>301.1</v>
      </c>
      <c r="H182" s="17">
        <f>IFERROR(__xludf.DUMMYFUNCTION("""COMPUTED_VALUE"""),0.2819661242112254)</f>
        <v>0.2819661242</v>
      </c>
      <c r="I182" s="14">
        <f>IFERROR(__xludf.DUMMYFUNCTION("""COMPUTED_VALUE"""),381.5)</f>
        <v>381.5</v>
      </c>
      <c r="J182" s="17">
        <f>IFERROR(__xludf.DUMMYFUNCTION("""COMPUTED_VALUE"""),0.011795543905635648)</f>
        <v>0.01179554391</v>
      </c>
      <c r="K182" s="14"/>
      <c r="L182" s="14" t="s">
        <v>458</v>
      </c>
      <c r="M182" s="14" t="s">
        <v>235</v>
      </c>
      <c r="N182" s="14" t="s">
        <v>236</v>
      </c>
      <c r="O182" s="14" t="s">
        <v>237</v>
      </c>
      <c r="P182" s="14" t="s">
        <v>241</v>
      </c>
    </row>
    <row r="183">
      <c r="A183" s="14" t="str">
        <f>IFERROR(__xludf.DUMMYFUNCTION("""COMPUTED_VALUE"""),"Paras Defense")</f>
        <v>Paras Defense</v>
      </c>
      <c r="B183" s="16">
        <f>IFERROR(__xludf.DUMMYFUNCTION("""COMPUTED_VALUE"""),2250.9146116)</f>
        <v>2250.914612</v>
      </c>
      <c r="C183" s="14">
        <f>IFERROR(__xludf.DUMMYFUNCTION("""COMPUTED_VALUE"""),577.8)</f>
        <v>577.8</v>
      </c>
      <c r="D183" s="14">
        <f>IFERROR(__xludf.DUMMYFUNCTION("""COMPUTED_VALUE"""),67.14)</f>
        <v>67.14</v>
      </c>
      <c r="E183" s="14">
        <f>IFERROR(__xludf.DUMMYFUNCTION("""COMPUTED_VALUE"""),811.35)</f>
        <v>811.35</v>
      </c>
      <c r="F183" s="17">
        <f>IFERROR(__xludf.DUMMYFUNCTION("""COMPUTED_VALUE"""),0.28785357737104833)</f>
        <v>0.2878535774</v>
      </c>
      <c r="G183" s="14">
        <f>IFERROR(__xludf.DUMMYFUNCTION("""COMPUTED_VALUE"""),524.3)</f>
        <v>524.3</v>
      </c>
      <c r="H183" s="17">
        <f>IFERROR(__xludf.DUMMYFUNCTION("""COMPUTED_VALUE"""),0.10204081632653061)</f>
        <v>0.1020408163</v>
      </c>
      <c r="I183" s="14">
        <f>IFERROR(__xludf.DUMMYFUNCTION("""COMPUTED_VALUE"""),583.75)</f>
        <v>583.75</v>
      </c>
      <c r="J183" s="17">
        <f>IFERROR(__xludf.DUMMYFUNCTION("""COMPUTED_VALUE"""),-0.010192719486081449)</f>
        <v>-0.01019271949</v>
      </c>
      <c r="K183" s="14" t="s">
        <v>322</v>
      </c>
      <c r="L183" s="14" t="s">
        <v>459</v>
      </c>
      <c r="M183" s="14" t="s">
        <v>235</v>
      </c>
      <c r="N183" s="14" t="s">
        <v>236</v>
      </c>
      <c r="O183" s="14" t="s">
        <v>237</v>
      </c>
      <c r="P183" s="14" t="s">
        <v>241</v>
      </c>
    </row>
    <row r="184">
      <c r="A184" s="14" t="str">
        <f>IFERROR(__xludf.DUMMYFUNCTION("""COMPUTED_VALUE"""),"Apollo pipes")</f>
        <v>Apollo pipes</v>
      </c>
      <c r="B184" s="16">
        <f>IFERROR(__xludf.DUMMYFUNCTION("""COMPUTED_VALUE"""),1991.1000155)</f>
        <v>1991.100016</v>
      </c>
      <c r="C184" s="14">
        <f>IFERROR(__xludf.DUMMYFUNCTION("""COMPUTED_VALUE"""),510.0)</f>
        <v>510</v>
      </c>
      <c r="D184" s="14">
        <f>IFERROR(__xludf.DUMMYFUNCTION("""COMPUTED_VALUE"""),64.75)</f>
        <v>64.75</v>
      </c>
      <c r="E184" s="14">
        <f>IFERROR(__xludf.DUMMYFUNCTION("""COMPUTED_VALUE"""),635.7)</f>
        <v>635.7</v>
      </c>
      <c r="F184" s="17">
        <f>IFERROR(__xludf.DUMMYFUNCTION("""COMPUTED_VALUE"""),0.1977347805568665)</f>
        <v>0.1977347806</v>
      </c>
      <c r="G184" s="14">
        <f>IFERROR(__xludf.DUMMYFUNCTION("""COMPUTED_VALUE"""),395.0)</f>
        <v>395</v>
      </c>
      <c r="H184" s="17">
        <f>IFERROR(__xludf.DUMMYFUNCTION("""COMPUTED_VALUE"""),0.2911392405063291)</f>
        <v>0.2911392405</v>
      </c>
      <c r="I184" s="14">
        <f>IFERROR(__xludf.DUMMYFUNCTION("""COMPUTED_VALUE"""),514.85)</f>
        <v>514.85</v>
      </c>
      <c r="J184" s="17">
        <f>IFERROR(__xludf.DUMMYFUNCTION("""COMPUTED_VALUE"""),-0.009420219481402394)</f>
        <v>-0.009420219481</v>
      </c>
      <c r="K184" s="14" t="s">
        <v>319</v>
      </c>
      <c r="L184" s="14" t="s">
        <v>460</v>
      </c>
      <c r="M184" s="14" t="s">
        <v>235</v>
      </c>
      <c r="N184" s="14" t="s">
        <v>236</v>
      </c>
      <c r="O184" s="14" t="s">
        <v>237</v>
      </c>
      <c r="P184" s="14" t="s">
        <v>241</v>
      </c>
    </row>
    <row r="185">
      <c r="A185" s="14" t="str">
        <f>IFERROR(__xludf.DUMMYFUNCTION("""COMPUTED_VALUE"""),"Bhansali Engineering")</f>
        <v>Bhansali Engineering</v>
      </c>
      <c r="B185" s="16">
        <f>IFERROR(__xludf.DUMMYFUNCTION("""COMPUTED_VALUE"""),1954.368)</f>
        <v>1954.368</v>
      </c>
      <c r="C185" s="14">
        <f>IFERROR(__xludf.DUMMYFUNCTION("""COMPUTED_VALUE"""),118.6)</f>
        <v>118.6</v>
      </c>
      <c r="D185" s="14">
        <f>IFERROR(__xludf.DUMMYFUNCTION("""COMPUTED_VALUE"""),8.27)</f>
        <v>8.27</v>
      </c>
      <c r="E185" s="14">
        <f>IFERROR(__xludf.DUMMYFUNCTION("""COMPUTED_VALUE"""),182.4)</f>
        <v>182.4</v>
      </c>
      <c r="F185" s="17">
        <f>IFERROR(__xludf.DUMMYFUNCTION("""COMPUTED_VALUE"""),0.349780701754386)</f>
        <v>0.3497807018</v>
      </c>
      <c r="G185" s="14">
        <f>IFERROR(__xludf.DUMMYFUNCTION("""COMPUTED_VALUE"""),98.0)</f>
        <v>98</v>
      </c>
      <c r="H185" s="17">
        <f>IFERROR(__xludf.DUMMYFUNCTION("""COMPUTED_VALUE"""),0.210204081632653)</f>
        <v>0.2102040816</v>
      </c>
      <c r="I185" s="14">
        <f>IFERROR(__xludf.DUMMYFUNCTION("""COMPUTED_VALUE"""),120.25)</f>
        <v>120.25</v>
      </c>
      <c r="J185" s="17">
        <f>IFERROR(__xludf.DUMMYFUNCTION("""COMPUTED_VALUE"""),-0.013721413721413769)</f>
        <v>-0.01372141372</v>
      </c>
      <c r="K185" s="14"/>
      <c r="L185" s="14" t="s">
        <v>461</v>
      </c>
      <c r="M185" s="14" t="s">
        <v>235</v>
      </c>
      <c r="N185" s="14" t="s">
        <v>236</v>
      </c>
      <c r="O185" s="14" t="s">
        <v>237</v>
      </c>
      <c r="P185" s="14" t="s">
        <v>241</v>
      </c>
    </row>
    <row r="186">
      <c r="A186" s="14" t="str">
        <f>IFERROR(__xludf.DUMMYFUNCTION("""COMPUTED_VALUE"""),"Heranba")</f>
        <v>Heranba</v>
      </c>
      <c r="B186" s="16">
        <f>IFERROR(__xludf.DUMMYFUNCTION("""COMPUTED_VALUE"""),1923.4465903)</f>
        <v>1923.44659</v>
      </c>
      <c r="C186" s="14">
        <f>IFERROR(__xludf.DUMMYFUNCTION("""COMPUTED_VALUE"""),481.35)</f>
        <v>481.35</v>
      </c>
      <c r="D186" s="14">
        <f>IFERROR(__xludf.DUMMYFUNCTION("""COMPUTED_VALUE"""),10.9)</f>
        <v>10.9</v>
      </c>
      <c r="E186" s="14">
        <f>IFERROR(__xludf.DUMMYFUNCTION("""COMPUTED_VALUE"""),744.15)</f>
        <v>744.15</v>
      </c>
      <c r="F186" s="17">
        <f>IFERROR(__xludf.DUMMYFUNCTION("""COMPUTED_VALUE"""),0.3531546059262245)</f>
        <v>0.3531546059</v>
      </c>
      <c r="G186" s="14">
        <f>IFERROR(__xludf.DUMMYFUNCTION("""COMPUTED_VALUE"""),477.8)</f>
        <v>477.8</v>
      </c>
      <c r="H186" s="17">
        <f>IFERROR(__xludf.DUMMYFUNCTION("""COMPUTED_VALUE"""),0.007429886982000861)</f>
        <v>0.007429886982</v>
      </c>
      <c r="I186" s="14">
        <f>IFERROR(__xludf.DUMMYFUNCTION("""COMPUTED_VALUE"""),481.85)</f>
        <v>481.85</v>
      </c>
      <c r="J186" s="17">
        <f>IFERROR(__xludf.DUMMYFUNCTION("""COMPUTED_VALUE"""),-0.0010376673238559717)</f>
        <v>-0.001037667324</v>
      </c>
      <c r="K186" s="14" t="s">
        <v>299</v>
      </c>
      <c r="L186" s="14" t="s">
        <v>462</v>
      </c>
      <c r="M186" s="14" t="s">
        <v>235</v>
      </c>
      <c r="N186" s="14" t="s">
        <v>236</v>
      </c>
      <c r="O186" s="14" t="s">
        <v>237</v>
      </c>
      <c r="P186" s="14" t="s">
        <v>241</v>
      </c>
    </row>
    <row r="187">
      <c r="A187" s="14" t="str">
        <f>IFERROR(__xludf.DUMMYFUNCTION("""COMPUTED_VALUE"""),"Goldiam International")</f>
        <v>Goldiam International</v>
      </c>
      <c r="B187" s="16">
        <f>IFERROR(__xludf.DUMMYFUNCTION("""COMPUTED_VALUE"""),1794.8020805)</f>
        <v>1794.802081</v>
      </c>
      <c r="C187" s="14">
        <f>IFERROR(__xludf.DUMMYFUNCTION("""COMPUTED_VALUE"""),165.55)</f>
        <v>165.55</v>
      </c>
      <c r="D187" s="14">
        <f>IFERROR(__xludf.DUMMYFUNCTION("""COMPUTED_VALUE"""),17.83)</f>
        <v>17.83</v>
      </c>
      <c r="E187" s="14">
        <f>IFERROR(__xludf.DUMMYFUNCTION("""COMPUTED_VALUE"""),209.41)</f>
        <v>209.41</v>
      </c>
      <c r="F187" s="17">
        <f>IFERROR(__xludf.DUMMYFUNCTION("""COMPUTED_VALUE"""),0.2094455852156057)</f>
        <v>0.2094455852</v>
      </c>
      <c r="G187" s="14">
        <f>IFERROR(__xludf.DUMMYFUNCTION("""COMPUTED_VALUE"""),116.75)</f>
        <v>116.75</v>
      </c>
      <c r="H187" s="17">
        <f>IFERROR(__xludf.DUMMYFUNCTION("""COMPUTED_VALUE"""),0.41798715203426134)</f>
        <v>0.417987152</v>
      </c>
      <c r="I187" s="14">
        <f>IFERROR(__xludf.DUMMYFUNCTION("""COMPUTED_VALUE"""),165.4)</f>
        <v>165.4</v>
      </c>
      <c r="J187" s="17">
        <f>IFERROR(__xludf.DUMMYFUNCTION("""COMPUTED_VALUE"""),9.068923821040247E-4)</f>
        <v>0.0009068923821</v>
      </c>
      <c r="K187" s="14" t="s">
        <v>262</v>
      </c>
      <c r="L187" s="14" t="s">
        <v>463</v>
      </c>
      <c r="M187" s="14" t="s">
        <v>235</v>
      </c>
      <c r="N187" s="14" t="s">
        <v>236</v>
      </c>
      <c r="O187" s="14" t="s">
        <v>237</v>
      </c>
      <c r="P187" s="14" t="s">
        <v>241</v>
      </c>
    </row>
    <row r="188">
      <c r="A188" s="14" t="str">
        <f>IFERROR(__xludf.DUMMYFUNCTION("""COMPUTED_VALUE"""),"stove kraft")</f>
        <v>stove kraft</v>
      </c>
      <c r="B188" s="16">
        <f>IFERROR(__xludf.DUMMYFUNCTION("""COMPUTED_VALUE"""),1639.276373)</f>
        <v>1639.276373</v>
      </c>
      <c r="C188" s="14">
        <f>IFERROR(__xludf.DUMMYFUNCTION("""COMPUTED_VALUE"""),498.5)</f>
        <v>498.5</v>
      </c>
      <c r="D188" s="14">
        <f>IFERROR(__xludf.DUMMYFUNCTION("""COMPUTED_VALUE"""),30.76)</f>
        <v>30.76</v>
      </c>
      <c r="E188" s="14">
        <f>IFERROR(__xludf.DUMMYFUNCTION("""COMPUTED_VALUE"""),1000.0)</f>
        <v>1000</v>
      </c>
      <c r="F188" s="17">
        <f>IFERROR(__xludf.DUMMYFUNCTION("""COMPUTED_VALUE"""),0.5015)</f>
        <v>0.5015</v>
      </c>
      <c r="G188" s="14">
        <f>IFERROR(__xludf.DUMMYFUNCTION("""COMPUTED_VALUE"""),472.2)</f>
        <v>472.2</v>
      </c>
      <c r="H188" s="17">
        <f>IFERROR(__xludf.DUMMYFUNCTION("""COMPUTED_VALUE"""),0.05569673867005508)</f>
        <v>0.05569673867</v>
      </c>
      <c r="I188" s="14">
        <f>IFERROR(__xludf.DUMMYFUNCTION("""COMPUTED_VALUE"""),503.15)</f>
        <v>503.15</v>
      </c>
      <c r="J188" s="17">
        <f>IFERROR(__xludf.DUMMYFUNCTION("""COMPUTED_VALUE"""),-0.00924177680612139)</f>
        <v>-0.009241776806</v>
      </c>
      <c r="K188" s="14" t="s">
        <v>464</v>
      </c>
      <c r="L188" s="14" t="s">
        <v>465</v>
      </c>
      <c r="M188" s="14" t="s">
        <v>235</v>
      </c>
      <c r="N188" s="14" t="s">
        <v>236</v>
      </c>
      <c r="O188" s="14" t="s">
        <v>237</v>
      </c>
      <c r="P188" s="14" t="s">
        <v>241</v>
      </c>
    </row>
    <row r="189">
      <c r="A189" s="14" t="str">
        <f>IFERROR(__xludf.DUMMYFUNCTION("""COMPUTED_VALUE"""),"Krisna dignostic")</f>
        <v>Krisna dignostic</v>
      </c>
      <c r="B189" s="16">
        <f>IFERROR(__xludf.DUMMYFUNCTION("""COMPUTED_VALUE"""),1347.5935652)</f>
        <v>1347.593565</v>
      </c>
      <c r="C189" s="14">
        <f>IFERROR(__xludf.DUMMYFUNCTION("""COMPUTED_VALUE"""),429.35)</f>
        <v>429.35</v>
      </c>
      <c r="D189" s="14">
        <f>IFERROR(__xludf.DUMMYFUNCTION("""COMPUTED_VALUE"""),20.29)</f>
        <v>20.29</v>
      </c>
      <c r="E189" s="14">
        <f>IFERROR(__xludf.DUMMYFUNCTION("""COMPUTED_VALUE"""),778.0)</f>
        <v>778</v>
      </c>
      <c r="F189" s="17">
        <f>IFERROR(__xludf.DUMMYFUNCTION("""COMPUTED_VALUE"""),0.4481362467866324)</f>
        <v>0.4481362468</v>
      </c>
      <c r="G189" s="14">
        <f>IFERROR(__xludf.DUMMYFUNCTION("""COMPUTED_VALUE"""),428.9)</f>
        <v>428.9</v>
      </c>
      <c r="H189" s="17">
        <f>IFERROR(__xludf.DUMMYFUNCTION("""COMPUTED_VALUE"""),0.001049195616693974)</f>
        <v>0.001049195617</v>
      </c>
      <c r="I189" s="14">
        <f>IFERROR(__xludf.DUMMYFUNCTION("""COMPUTED_VALUE"""),436.85)</f>
        <v>436.85</v>
      </c>
      <c r="J189" s="17">
        <f>IFERROR(__xludf.DUMMYFUNCTION("""COMPUTED_VALUE"""),-0.017168364427148905)</f>
        <v>-0.01716836443</v>
      </c>
      <c r="K189" s="14"/>
      <c r="L189" s="14" t="s">
        <v>466</v>
      </c>
      <c r="M189" s="14" t="s">
        <v>235</v>
      </c>
      <c r="N189" s="14" t="s">
        <v>236</v>
      </c>
      <c r="O189" s="14" t="s">
        <v>237</v>
      </c>
      <c r="P189" s="14" t="s">
        <v>241</v>
      </c>
    </row>
    <row r="190">
      <c r="A190" s="14" t="str">
        <f>IFERROR(__xludf.DUMMYFUNCTION("""COMPUTED_VALUE"""),"Chemcom Speciality")</f>
        <v>Chemcom Speciality</v>
      </c>
      <c r="B190" s="16">
        <f>IFERROR(__xludf.DUMMYFUNCTION("""COMPUTED_VALUE"""),1059.9071153)</f>
        <v>1059.907115</v>
      </c>
      <c r="C190" s="14">
        <f>IFERROR(__xludf.DUMMYFUNCTION("""COMPUTED_VALUE"""),288.1)</f>
        <v>288.1</v>
      </c>
      <c r="D190" s="14">
        <f>IFERROR(__xludf.DUMMYFUNCTION("""COMPUTED_VALUE"""),15.51)</f>
        <v>15.51</v>
      </c>
      <c r="E190" s="14">
        <f>IFERROR(__xludf.DUMMYFUNCTION("""COMPUTED_VALUE"""),477.95)</f>
        <v>477.95</v>
      </c>
      <c r="F190" s="17">
        <f>IFERROR(__xludf.DUMMYFUNCTION("""COMPUTED_VALUE"""),0.3972172821424835)</f>
        <v>0.3972172821</v>
      </c>
      <c r="G190" s="14">
        <f>IFERROR(__xludf.DUMMYFUNCTION("""COMPUTED_VALUE"""),261.0)</f>
        <v>261</v>
      </c>
      <c r="H190" s="17">
        <f>IFERROR(__xludf.DUMMYFUNCTION("""COMPUTED_VALUE"""),0.10383141762452117)</f>
        <v>0.1038314176</v>
      </c>
      <c r="I190" s="14">
        <f>IFERROR(__xludf.DUMMYFUNCTION("""COMPUTED_VALUE"""),290.1)</f>
        <v>290.1</v>
      </c>
      <c r="J190" s="17">
        <f>IFERROR(__xludf.DUMMYFUNCTION("""COMPUTED_VALUE"""),-0.006894174422612891)</f>
        <v>-0.006894174423</v>
      </c>
      <c r="K190" s="14" t="s">
        <v>270</v>
      </c>
      <c r="L190" s="14" t="s">
        <v>467</v>
      </c>
      <c r="M190" s="14" t="s">
        <v>235</v>
      </c>
      <c r="N190" s="14" t="s">
        <v>236</v>
      </c>
      <c r="O190" s="14" t="s">
        <v>237</v>
      </c>
      <c r="P190" s="14" t="s">
        <v>241</v>
      </c>
    </row>
    <row r="191">
      <c r="A191" s="14" t="str">
        <f>IFERROR(__xludf.DUMMYFUNCTION("""COMPUTED_VALUE"""),"Dr Reddy")</f>
        <v>Dr Reddy</v>
      </c>
      <c r="B191" s="16">
        <f>IFERROR(__xludf.DUMMYFUNCTION("""COMPUTED_VALUE"""),880.6892469)</f>
        <v>880.6892469</v>
      </c>
      <c r="C191" s="14">
        <f>IFERROR(__xludf.DUMMYFUNCTION("""COMPUTED_VALUE"""),4323.5)</f>
        <v>4323.5</v>
      </c>
      <c r="D191" s="14">
        <f>IFERROR(__xludf.DUMMYFUNCTION("""COMPUTED_VALUE"""),23.13)</f>
        <v>23.13</v>
      </c>
      <c r="E191" s="14">
        <f>IFERROR(__xludf.DUMMYFUNCTION("""COMPUTED_VALUE"""),4759.6)</f>
        <v>4759.6</v>
      </c>
      <c r="F191" s="17">
        <f>IFERROR(__xludf.DUMMYFUNCTION("""COMPUTED_VALUE"""),0.09162534666778728)</f>
        <v>0.09162534667</v>
      </c>
      <c r="G191" s="14">
        <f>IFERROR(__xludf.DUMMYFUNCTION("""COMPUTED_VALUE"""),3654.0)</f>
        <v>3654</v>
      </c>
      <c r="H191" s="17">
        <f>IFERROR(__xludf.DUMMYFUNCTION("""COMPUTED_VALUE"""),0.18322386425834702)</f>
        <v>0.1832238643</v>
      </c>
      <c r="I191" s="14">
        <f>IFERROR(__xludf.DUMMYFUNCTION("""COMPUTED_VALUE"""),4310.6)</f>
        <v>4310.6</v>
      </c>
      <c r="J191" s="17">
        <f>IFERROR(__xludf.DUMMYFUNCTION("""COMPUTED_VALUE"""),0.002992622836727981)</f>
        <v>0.002992622837</v>
      </c>
      <c r="K191" s="14" t="s">
        <v>259</v>
      </c>
      <c r="L191" s="14" t="s">
        <v>468</v>
      </c>
      <c r="M191" s="14" t="s">
        <v>235</v>
      </c>
      <c r="N191" s="14" t="s">
        <v>236</v>
      </c>
      <c r="O191" s="14" t="s">
        <v>237</v>
      </c>
      <c r="P191" s="14" t="s">
        <v>241</v>
      </c>
    </row>
    <row r="192">
      <c r="K192" s="14" t="s">
        <v>237</v>
      </c>
      <c r="L192" s="14" t="s">
        <v>237</v>
      </c>
    </row>
    <row r="193">
      <c r="K193" s="14" t="s">
        <v>237</v>
      </c>
      <c r="L193" s="14" t="s">
        <v>237</v>
      </c>
    </row>
    <row r="194">
      <c r="K194" s="14" t="s">
        <v>237</v>
      </c>
      <c r="L194" s="14" t="s">
        <v>237</v>
      </c>
    </row>
    <row r="195">
      <c r="K195" s="14" t="s">
        <v>237</v>
      </c>
      <c r="L195" s="14" t="s">
        <v>237</v>
      </c>
    </row>
    <row r="196">
      <c r="K196" s="14" t="s">
        <v>237</v>
      </c>
      <c r="L196" s="14" t="s">
        <v>237</v>
      </c>
    </row>
    <row r="197">
      <c r="K197" s="14" t="s">
        <v>237</v>
      </c>
      <c r="L197" s="14" t="s">
        <v>237</v>
      </c>
    </row>
    <row r="198">
      <c r="K198" s="14" t="s">
        <v>237</v>
      </c>
      <c r="L198" s="14" t="s">
        <v>237</v>
      </c>
    </row>
    <row r="199">
      <c r="K199" s="14" t="s">
        <v>237</v>
      </c>
      <c r="L199" s="14" t="s">
        <v>237</v>
      </c>
    </row>
    <row r="200">
      <c r="K200" s="14" t="s">
        <v>237</v>
      </c>
      <c r="L200" s="14" t="s">
        <v>237</v>
      </c>
    </row>
    <row r="201">
      <c r="K201" s="14" t="s">
        <v>237</v>
      </c>
      <c r="L201" s="14" t="s">
        <v>237</v>
      </c>
    </row>
    <row r="202">
      <c r="K202" s="14" t="s">
        <v>237</v>
      </c>
      <c r="L202" s="14" t="s">
        <v>237</v>
      </c>
    </row>
    <row r="203">
      <c r="K203" s="14" t="s">
        <v>237</v>
      </c>
      <c r="L203" s="14" t="s">
        <v>237</v>
      </c>
    </row>
    <row r="204">
      <c r="K204" s="14" t="s">
        <v>237</v>
      </c>
      <c r="L204" s="14" t="s">
        <v>237</v>
      </c>
    </row>
    <row r="205">
      <c r="K205" s="14" t="s">
        <v>237</v>
      </c>
      <c r="L205" s="14" t="s">
        <v>237</v>
      </c>
    </row>
    <row r="206">
      <c r="K206" s="14" t="s">
        <v>237</v>
      </c>
      <c r="L206" s="14" t="s">
        <v>237</v>
      </c>
    </row>
    <row r="207">
      <c r="K207" s="14" t="s">
        <v>237</v>
      </c>
      <c r="L207" s="14" t="s">
        <v>237</v>
      </c>
    </row>
    <row r="208">
      <c r="K208" s="14" t="s">
        <v>237</v>
      </c>
      <c r="L208" s="14" t="s">
        <v>237</v>
      </c>
    </row>
    <row r="209">
      <c r="K209" s="14" t="s">
        <v>237</v>
      </c>
      <c r="L209" s="14" t="s">
        <v>237</v>
      </c>
    </row>
    <row r="210">
      <c r="K210" s="14" t="s">
        <v>237</v>
      </c>
      <c r="L210" s="14" t="s">
        <v>237</v>
      </c>
    </row>
    <row r="211">
      <c r="K211" s="14" t="s">
        <v>237</v>
      </c>
      <c r="L211" s="14" t="s">
        <v>237</v>
      </c>
    </row>
    <row r="212">
      <c r="K212" s="14" t="s">
        <v>237</v>
      </c>
      <c r="L212" s="14" t="s">
        <v>237</v>
      </c>
    </row>
    <row r="213">
      <c r="K213" s="14" t="s">
        <v>237</v>
      </c>
      <c r="L213" s="14" t="s">
        <v>237</v>
      </c>
    </row>
    <row r="214">
      <c r="K214" s="14" t="s">
        <v>237</v>
      </c>
      <c r="L214" s="14" t="s">
        <v>237</v>
      </c>
    </row>
    <row r="215">
      <c r="K215" s="14" t="s">
        <v>237</v>
      </c>
      <c r="L215" s="14" t="s">
        <v>237</v>
      </c>
    </row>
    <row r="216">
      <c r="K216" s="14" t="s">
        <v>237</v>
      </c>
      <c r="L216" s="14" t="s">
        <v>237</v>
      </c>
    </row>
    <row r="217">
      <c r="K217" s="14" t="s">
        <v>237</v>
      </c>
      <c r="L217" s="14" t="s">
        <v>237</v>
      </c>
    </row>
    <row r="218">
      <c r="K218" s="14" t="s">
        <v>237</v>
      </c>
      <c r="L218" s="14" t="s">
        <v>237</v>
      </c>
    </row>
    <row r="219">
      <c r="K219" s="14" t="s">
        <v>237</v>
      </c>
      <c r="L219" s="14" t="s">
        <v>237</v>
      </c>
    </row>
    <row r="220">
      <c r="K220" s="14" t="s">
        <v>237</v>
      </c>
      <c r="L220" s="14" t="s">
        <v>237</v>
      </c>
    </row>
    <row r="221">
      <c r="K221" s="14" t="s">
        <v>237</v>
      </c>
      <c r="L221" s="14" t="s">
        <v>237</v>
      </c>
    </row>
    <row r="222">
      <c r="K222" s="14" t="s">
        <v>237</v>
      </c>
      <c r="L222" s="14" t="s">
        <v>237</v>
      </c>
    </row>
    <row r="223">
      <c r="K223" s="14" t="s">
        <v>237</v>
      </c>
      <c r="L223" s="14" t="s">
        <v>237</v>
      </c>
    </row>
    <row r="224">
      <c r="K224" s="14" t="s">
        <v>237</v>
      </c>
      <c r="L224" s="14" t="s">
        <v>237</v>
      </c>
    </row>
    <row r="225">
      <c r="K225" s="14" t="s">
        <v>237</v>
      </c>
      <c r="L225" s="14" t="s">
        <v>237</v>
      </c>
    </row>
    <row r="226">
      <c r="K226" s="14" t="s">
        <v>237</v>
      </c>
      <c r="L226" s="14" t="s">
        <v>237</v>
      </c>
    </row>
    <row r="227">
      <c r="K227" s="14" t="s">
        <v>237</v>
      </c>
      <c r="L227" s="14" t="s">
        <v>237</v>
      </c>
    </row>
    <row r="228">
      <c r="K228" s="14" t="s">
        <v>237</v>
      </c>
      <c r="L228" s="14" t="s">
        <v>237</v>
      </c>
    </row>
    <row r="229">
      <c r="K229" s="14" t="s">
        <v>237</v>
      </c>
      <c r="L229" s="14" t="s">
        <v>237</v>
      </c>
    </row>
    <row r="230">
      <c r="K230" s="14" t="s">
        <v>237</v>
      </c>
      <c r="L230" s="14" t="s">
        <v>237</v>
      </c>
    </row>
    <row r="231">
      <c r="K231" s="14" t="s">
        <v>237</v>
      </c>
      <c r="L231" s="14" t="s">
        <v>237</v>
      </c>
    </row>
    <row r="232">
      <c r="K232" s="14" t="s">
        <v>237</v>
      </c>
      <c r="L232" s="14" t="s">
        <v>237</v>
      </c>
    </row>
    <row r="233">
      <c r="K233" s="14" t="s">
        <v>237</v>
      </c>
      <c r="L233" s="14" t="s">
        <v>237</v>
      </c>
    </row>
    <row r="234">
      <c r="K234" s="14" t="s">
        <v>237</v>
      </c>
      <c r="L234" s="14" t="s">
        <v>237</v>
      </c>
    </row>
    <row r="235">
      <c r="K235" s="14" t="s">
        <v>237</v>
      </c>
      <c r="L235" s="14" t="s">
        <v>237</v>
      </c>
    </row>
    <row r="236">
      <c r="K236" s="14" t="s">
        <v>237</v>
      </c>
      <c r="L236" s="14" t="s">
        <v>237</v>
      </c>
    </row>
    <row r="237">
      <c r="K237" s="14" t="s">
        <v>237</v>
      </c>
      <c r="L237" s="14" t="s">
        <v>237</v>
      </c>
    </row>
    <row r="238">
      <c r="K238" s="14" t="s">
        <v>237</v>
      </c>
      <c r="L238" s="14" t="s">
        <v>237</v>
      </c>
    </row>
    <row r="239">
      <c r="K239" s="14" t="s">
        <v>237</v>
      </c>
      <c r="L239" s="14" t="s">
        <v>237</v>
      </c>
    </row>
    <row r="240">
      <c r="K240" s="14" t="s">
        <v>237</v>
      </c>
      <c r="L240" s="14" t="s">
        <v>237</v>
      </c>
    </row>
    <row r="241">
      <c r="K241" s="14" t="s">
        <v>237</v>
      </c>
      <c r="L241" s="14" t="s">
        <v>237</v>
      </c>
    </row>
    <row r="242">
      <c r="K242" s="14" t="s">
        <v>237</v>
      </c>
      <c r="L242" s="14" t="s">
        <v>237</v>
      </c>
    </row>
    <row r="243">
      <c r="K243" s="14" t="s">
        <v>237</v>
      </c>
      <c r="L243" s="14" t="s">
        <v>237</v>
      </c>
    </row>
    <row r="244">
      <c r="K244" s="14" t="s">
        <v>237</v>
      </c>
      <c r="L244" s="14" t="s">
        <v>237</v>
      </c>
    </row>
    <row r="245">
      <c r="K245" s="14" t="s">
        <v>237</v>
      </c>
      <c r="L245" s="14" t="s">
        <v>237</v>
      </c>
    </row>
    <row r="246">
      <c r="K246" s="14" t="s">
        <v>237</v>
      </c>
      <c r="L246" s="14" t="s">
        <v>237</v>
      </c>
    </row>
    <row r="247">
      <c r="K247" s="14" t="s">
        <v>237</v>
      </c>
      <c r="L247" s="14" t="s">
        <v>237</v>
      </c>
    </row>
    <row r="248">
      <c r="K248" s="14" t="s">
        <v>237</v>
      </c>
      <c r="L248" s="14" t="s">
        <v>237</v>
      </c>
    </row>
    <row r="249">
      <c r="K249" s="14" t="s">
        <v>237</v>
      </c>
      <c r="L249" s="14" t="s">
        <v>237</v>
      </c>
    </row>
    <row r="250">
      <c r="K250" s="14" t="s">
        <v>237</v>
      </c>
      <c r="L250" s="14" t="s">
        <v>237</v>
      </c>
    </row>
    <row r="251">
      <c r="K251" s="14" t="s">
        <v>237</v>
      </c>
      <c r="L251" s="14" t="s">
        <v>237</v>
      </c>
    </row>
    <row r="252">
      <c r="K252" s="14" t="s">
        <v>237</v>
      </c>
      <c r="L252" s="14" t="s">
        <v>237</v>
      </c>
    </row>
    <row r="253">
      <c r="K253" s="14" t="s">
        <v>237</v>
      </c>
      <c r="L253" s="14" t="s">
        <v>237</v>
      </c>
    </row>
    <row r="254">
      <c r="K254" s="14" t="s">
        <v>237</v>
      </c>
      <c r="L254" s="14" t="s">
        <v>237</v>
      </c>
    </row>
    <row r="255">
      <c r="K255" s="14" t="s">
        <v>237</v>
      </c>
      <c r="L255" s="14" t="s">
        <v>237</v>
      </c>
    </row>
    <row r="256">
      <c r="K256" s="14" t="s">
        <v>237</v>
      </c>
      <c r="L256" s="14" t="s">
        <v>237</v>
      </c>
    </row>
    <row r="257">
      <c r="K257" s="14" t="s">
        <v>237</v>
      </c>
      <c r="L257" s="14" t="s">
        <v>237</v>
      </c>
    </row>
    <row r="258">
      <c r="K258" s="14" t="s">
        <v>237</v>
      </c>
      <c r="L258" s="14" t="s">
        <v>237</v>
      </c>
    </row>
    <row r="259">
      <c r="K259" s="14" t="s">
        <v>237</v>
      </c>
      <c r="L259" s="14" t="s">
        <v>237</v>
      </c>
    </row>
    <row r="260">
      <c r="K260" s="14" t="s">
        <v>237</v>
      </c>
      <c r="L260" s="14" t="s">
        <v>237</v>
      </c>
    </row>
    <row r="261">
      <c r="K261" s="14" t="s">
        <v>237</v>
      </c>
      <c r="L261" s="14" t="s">
        <v>237</v>
      </c>
    </row>
    <row r="262">
      <c r="K262" s="14" t="s">
        <v>237</v>
      </c>
      <c r="L262" s="14" t="s">
        <v>237</v>
      </c>
    </row>
    <row r="263">
      <c r="K263" s="14" t="s">
        <v>237</v>
      </c>
      <c r="L263" s="14" t="s">
        <v>237</v>
      </c>
    </row>
    <row r="264">
      <c r="K264" s="14" t="s">
        <v>237</v>
      </c>
      <c r="L264" s="14" t="s">
        <v>237</v>
      </c>
    </row>
    <row r="265">
      <c r="K265" s="14" t="s">
        <v>237</v>
      </c>
      <c r="L265" s="14" t="s">
        <v>237</v>
      </c>
    </row>
    <row r="266">
      <c r="K266" s="14" t="s">
        <v>237</v>
      </c>
      <c r="L266" s="14" t="s">
        <v>237</v>
      </c>
    </row>
    <row r="267">
      <c r="K267" s="14" t="s">
        <v>237</v>
      </c>
      <c r="L267" s="14" t="s">
        <v>237</v>
      </c>
    </row>
    <row r="268">
      <c r="K268" s="14" t="s">
        <v>237</v>
      </c>
      <c r="L268" s="14" t="s">
        <v>237</v>
      </c>
    </row>
    <row r="269">
      <c r="K269" s="14" t="s">
        <v>237</v>
      </c>
      <c r="L269" s="14" t="s">
        <v>237</v>
      </c>
    </row>
    <row r="270">
      <c r="K270" s="14" t="s">
        <v>237</v>
      </c>
      <c r="L270" s="14" t="s">
        <v>237</v>
      </c>
    </row>
    <row r="271">
      <c r="K271" s="14" t="s">
        <v>237</v>
      </c>
      <c r="L271" s="14" t="s">
        <v>237</v>
      </c>
    </row>
    <row r="272">
      <c r="K272" s="14" t="s">
        <v>237</v>
      </c>
      <c r="L272" s="14" t="s">
        <v>237</v>
      </c>
    </row>
    <row r="273">
      <c r="K273" s="14" t="s">
        <v>237</v>
      </c>
      <c r="L273" s="14" t="s">
        <v>237</v>
      </c>
    </row>
    <row r="274">
      <c r="K274" s="14" t="s">
        <v>237</v>
      </c>
      <c r="L274" s="14" t="s">
        <v>237</v>
      </c>
    </row>
    <row r="275">
      <c r="K275" s="14" t="s">
        <v>237</v>
      </c>
      <c r="L275" s="14" t="s">
        <v>237</v>
      </c>
    </row>
    <row r="276">
      <c r="K276" s="14" t="s">
        <v>237</v>
      </c>
      <c r="L276" s="14" t="s">
        <v>237</v>
      </c>
    </row>
    <row r="277">
      <c r="K277" s="14" t="s">
        <v>237</v>
      </c>
      <c r="L277" s="14" t="s">
        <v>237</v>
      </c>
    </row>
    <row r="278">
      <c r="K278" s="14" t="s">
        <v>237</v>
      </c>
      <c r="L278" s="14" t="s">
        <v>237</v>
      </c>
    </row>
    <row r="279">
      <c r="K279" s="14" t="s">
        <v>237</v>
      </c>
      <c r="L279" s="14" t="s">
        <v>237</v>
      </c>
    </row>
    <row r="280">
      <c r="K280" s="14" t="s">
        <v>237</v>
      </c>
      <c r="L280" s="14" t="s">
        <v>237</v>
      </c>
    </row>
    <row r="281">
      <c r="K281" s="14" t="s">
        <v>237</v>
      </c>
      <c r="L281" s="14" t="s">
        <v>237</v>
      </c>
    </row>
    <row r="282">
      <c r="K282" s="14" t="s">
        <v>237</v>
      </c>
      <c r="L282" s="14" t="s">
        <v>237</v>
      </c>
    </row>
    <row r="283">
      <c r="K283" s="14" t="s">
        <v>237</v>
      </c>
      <c r="L283" s="14" t="s">
        <v>237</v>
      </c>
    </row>
    <row r="284">
      <c r="K284" s="14" t="s">
        <v>237</v>
      </c>
      <c r="L284" s="14" t="s">
        <v>237</v>
      </c>
    </row>
    <row r="285">
      <c r="K285" s="14" t="s">
        <v>237</v>
      </c>
      <c r="L285" s="14" t="s">
        <v>237</v>
      </c>
    </row>
    <row r="286">
      <c r="K286" s="14" t="s">
        <v>237</v>
      </c>
      <c r="L286" s="14" t="s">
        <v>237</v>
      </c>
    </row>
    <row r="287">
      <c r="K287" s="14" t="s">
        <v>237</v>
      </c>
      <c r="L287" s="14" t="s">
        <v>237</v>
      </c>
    </row>
    <row r="288">
      <c r="K288" s="14" t="s">
        <v>237</v>
      </c>
      <c r="L288" s="14" t="s">
        <v>237</v>
      </c>
    </row>
    <row r="289">
      <c r="K289" s="14" t="s">
        <v>237</v>
      </c>
      <c r="L289" s="14" t="s">
        <v>237</v>
      </c>
    </row>
    <row r="290">
      <c r="K290" s="14" t="s">
        <v>237</v>
      </c>
      <c r="L290" s="14" t="s">
        <v>237</v>
      </c>
    </row>
    <row r="291">
      <c r="K291" s="14" t="s">
        <v>237</v>
      </c>
      <c r="L291" s="14" t="s">
        <v>237</v>
      </c>
    </row>
    <row r="292">
      <c r="K292" s="14" t="s">
        <v>237</v>
      </c>
      <c r="L292" s="14" t="s">
        <v>237</v>
      </c>
    </row>
    <row r="293">
      <c r="K293" s="14" t="s">
        <v>237</v>
      </c>
      <c r="L293" s="14" t="s">
        <v>237</v>
      </c>
    </row>
    <row r="294">
      <c r="K294" s="14" t="s">
        <v>237</v>
      </c>
      <c r="L294" s="14" t="s">
        <v>237</v>
      </c>
    </row>
    <row r="295">
      <c r="K295" s="14" t="s">
        <v>237</v>
      </c>
      <c r="L295" s="14" t="s">
        <v>237</v>
      </c>
    </row>
    <row r="296">
      <c r="K296" s="14" t="s">
        <v>237</v>
      </c>
      <c r="L296" s="14" t="s">
        <v>237</v>
      </c>
    </row>
    <row r="297">
      <c r="K297" s="14" t="s">
        <v>237</v>
      </c>
      <c r="L297" s="14" t="s">
        <v>237</v>
      </c>
    </row>
    <row r="298">
      <c r="K298" s="14" t="s">
        <v>237</v>
      </c>
      <c r="L298" s="14" t="s">
        <v>237</v>
      </c>
    </row>
    <row r="299">
      <c r="K299" s="14" t="s">
        <v>237</v>
      </c>
      <c r="L299" s="14" t="s">
        <v>237</v>
      </c>
    </row>
    <row r="300">
      <c r="K300" s="14" t="s">
        <v>237</v>
      </c>
      <c r="L300" s="14" t="s">
        <v>237</v>
      </c>
    </row>
    <row r="301">
      <c r="K301" s="14" t="s">
        <v>237</v>
      </c>
      <c r="L301" s="14" t="s">
        <v>237</v>
      </c>
    </row>
    <row r="302">
      <c r="K302" s="14" t="s">
        <v>237</v>
      </c>
      <c r="L302" s="14" t="s">
        <v>237</v>
      </c>
    </row>
    <row r="303">
      <c r="K303" s="14" t="s">
        <v>237</v>
      </c>
      <c r="L303" s="14" t="s">
        <v>237</v>
      </c>
    </row>
    <row r="304">
      <c r="K304" s="14" t="s">
        <v>237</v>
      </c>
      <c r="L304" s="14" t="s">
        <v>237</v>
      </c>
    </row>
    <row r="305">
      <c r="K305" s="14" t="s">
        <v>237</v>
      </c>
      <c r="L305" s="14" t="s">
        <v>237</v>
      </c>
    </row>
    <row r="306">
      <c r="K306" s="14" t="s">
        <v>237</v>
      </c>
      <c r="L306" s="14" t="s">
        <v>237</v>
      </c>
    </row>
    <row r="307">
      <c r="K307" s="14" t="s">
        <v>237</v>
      </c>
      <c r="L307" s="14" t="s">
        <v>237</v>
      </c>
    </row>
    <row r="308">
      <c r="K308" s="14" t="s">
        <v>237</v>
      </c>
      <c r="L308" s="14" t="s">
        <v>237</v>
      </c>
    </row>
    <row r="309">
      <c r="K309" s="14" t="s">
        <v>237</v>
      </c>
      <c r="L309" s="14" t="s">
        <v>237</v>
      </c>
    </row>
    <row r="310">
      <c r="K310" s="14" t="s">
        <v>237</v>
      </c>
      <c r="L310" s="14" t="s">
        <v>237</v>
      </c>
    </row>
    <row r="311">
      <c r="K311" s="14" t="s">
        <v>237</v>
      </c>
      <c r="L311" s="14" t="s">
        <v>237</v>
      </c>
    </row>
    <row r="312">
      <c r="K312" s="14" t="s">
        <v>237</v>
      </c>
      <c r="L312" s="14" t="s">
        <v>237</v>
      </c>
    </row>
    <row r="313">
      <c r="K313" s="14" t="s">
        <v>237</v>
      </c>
      <c r="L313" s="14" t="s">
        <v>237</v>
      </c>
    </row>
    <row r="314">
      <c r="K314" s="14" t="s">
        <v>237</v>
      </c>
      <c r="L314" s="14" t="s">
        <v>237</v>
      </c>
    </row>
    <row r="315">
      <c r="K315" s="14" t="s">
        <v>237</v>
      </c>
      <c r="L315" s="14" t="s">
        <v>237</v>
      </c>
    </row>
    <row r="316">
      <c r="K316" s="14" t="s">
        <v>237</v>
      </c>
      <c r="L316" s="14" t="s">
        <v>237</v>
      </c>
    </row>
    <row r="317">
      <c r="K317" s="14" t="s">
        <v>237</v>
      </c>
      <c r="L317" s="14" t="s">
        <v>237</v>
      </c>
    </row>
    <row r="318">
      <c r="K318" s="14" t="s">
        <v>237</v>
      </c>
      <c r="L318" s="14" t="s">
        <v>237</v>
      </c>
    </row>
    <row r="319">
      <c r="K319" s="14" t="s">
        <v>237</v>
      </c>
      <c r="L319" s="14" t="s">
        <v>237</v>
      </c>
    </row>
    <row r="320">
      <c r="K320" s="14" t="s">
        <v>237</v>
      </c>
      <c r="L320" s="14" t="s">
        <v>237</v>
      </c>
    </row>
    <row r="321">
      <c r="K321" s="14" t="s">
        <v>237</v>
      </c>
      <c r="L321" s="14" t="s">
        <v>237</v>
      </c>
    </row>
    <row r="322">
      <c r="K322" s="14" t="s">
        <v>237</v>
      </c>
      <c r="L322" s="14" t="s">
        <v>237</v>
      </c>
    </row>
    <row r="323">
      <c r="K323" s="14" t="s">
        <v>237</v>
      </c>
      <c r="L323" s="14" t="s">
        <v>237</v>
      </c>
    </row>
    <row r="324">
      <c r="K324" s="14" t="s">
        <v>237</v>
      </c>
      <c r="L324" s="14" t="s">
        <v>237</v>
      </c>
    </row>
    <row r="325">
      <c r="K325" s="14" t="s">
        <v>237</v>
      </c>
      <c r="L325" s="14" t="s">
        <v>237</v>
      </c>
    </row>
    <row r="326">
      <c r="K326" s="14" t="s">
        <v>237</v>
      </c>
      <c r="L326" s="14" t="s">
        <v>237</v>
      </c>
    </row>
    <row r="327">
      <c r="K327" s="14" t="s">
        <v>237</v>
      </c>
      <c r="L327" s="14" t="s">
        <v>237</v>
      </c>
    </row>
    <row r="328">
      <c r="K328" s="14" t="s">
        <v>237</v>
      </c>
      <c r="L328" s="14" t="s">
        <v>237</v>
      </c>
    </row>
    <row r="329">
      <c r="K329" s="14" t="s">
        <v>237</v>
      </c>
      <c r="L329" s="14" t="s">
        <v>237</v>
      </c>
    </row>
    <row r="330">
      <c r="K330" s="14" t="s">
        <v>237</v>
      </c>
      <c r="L330" s="14" t="s">
        <v>237</v>
      </c>
    </row>
    <row r="331">
      <c r="K331" s="14" t="s">
        <v>237</v>
      </c>
      <c r="L331" s="14" t="s">
        <v>237</v>
      </c>
    </row>
    <row r="332">
      <c r="K332" s="14" t="s">
        <v>237</v>
      </c>
      <c r="L332" s="14" t="s">
        <v>237</v>
      </c>
    </row>
    <row r="333">
      <c r="K333" s="14" t="s">
        <v>237</v>
      </c>
      <c r="L333" s="14" t="s">
        <v>237</v>
      </c>
    </row>
    <row r="334">
      <c r="K334" s="14" t="s">
        <v>237</v>
      </c>
      <c r="L334" s="14" t="s">
        <v>237</v>
      </c>
    </row>
    <row r="335">
      <c r="K335" s="14" t="s">
        <v>237</v>
      </c>
      <c r="L335" s="14" t="s">
        <v>237</v>
      </c>
    </row>
    <row r="336">
      <c r="K336" s="14" t="s">
        <v>237</v>
      </c>
      <c r="L336" s="14" t="s">
        <v>237</v>
      </c>
    </row>
    <row r="337">
      <c r="K337" s="14" t="s">
        <v>237</v>
      </c>
      <c r="L337" s="14" t="s">
        <v>237</v>
      </c>
    </row>
    <row r="338">
      <c r="K338" s="14" t="s">
        <v>237</v>
      </c>
      <c r="L338" s="14" t="s">
        <v>237</v>
      </c>
    </row>
    <row r="339">
      <c r="K339" s="14" t="s">
        <v>237</v>
      </c>
      <c r="L339" s="14" t="s">
        <v>237</v>
      </c>
    </row>
    <row r="340">
      <c r="K340" s="14" t="s">
        <v>237</v>
      </c>
      <c r="L340" s="14" t="s">
        <v>237</v>
      </c>
    </row>
    <row r="341">
      <c r="K341" s="14" t="s">
        <v>237</v>
      </c>
      <c r="L341" s="14" t="s">
        <v>237</v>
      </c>
    </row>
    <row r="342">
      <c r="K342" s="14" t="s">
        <v>237</v>
      </c>
      <c r="L342" s="14" t="s">
        <v>237</v>
      </c>
    </row>
    <row r="343">
      <c r="K343" s="14" t="s">
        <v>237</v>
      </c>
      <c r="L343" s="14" t="s">
        <v>237</v>
      </c>
    </row>
    <row r="344">
      <c r="K344" s="14" t="s">
        <v>237</v>
      </c>
      <c r="L344" s="14" t="s">
        <v>237</v>
      </c>
    </row>
    <row r="345">
      <c r="K345" s="14" t="s">
        <v>237</v>
      </c>
      <c r="L345" s="14" t="s">
        <v>237</v>
      </c>
    </row>
    <row r="346">
      <c r="K346" s="14" t="s">
        <v>237</v>
      </c>
      <c r="L346" s="14" t="s">
        <v>237</v>
      </c>
    </row>
    <row r="347">
      <c r="K347" s="14" t="s">
        <v>237</v>
      </c>
      <c r="L347" s="14" t="s">
        <v>237</v>
      </c>
    </row>
    <row r="348">
      <c r="K348" s="14" t="s">
        <v>237</v>
      </c>
      <c r="L348" s="14" t="s">
        <v>237</v>
      </c>
    </row>
    <row r="349">
      <c r="K349" s="14" t="s">
        <v>237</v>
      </c>
      <c r="L349" s="14" t="s">
        <v>237</v>
      </c>
    </row>
    <row r="350">
      <c r="K350" s="14" t="s">
        <v>237</v>
      </c>
      <c r="L350" s="14" t="s">
        <v>237</v>
      </c>
    </row>
    <row r="351">
      <c r="K351" s="14" t="s">
        <v>237</v>
      </c>
      <c r="L351" s="14" t="s">
        <v>237</v>
      </c>
    </row>
    <row r="352">
      <c r="K352" s="14" t="s">
        <v>237</v>
      </c>
      <c r="L352" s="14" t="s">
        <v>237</v>
      </c>
    </row>
    <row r="353">
      <c r="K353" s="14" t="s">
        <v>237</v>
      </c>
      <c r="L353" s="14" t="s">
        <v>237</v>
      </c>
    </row>
    <row r="354">
      <c r="K354" s="14" t="s">
        <v>237</v>
      </c>
      <c r="L354" s="14" t="s">
        <v>237</v>
      </c>
    </row>
    <row r="355">
      <c r="K355" s="14" t="s">
        <v>237</v>
      </c>
      <c r="L355" s="14" t="s">
        <v>237</v>
      </c>
    </row>
    <row r="356">
      <c r="K356" s="14" t="s">
        <v>237</v>
      </c>
      <c r="L356" s="14" t="s">
        <v>237</v>
      </c>
    </row>
    <row r="357">
      <c r="K357" s="14" t="s">
        <v>237</v>
      </c>
      <c r="L357" s="14" t="s">
        <v>237</v>
      </c>
    </row>
    <row r="358">
      <c r="K358" s="14" t="s">
        <v>237</v>
      </c>
      <c r="L358" s="14" t="s">
        <v>237</v>
      </c>
    </row>
    <row r="359">
      <c r="K359" s="14" t="s">
        <v>237</v>
      </c>
      <c r="L359" s="14" t="s">
        <v>237</v>
      </c>
    </row>
    <row r="360">
      <c r="K360" s="14" t="s">
        <v>237</v>
      </c>
      <c r="L360" s="14" t="s">
        <v>237</v>
      </c>
    </row>
    <row r="361">
      <c r="K361" s="14" t="s">
        <v>237</v>
      </c>
      <c r="L361" s="14" t="s">
        <v>237</v>
      </c>
    </row>
    <row r="362">
      <c r="K362" s="14" t="s">
        <v>237</v>
      </c>
      <c r="L362" s="14" t="s">
        <v>237</v>
      </c>
    </row>
    <row r="363">
      <c r="K363" s="14" t="s">
        <v>237</v>
      </c>
      <c r="L363" s="14" t="s">
        <v>237</v>
      </c>
    </row>
    <row r="364">
      <c r="K364" s="14" t="s">
        <v>237</v>
      </c>
      <c r="L364" s="14" t="s">
        <v>237</v>
      </c>
    </row>
    <row r="365">
      <c r="K365" s="14" t="s">
        <v>237</v>
      </c>
      <c r="L365" s="14" t="s">
        <v>237</v>
      </c>
    </row>
    <row r="366">
      <c r="K366" s="14" t="s">
        <v>237</v>
      </c>
      <c r="L366" s="14" t="s">
        <v>237</v>
      </c>
    </row>
    <row r="367">
      <c r="K367" s="14" t="s">
        <v>237</v>
      </c>
      <c r="L367" s="14" t="s">
        <v>237</v>
      </c>
    </row>
    <row r="368">
      <c r="K368" s="14" t="s">
        <v>237</v>
      </c>
      <c r="L368" s="14" t="s">
        <v>237</v>
      </c>
    </row>
    <row r="369">
      <c r="K369" s="14" t="s">
        <v>237</v>
      </c>
      <c r="L369" s="14" t="s">
        <v>237</v>
      </c>
    </row>
    <row r="370">
      <c r="K370" s="14" t="s">
        <v>237</v>
      </c>
      <c r="L370" s="14" t="s">
        <v>237</v>
      </c>
    </row>
    <row r="371">
      <c r="K371" s="14" t="s">
        <v>237</v>
      </c>
      <c r="L371" s="14" t="s">
        <v>237</v>
      </c>
    </row>
    <row r="372">
      <c r="K372" s="14" t="s">
        <v>237</v>
      </c>
      <c r="L372" s="14" t="s">
        <v>237</v>
      </c>
    </row>
    <row r="373">
      <c r="K373" s="14" t="s">
        <v>237</v>
      </c>
      <c r="L373" s="14" t="s">
        <v>237</v>
      </c>
    </row>
    <row r="374">
      <c r="K374" s="14" t="s">
        <v>237</v>
      </c>
      <c r="L374" s="14" t="s">
        <v>237</v>
      </c>
    </row>
    <row r="375">
      <c r="K375" s="14" t="s">
        <v>237</v>
      </c>
      <c r="L375" s="14" t="s">
        <v>237</v>
      </c>
    </row>
    <row r="376">
      <c r="K376" s="14" t="s">
        <v>237</v>
      </c>
      <c r="L376" s="14" t="s">
        <v>237</v>
      </c>
    </row>
    <row r="377">
      <c r="K377" s="14" t="s">
        <v>237</v>
      </c>
      <c r="L377" s="14" t="s">
        <v>237</v>
      </c>
    </row>
    <row r="378">
      <c r="K378" s="14" t="s">
        <v>237</v>
      </c>
      <c r="L378" s="14" t="s">
        <v>237</v>
      </c>
    </row>
    <row r="379">
      <c r="K379" s="14" t="s">
        <v>237</v>
      </c>
      <c r="L379" s="14" t="s">
        <v>237</v>
      </c>
    </row>
    <row r="380">
      <c r="K380" s="14" t="s">
        <v>237</v>
      </c>
      <c r="L380" s="14" t="s">
        <v>237</v>
      </c>
    </row>
    <row r="381">
      <c r="K381" s="14" t="s">
        <v>237</v>
      </c>
      <c r="L381" s="14" t="s">
        <v>237</v>
      </c>
    </row>
    <row r="382">
      <c r="K382" s="14" t="s">
        <v>237</v>
      </c>
      <c r="L382" s="14" t="s">
        <v>237</v>
      </c>
    </row>
    <row r="383">
      <c r="K383" s="14" t="s">
        <v>237</v>
      </c>
      <c r="L383" s="14" t="s">
        <v>237</v>
      </c>
    </row>
    <row r="384">
      <c r="K384" s="14" t="s">
        <v>237</v>
      </c>
      <c r="L384" s="14" t="s">
        <v>237</v>
      </c>
    </row>
    <row r="385">
      <c r="K385" s="14" t="s">
        <v>237</v>
      </c>
      <c r="L385" s="14" t="s">
        <v>237</v>
      </c>
    </row>
    <row r="386">
      <c r="K386" s="14" t="s">
        <v>237</v>
      </c>
      <c r="L386" s="14" t="s">
        <v>237</v>
      </c>
    </row>
    <row r="387">
      <c r="K387" s="14" t="s">
        <v>237</v>
      </c>
      <c r="L387" s="14" t="s">
        <v>237</v>
      </c>
    </row>
    <row r="388">
      <c r="K388" s="14" t="s">
        <v>237</v>
      </c>
      <c r="L388" s="14" t="s">
        <v>237</v>
      </c>
    </row>
    <row r="389">
      <c r="K389" s="14" t="s">
        <v>237</v>
      </c>
      <c r="L389" s="14" t="s">
        <v>237</v>
      </c>
    </row>
    <row r="390">
      <c r="K390" s="14" t="s">
        <v>237</v>
      </c>
      <c r="L390" s="14" t="s">
        <v>237</v>
      </c>
    </row>
    <row r="391">
      <c r="K391" s="14" t="s">
        <v>237</v>
      </c>
      <c r="L391" s="14" t="s">
        <v>237</v>
      </c>
    </row>
    <row r="392">
      <c r="K392" s="14" t="s">
        <v>237</v>
      </c>
      <c r="L392" s="14" t="s">
        <v>237</v>
      </c>
    </row>
    <row r="393">
      <c r="K393" s="14" t="s">
        <v>237</v>
      </c>
      <c r="L393" s="14" t="s">
        <v>237</v>
      </c>
    </row>
    <row r="394">
      <c r="K394" s="14" t="s">
        <v>237</v>
      </c>
      <c r="L394" s="14" t="s">
        <v>237</v>
      </c>
    </row>
    <row r="395">
      <c r="K395" s="14" t="s">
        <v>237</v>
      </c>
      <c r="L395" s="14" t="s">
        <v>237</v>
      </c>
    </row>
    <row r="396">
      <c r="K396" s="14" t="s">
        <v>237</v>
      </c>
      <c r="L396" s="14" t="s">
        <v>237</v>
      </c>
    </row>
    <row r="397">
      <c r="K397" s="14" t="s">
        <v>237</v>
      </c>
      <c r="L397" s="14" t="s">
        <v>237</v>
      </c>
    </row>
    <row r="398">
      <c r="K398" s="14" t="s">
        <v>237</v>
      </c>
      <c r="L398" s="14" t="s">
        <v>237</v>
      </c>
    </row>
    <row r="399">
      <c r="K399" s="14" t="s">
        <v>237</v>
      </c>
      <c r="L399" s="14" t="s">
        <v>237</v>
      </c>
    </row>
    <row r="400">
      <c r="K400" s="14" t="s">
        <v>237</v>
      </c>
      <c r="L400" s="14" t="s">
        <v>237</v>
      </c>
    </row>
    <row r="401">
      <c r="K401" s="14" t="s">
        <v>237</v>
      </c>
      <c r="L401" s="14" t="s">
        <v>237</v>
      </c>
    </row>
    <row r="402">
      <c r="K402" s="14" t="s">
        <v>237</v>
      </c>
      <c r="L402" s="14" t="s">
        <v>237</v>
      </c>
    </row>
    <row r="403">
      <c r="K403" s="14" t="s">
        <v>237</v>
      </c>
      <c r="L403" s="14" t="s">
        <v>237</v>
      </c>
    </row>
    <row r="404">
      <c r="K404" s="14" t="s">
        <v>237</v>
      </c>
      <c r="L404" s="14" t="s">
        <v>237</v>
      </c>
    </row>
    <row r="405">
      <c r="K405" s="14" t="s">
        <v>237</v>
      </c>
      <c r="L405" s="14" t="s">
        <v>237</v>
      </c>
    </row>
    <row r="406">
      <c r="K406" s="14" t="s">
        <v>237</v>
      </c>
      <c r="L406" s="14" t="s">
        <v>237</v>
      </c>
    </row>
    <row r="407">
      <c r="K407" s="14" t="s">
        <v>237</v>
      </c>
      <c r="L407" s="14" t="s">
        <v>237</v>
      </c>
    </row>
    <row r="408">
      <c r="K408" s="14" t="s">
        <v>237</v>
      </c>
      <c r="L408" s="14" t="s">
        <v>237</v>
      </c>
    </row>
    <row r="409">
      <c r="K409" s="14" t="s">
        <v>237</v>
      </c>
      <c r="L409" s="14" t="s">
        <v>237</v>
      </c>
    </row>
    <row r="410">
      <c r="K410" s="14" t="s">
        <v>237</v>
      </c>
      <c r="L410" s="14" t="s">
        <v>237</v>
      </c>
    </row>
    <row r="411">
      <c r="K411" s="14" t="s">
        <v>237</v>
      </c>
      <c r="L411" s="14" t="s">
        <v>237</v>
      </c>
    </row>
    <row r="412">
      <c r="K412" s="14" t="s">
        <v>237</v>
      </c>
      <c r="L412" s="14" t="s">
        <v>237</v>
      </c>
    </row>
    <row r="413">
      <c r="K413" s="14" t="s">
        <v>237</v>
      </c>
      <c r="L413" s="14" t="s">
        <v>237</v>
      </c>
    </row>
    <row r="414">
      <c r="K414" s="14" t="s">
        <v>237</v>
      </c>
      <c r="L414" s="14" t="s">
        <v>237</v>
      </c>
    </row>
    <row r="415">
      <c r="K415" s="14" t="s">
        <v>237</v>
      </c>
      <c r="L415" s="14" t="s">
        <v>237</v>
      </c>
    </row>
    <row r="416">
      <c r="K416" s="14" t="s">
        <v>237</v>
      </c>
      <c r="L416" s="14" t="s">
        <v>237</v>
      </c>
    </row>
    <row r="417">
      <c r="K417" s="14" t="s">
        <v>237</v>
      </c>
      <c r="L417" s="14" t="s">
        <v>237</v>
      </c>
    </row>
    <row r="418">
      <c r="K418" s="14" t="s">
        <v>237</v>
      </c>
      <c r="L418" s="14" t="s">
        <v>237</v>
      </c>
    </row>
    <row r="419">
      <c r="K419" s="14" t="s">
        <v>237</v>
      </c>
      <c r="L419" s="14" t="s">
        <v>237</v>
      </c>
    </row>
    <row r="420">
      <c r="K420" s="14" t="s">
        <v>237</v>
      </c>
      <c r="L420" s="14" t="s">
        <v>237</v>
      </c>
    </row>
    <row r="421">
      <c r="K421" s="14" t="s">
        <v>237</v>
      </c>
      <c r="L421" s="14" t="s">
        <v>237</v>
      </c>
    </row>
    <row r="422">
      <c r="K422" s="14" t="s">
        <v>237</v>
      </c>
      <c r="L422" s="14" t="s">
        <v>237</v>
      </c>
    </row>
    <row r="423">
      <c r="K423" s="14" t="s">
        <v>237</v>
      </c>
      <c r="L423" s="14" t="s">
        <v>237</v>
      </c>
    </row>
    <row r="424">
      <c r="K424" s="14" t="s">
        <v>237</v>
      </c>
      <c r="L424" s="14" t="s">
        <v>237</v>
      </c>
    </row>
    <row r="425">
      <c r="K425" s="14" t="s">
        <v>237</v>
      </c>
      <c r="L425" s="14" t="s">
        <v>237</v>
      </c>
    </row>
    <row r="426">
      <c r="K426" s="14" t="s">
        <v>237</v>
      </c>
      <c r="L426" s="14" t="s">
        <v>237</v>
      </c>
    </row>
    <row r="427">
      <c r="K427" s="14" t="s">
        <v>237</v>
      </c>
      <c r="L427" s="14" t="s">
        <v>237</v>
      </c>
    </row>
    <row r="428">
      <c r="K428" s="14" t="s">
        <v>237</v>
      </c>
      <c r="L428" s="14" t="s">
        <v>237</v>
      </c>
    </row>
    <row r="429">
      <c r="K429" s="14" t="s">
        <v>237</v>
      </c>
      <c r="L429" s="14" t="s">
        <v>237</v>
      </c>
    </row>
    <row r="430">
      <c r="K430" s="14" t="s">
        <v>237</v>
      </c>
      <c r="L430" s="14" t="s">
        <v>237</v>
      </c>
    </row>
    <row r="431">
      <c r="K431" s="14" t="s">
        <v>237</v>
      </c>
      <c r="L431" s="14" t="s">
        <v>237</v>
      </c>
    </row>
    <row r="432">
      <c r="K432" s="14" t="s">
        <v>237</v>
      </c>
      <c r="L432" s="14" t="s">
        <v>237</v>
      </c>
    </row>
    <row r="433">
      <c r="K433" s="14" t="s">
        <v>237</v>
      </c>
      <c r="L433" s="14" t="s">
        <v>237</v>
      </c>
    </row>
    <row r="434">
      <c r="K434" s="14" t="s">
        <v>237</v>
      </c>
      <c r="L434" s="14" t="s">
        <v>237</v>
      </c>
    </row>
    <row r="435">
      <c r="K435" s="14" t="s">
        <v>237</v>
      </c>
      <c r="L435" s="14" t="s">
        <v>237</v>
      </c>
    </row>
    <row r="436">
      <c r="K436" s="14" t="s">
        <v>237</v>
      </c>
      <c r="L436" s="14" t="s">
        <v>237</v>
      </c>
    </row>
    <row r="437">
      <c r="K437" s="14" t="s">
        <v>237</v>
      </c>
      <c r="L437" s="14" t="s">
        <v>237</v>
      </c>
    </row>
    <row r="438">
      <c r="K438" s="14" t="s">
        <v>237</v>
      </c>
      <c r="L438" s="14" t="s">
        <v>237</v>
      </c>
    </row>
    <row r="439">
      <c r="K439" s="14" t="s">
        <v>237</v>
      </c>
      <c r="L439" s="14" t="s">
        <v>237</v>
      </c>
    </row>
    <row r="440">
      <c r="K440" s="14" t="s">
        <v>237</v>
      </c>
      <c r="L440" s="14" t="s">
        <v>237</v>
      </c>
    </row>
    <row r="441">
      <c r="K441" s="14" t="s">
        <v>237</v>
      </c>
      <c r="L441" s="14" t="s">
        <v>237</v>
      </c>
    </row>
    <row r="442">
      <c r="K442" s="14" t="s">
        <v>237</v>
      </c>
      <c r="L442" s="14" t="s">
        <v>237</v>
      </c>
    </row>
    <row r="443">
      <c r="K443" s="14" t="s">
        <v>237</v>
      </c>
      <c r="L443" s="14" t="s">
        <v>237</v>
      </c>
    </row>
    <row r="444">
      <c r="K444" s="14" t="s">
        <v>237</v>
      </c>
      <c r="L444" s="14" t="s">
        <v>237</v>
      </c>
    </row>
    <row r="445">
      <c r="K445" s="14" t="s">
        <v>237</v>
      </c>
      <c r="L445" s="14" t="s">
        <v>237</v>
      </c>
    </row>
    <row r="446">
      <c r="K446" s="14" t="s">
        <v>237</v>
      </c>
      <c r="L446" s="14" t="s">
        <v>237</v>
      </c>
    </row>
    <row r="447">
      <c r="K447" s="14" t="s">
        <v>237</v>
      </c>
      <c r="L447" s="14" t="s">
        <v>237</v>
      </c>
    </row>
    <row r="448">
      <c r="K448" s="14" t="s">
        <v>237</v>
      </c>
      <c r="L448" s="14" t="s">
        <v>237</v>
      </c>
    </row>
    <row r="449">
      <c r="K449" s="14" t="s">
        <v>237</v>
      </c>
      <c r="L449" s="14" t="s">
        <v>237</v>
      </c>
    </row>
    <row r="450">
      <c r="K450" s="14" t="s">
        <v>237</v>
      </c>
      <c r="L450" s="14" t="s">
        <v>237</v>
      </c>
    </row>
    <row r="451">
      <c r="K451" s="14" t="s">
        <v>237</v>
      </c>
      <c r="L451" s="14" t="s">
        <v>237</v>
      </c>
    </row>
    <row r="452">
      <c r="K452" s="14" t="s">
        <v>237</v>
      </c>
      <c r="L452" s="14" t="s">
        <v>237</v>
      </c>
    </row>
    <row r="453">
      <c r="K453" s="14" t="s">
        <v>237</v>
      </c>
      <c r="L453" s="14" t="s">
        <v>237</v>
      </c>
    </row>
    <row r="454">
      <c r="K454" s="14" t="s">
        <v>237</v>
      </c>
      <c r="L454" s="14" t="s">
        <v>237</v>
      </c>
    </row>
    <row r="455">
      <c r="K455" s="14" t="s">
        <v>237</v>
      </c>
      <c r="L455" s="14" t="s">
        <v>237</v>
      </c>
    </row>
    <row r="456">
      <c r="K456" s="14" t="s">
        <v>237</v>
      </c>
      <c r="L456" s="14" t="s">
        <v>237</v>
      </c>
    </row>
    <row r="457">
      <c r="K457" s="14" t="s">
        <v>237</v>
      </c>
      <c r="L457" s="14" t="s">
        <v>237</v>
      </c>
    </row>
    <row r="458">
      <c r="K458" s="14" t="s">
        <v>237</v>
      </c>
      <c r="L458" s="14" t="s">
        <v>237</v>
      </c>
    </row>
    <row r="459">
      <c r="K459" s="14" t="s">
        <v>237</v>
      </c>
      <c r="L459" s="14" t="s">
        <v>237</v>
      </c>
    </row>
    <row r="460">
      <c r="K460" s="14" t="s">
        <v>237</v>
      </c>
      <c r="L460" s="14" t="s">
        <v>237</v>
      </c>
    </row>
    <row r="461">
      <c r="K461" s="14" t="s">
        <v>237</v>
      </c>
      <c r="L461" s="14" t="s">
        <v>237</v>
      </c>
    </row>
    <row r="462">
      <c r="K462" s="14" t="s">
        <v>237</v>
      </c>
      <c r="L462" s="14" t="s">
        <v>237</v>
      </c>
    </row>
    <row r="463">
      <c r="K463" s="14" t="s">
        <v>237</v>
      </c>
      <c r="L463" s="14" t="s">
        <v>237</v>
      </c>
    </row>
    <row r="464">
      <c r="K464" s="14" t="s">
        <v>237</v>
      </c>
      <c r="L464" s="14" t="s">
        <v>237</v>
      </c>
    </row>
    <row r="465">
      <c r="K465" s="14" t="s">
        <v>237</v>
      </c>
      <c r="L465" s="14" t="s">
        <v>237</v>
      </c>
    </row>
    <row r="466">
      <c r="K466" s="14" t="s">
        <v>237</v>
      </c>
      <c r="L466" s="14" t="s">
        <v>237</v>
      </c>
    </row>
    <row r="467">
      <c r="K467" s="14" t="s">
        <v>237</v>
      </c>
      <c r="L467" s="14" t="s">
        <v>237</v>
      </c>
    </row>
    <row r="468">
      <c r="K468" s="14" t="s">
        <v>237</v>
      </c>
      <c r="L468" s="14" t="s">
        <v>237</v>
      </c>
    </row>
    <row r="469">
      <c r="K469" s="14" t="s">
        <v>237</v>
      </c>
      <c r="L469" s="14" t="s">
        <v>237</v>
      </c>
    </row>
    <row r="470">
      <c r="K470" s="14" t="s">
        <v>237</v>
      </c>
      <c r="L470" s="14" t="s">
        <v>237</v>
      </c>
    </row>
    <row r="471">
      <c r="K471" s="14" t="s">
        <v>237</v>
      </c>
      <c r="L471" s="14" t="s">
        <v>237</v>
      </c>
    </row>
    <row r="472">
      <c r="K472" s="14" t="s">
        <v>237</v>
      </c>
      <c r="L472" s="14" t="s">
        <v>237</v>
      </c>
    </row>
    <row r="473">
      <c r="K473" s="14" t="s">
        <v>237</v>
      </c>
      <c r="L473" s="14" t="s">
        <v>237</v>
      </c>
    </row>
    <row r="474">
      <c r="K474" s="14" t="s">
        <v>237</v>
      </c>
      <c r="L474" s="14" t="s">
        <v>237</v>
      </c>
    </row>
    <row r="475">
      <c r="K475" s="14" t="s">
        <v>237</v>
      </c>
      <c r="L475" s="14" t="s">
        <v>237</v>
      </c>
    </row>
    <row r="476">
      <c r="K476" s="14" t="s">
        <v>237</v>
      </c>
      <c r="L476" s="14" t="s">
        <v>237</v>
      </c>
    </row>
    <row r="477">
      <c r="K477" s="14" t="s">
        <v>237</v>
      </c>
      <c r="L477" s="14" t="s">
        <v>237</v>
      </c>
    </row>
    <row r="478">
      <c r="K478" s="14" t="s">
        <v>237</v>
      </c>
      <c r="L478" s="14" t="s">
        <v>237</v>
      </c>
    </row>
    <row r="479">
      <c r="K479" s="14" t="s">
        <v>237</v>
      </c>
      <c r="L479" s="14" t="s">
        <v>237</v>
      </c>
    </row>
    <row r="480">
      <c r="K480" s="14" t="s">
        <v>237</v>
      </c>
      <c r="L480" s="14" t="s">
        <v>237</v>
      </c>
    </row>
    <row r="481">
      <c r="K481" s="14" t="s">
        <v>237</v>
      </c>
      <c r="L481" s="14" t="s">
        <v>237</v>
      </c>
    </row>
    <row r="482">
      <c r="K482" s="14" t="s">
        <v>237</v>
      </c>
      <c r="L482" s="14" t="s">
        <v>237</v>
      </c>
    </row>
    <row r="483">
      <c r="K483" s="14" t="s">
        <v>237</v>
      </c>
      <c r="L483" s="14" t="s">
        <v>237</v>
      </c>
    </row>
    <row r="484">
      <c r="K484" s="14" t="s">
        <v>237</v>
      </c>
      <c r="L484" s="14" t="s">
        <v>237</v>
      </c>
    </row>
    <row r="485">
      <c r="K485" s="14" t="s">
        <v>237</v>
      </c>
      <c r="L485" s="14" t="s">
        <v>237</v>
      </c>
    </row>
    <row r="486">
      <c r="K486" s="14" t="s">
        <v>237</v>
      </c>
      <c r="L486" s="14" t="s">
        <v>237</v>
      </c>
    </row>
    <row r="487">
      <c r="K487" s="14" t="s">
        <v>237</v>
      </c>
      <c r="L487" s="14" t="s">
        <v>237</v>
      </c>
    </row>
    <row r="488">
      <c r="K488" s="14" t="s">
        <v>237</v>
      </c>
      <c r="L488" s="14" t="s">
        <v>237</v>
      </c>
    </row>
    <row r="489">
      <c r="K489" s="14" t="s">
        <v>237</v>
      </c>
      <c r="L489" s="14" t="s">
        <v>237</v>
      </c>
    </row>
    <row r="490">
      <c r="K490" s="14" t="s">
        <v>237</v>
      </c>
      <c r="L490" s="14" t="s">
        <v>237</v>
      </c>
    </row>
    <row r="491">
      <c r="K491" s="14" t="s">
        <v>237</v>
      </c>
      <c r="L491" s="14" t="s">
        <v>237</v>
      </c>
    </row>
    <row r="492">
      <c r="K492" s="14" t="s">
        <v>237</v>
      </c>
      <c r="L492" s="14" t="s">
        <v>237</v>
      </c>
    </row>
    <row r="493">
      <c r="K493" s="14" t="s">
        <v>237</v>
      </c>
      <c r="L493" s="14" t="s">
        <v>237</v>
      </c>
    </row>
    <row r="494">
      <c r="K494" s="14" t="s">
        <v>237</v>
      </c>
      <c r="L494" s="14" t="s">
        <v>237</v>
      </c>
    </row>
    <row r="495">
      <c r="K495" s="14" t="s">
        <v>237</v>
      </c>
      <c r="L495" s="14" t="s">
        <v>237</v>
      </c>
    </row>
    <row r="496">
      <c r="K496" s="14" t="s">
        <v>237</v>
      </c>
      <c r="L496" s="14" t="s">
        <v>237</v>
      </c>
    </row>
    <row r="497">
      <c r="K497" s="14" t="s">
        <v>237</v>
      </c>
      <c r="L497" s="14" t="s">
        <v>237</v>
      </c>
    </row>
    <row r="498">
      <c r="K498" s="14" t="s">
        <v>237</v>
      </c>
      <c r="L498" s="14" t="s">
        <v>237</v>
      </c>
    </row>
    <row r="499">
      <c r="K499" s="14" t="s">
        <v>237</v>
      </c>
      <c r="L499" s="14" t="s">
        <v>237</v>
      </c>
    </row>
    <row r="500">
      <c r="K500" s="14" t="s">
        <v>237</v>
      </c>
      <c r="L500" s="14" t="s">
        <v>237</v>
      </c>
    </row>
    <row r="501">
      <c r="K501" s="14" t="s">
        <v>237</v>
      </c>
      <c r="L501" s="14" t="s">
        <v>237</v>
      </c>
    </row>
    <row r="502">
      <c r="K502" s="14" t="s">
        <v>237</v>
      </c>
      <c r="L502" s="14" t="s">
        <v>237</v>
      </c>
    </row>
    <row r="503">
      <c r="K503" s="14" t="s">
        <v>237</v>
      </c>
      <c r="L503" s="14" t="s">
        <v>237</v>
      </c>
    </row>
    <row r="504">
      <c r="K504" s="14" t="s">
        <v>237</v>
      </c>
      <c r="L504" s="14" t="s">
        <v>237</v>
      </c>
    </row>
    <row r="505">
      <c r="K505" s="14" t="s">
        <v>237</v>
      </c>
      <c r="L505" s="14" t="s">
        <v>237</v>
      </c>
    </row>
    <row r="506">
      <c r="K506" s="14" t="s">
        <v>237</v>
      </c>
      <c r="L506" s="14" t="s">
        <v>237</v>
      </c>
    </row>
    <row r="507">
      <c r="K507" s="14" t="s">
        <v>237</v>
      </c>
      <c r="L507" s="14" t="s">
        <v>237</v>
      </c>
    </row>
    <row r="508">
      <c r="K508" s="14" t="s">
        <v>237</v>
      </c>
      <c r="L508" s="14" t="s">
        <v>237</v>
      </c>
    </row>
    <row r="509">
      <c r="K509" s="14" t="s">
        <v>237</v>
      </c>
      <c r="L509" s="14" t="s">
        <v>237</v>
      </c>
    </row>
    <row r="510">
      <c r="K510" s="14" t="s">
        <v>237</v>
      </c>
      <c r="L510" s="14" t="s">
        <v>237</v>
      </c>
    </row>
    <row r="511">
      <c r="K511" s="14" t="s">
        <v>237</v>
      </c>
      <c r="L511" s="14" t="s">
        <v>237</v>
      </c>
    </row>
    <row r="512">
      <c r="K512" s="14" t="s">
        <v>237</v>
      </c>
      <c r="L512" s="14" t="s">
        <v>237</v>
      </c>
    </row>
    <row r="513">
      <c r="K513" s="14" t="s">
        <v>237</v>
      </c>
      <c r="L513" s="14" t="s">
        <v>237</v>
      </c>
    </row>
    <row r="514">
      <c r="K514" s="14" t="s">
        <v>237</v>
      </c>
      <c r="L514" s="14" t="s">
        <v>237</v>
      </c>
    </row>
    <row r="515">
      <c r="K515" s="14" t="s">
        <v>237</v>
      </c>
      <c r="L515" s="14" t="s">
        <v>237</v>
      </c>
    </row>
    <row r="516">
      <c r="K516" s="14" t="s">
        <v>237</v>
      </c>
      <c r="L516" s="14" t="s">
        <v>237</v>
      </c>
    </row>
    <row r="517">
      <c r="K517" s="14" t="s">
        <v>237</v>
      </c>
      <c r="L517" s="14" t="s">
        <v>237</v>
      </c>
    </row>
    <row r="518">
      <c r="K518" s="14" t="s">
        <v>237</v>
      </c>
      <c r="L518" s="14" t="s">
        <v>237</v>
      </c>
    </row>
    <row r="519">
      <c r="K519" s="14" t="s">
        <v>237</v>
      </c>
      <c r="L519" s="14" t="s">
        <v>237</v>
      </c>
    </row>
    <row r="520">
      <c r="K520" s="14" t="s">
        <v>237</v>
      </c>
      <c r="L520" s="14" t="s">
        <v>237</v>
      </c>
    </row>
    <row r="521">
      <c r="K521" s="14" t="s">
        <v>237</v>
      </c>
      <c r="L521" s="14" t="s">
        <v>237</v>
      </c>
    </row>
    <row r="522">
      <c r="K522" s="14" t="s">
        <v>237</v>
      </c>
      <c r="L522" s="14" t="s">
        <v>237</v>
      </c>
    </row>
    <row r="523">
      <c r="K523" s="14" t="s">
        <v>237</v>
      </c>
      <c r="L523" s="14" t="s">
        <v>237</v>
      </c>
    </row>
    <row r="524">
      <c r="K524" s="14" t="s">
        <v>237</v>
      </c>
      <c r="L524" s="14" t="s">
        <v>237</v>
      </c>
    </row>
    <row r="525">
      <c r="K525" s="14" t="s">
        <v>237</v>
      </c>
      <c r="L525" s="14" t="s">
        <v>237</v>
      </c>
    </row>
    <row r="526">
      <c r="K526" s="14" t="s">
        <v>237</v>
      </c>
      <c r="L526" s="14" t="s">
        <v>237</v>
      </c>
    </row>
    <row r="527">
      <c r="K527" s="14" t="s">
        <v>237</v>
      </c>
      <c r="L527" s="14" t="s">
        <v>237</v>
      </c>
    </row>
    <row r="528">
      <c r="K528" s="14" t="s">
        <v>237</v>
      </c>
      <c r="L528" s="14" t="s">
        <v>237</v>
      </c>
    </row>
    <row r="529">
      <c r="K529" s="14" t="s">
        <v>237</v>
      </c>
      <c r="L529" s="14" t="s">
        <v>237</v>
      </c>
    </row>
    <row r="530">
      <c r="K530" s="14" t="s">
        <v>237</v>
      </c>
      <c r="L530" s="14" t="s">
        <v>237</v>
      </c>
    </row>
    <row r="531">
      <c r="K531" s="14" t="s">
        <v>237</v>
      </c>
      <c r="L531" s="14" t="s">
        <v>237</v>
      </c>
    </row>
    <row r="532">
      <c r="K532" s="14" t="s">
        <v>237</v>
      </c>
      <c r="L532" s="14" t="s">
        <v>237</v>
      </c>
    </row>
    <row r="533">
      <c r="K533" s="14" t="s">
        <v>237</v>
      </c>
      <c r="L533" s="14" t="s">
        <v>237</v>
      </c>
    </row>
    <row r="534">
      <c r="K534" s="14" t="s">
        <v>237</v>
      </c>
      <c r="L534" s="14" t="s">
        <v>237</v>
      </c>
    </row>
    <row r="535">
      <c r="K535" s="14" t="s">
        <v>237</v>
      </c>
      <c r="L535" s="14" t="s">
        <v>237</v>
      </c>
    </row>
    <row r="536">
      <c r="K536" s="14" t="s">
        <v>237</v>
      </c>
      <c r="L536" s="14" t="s">
        <v>237</v>
      </c>
    </row>
    <row r="537">
      <c r="K537" s="14" t="s">
        <v>237</v>
      </c>
      <c r="L537" s="14" t="s">
        <v>237</v>
      </c>
    </row>
    <row r="538">
      <c r="K538" s="14" t="s">
        <v>237</v>
      </c>
      <c r="L538" s="14" t="s">
        <v>237</v>
      </c>
    </row>
    <row r="539">
      <c r="K539" s="14" t="s">
        <v>237</v>
      </c>
      <c r="L539" s="14" t="s">
        <v>237</v>
      </c>
    </row>
    <row r="540">
      <c r="K540" s="14" t="s">
        <v>237</v>
      </c>
      <c r="L540" s="14" t="s">
        <v>237</v>
      </c>
    </row>
    <row r="541">
      <c r="K541" s="14" t="s">
        <v>237</v>
      </c>
      <c r="L541" s="14" t="s">
        <v>237</v>
      </c>
    </row>
    <row r="542">
      <c r="K542" s="14" t="s">
        <v>237</v>
      </c>
      <c r="L542" s="14" t="s">
        <v>237</v>
      </c>
    </row>
    <row r="543">
      <c r="K543" s="14" t="s">
        <v>237</v>
      </c>
      <c r="L543" s="14" t="s">
        <v>237</v>
      </c>
    </row>
    <row r="544">
      <c r="K544" s="14" t="s">
        <v>237</v>
      </c>
      <c r="L544" s="14" t="s">
        <v>237</v>
      </c>
    </row>
    <row r="545">
      <c r="K545" s="14" t="s">
        <v>237</v>
      </c>
      <c r="L545" s="14" t="s">
        <v>237</v>
      </c>
    </row>
    <row r="546">
      <c r="K546" s="14" t="s">
        <v>237</v>
      </c>
      <c r="L546" s="14" t="s">
        <v>237</v>
      </c>
    </row>
    <row r="547">
      <c r="K547" s="14" t="s">
        <v>237</v>
      </c>
      <c r="L547" s="14" t="s">
        <v>237</v>
      </c>
    </row>
    <row r="548">
      <c r="K548" s="14" t="s">
        <v>237</v>
      </c>
      <c r="L548" s="14" t="s">
        <v>237</v>
      </c>
    </row>
    <row r="549">
      <c r="K549" s="14" t="s">
        <v>237</v>
      </c>
      <c r="L549" s="14" t="s">
        <v>237</v>
      </c>
    </row>
    <row r="550">
      <c r="K550" s="14" t="s">
        <v>237</v>
      </c>
      <c r="L550" s="14" t="s">
        <v>237</v>
      </c>
    </row>
    <row r="551">
      <c r="K551" s="14" t="s">
        <v>237</v>
      </c>
      <c r="L551" s="14" t="s">
        <v>237</v>
      </c>
    </row>
    <row r="552">
      <c r="K552" s="14" t="s">
        <v>237</v>
      </c>
      <c r="L552" s="14" t="s">
        <v>237</v>
      </c>
    </row>
    <row r="553">
      <c r="K553" s="14" t="s">
        <v>237</v>
      </c>
      <c r="L553" s="14" t="s">
        <v>237</v>
      </c>
    </row>
    <row r="554">
      <c r="K554" s="14" t="s">
        <v>237</v>
      </c>
      <c r="L554" s="14" t="s">
        <v>237</v>
      </c>
    </row>
    <row r="555">
      <c r="K555" s="14" t="s">
        <v>237</v>
      </c>
      <c r="L555" s="14" t="s">
        <v>237</v>
      </c>
    </row>
    <row r="556">
      <c r="K556" s="14" t="s">
        <v>237</v>
      </c>
      <c r="L556" s="14" t="s">
        <v>237</v>
      </c>
    </row>
    <row r="557">
      <c r="K557" s="14" t="s">
        <v>237</v>
      </c>
      <c r="L557" s="14" t="s">
        <v>237</v>
      </c>
    </row>
    <row r="558">
      <c r="K558" s="14" t="s">
        <v>237</v>
      </c>
      <c r="L558" s="14" t="s">
        <v>237</v>
      </c>
    </row>
    <row r="559">
      <c r="K559" s="14" t="s">
        <v>237</v>
      </c>
      <c r="L559" s="14" t="s">
        <v>237</v>
      </c>
    </row>
    <row r="560">
      <c r="K560" s="14" t="s">
        <v>237</v>
      </c>
      <c r="L560" s="14" t="s">
        <v>237</v>
      </c>
    </row>
    <row r="561">
      <c r="K561" s="14" t="s">
        <v>237</v>
      </c>
      <c r="L561" s="14" t="s">
        <v>237</v>
      </c>
    </row>
    <row r="562">
      <c r="K562" s="14" t="s">
        <v>237</v>
      </c>
      <c r="L562" s="14" t="s">
        <v>237</v>
      </c>
    </row>
    <row r="563">
      <c r="K563" s="14" t="s">
        <v>237</v>
      </c>
      <c r="L563" s="14" t="s">
        <v>237</v>
      </c>
    </row>
    <row r="564">
      <c r="K564" s="14" t="s">
        <v>237</v>
      </c>
      <c r="L564" s="14" t="s">
        <v>237</v>
      </c>
    </row>
    <row r="565">
      <c r="K565" s="14" t="s">
        <v>237</v>
      </c>
      <c r="L565" s="14" t="s">
        <v>237</v>
      </c>
    </row>
    <row r="566">
      <c r="K566" s="14" t="s">
        <v>237</v>
      </c>
      <c r="L566" s="14" t="s">
        <v>237</v>
      </c>
    </row>
    <row r="567">
      <c r="K567" s="14" t="s">
        <v>237</v>
      </c>
      <c r="L567" s="14" t="s">
        <v>237</v>
      </c>
    </row>
    <row r="568">
      <c r="K568" s="14" t="s">
        <v>237</v>
      </c>
      <c r="L568" s="14" t="s">
        <v>237</v>
      </c>
    </row>
    <row r="569">
      <c r="K569" s="14" t="s">
        <v>237</v>
      </c>
      <c r="L569" s="14" t="s">
        <v>237</v>
      </c>
    </row>
    <row r="570">
      <c r="K570" s="14" t="s">
        <v>237</v>
      </c>
      <c r="L570" s="14" t="s">
        <v>237</v>
      </c>
    </row>
    <row r="571">
      <c r="K571" s="14" t="s">
        <v>237</v>
      </c>
      <c r="L571" s="14" t="s">
        <v>237</v>
      </c>
    </row>
    <row r="572">
      <c r="K572" s="14" t="s">
        <v>237</v>
      </c>
      <c r="L572" s="14" t="s">
        <v>237</v>
      </c>
    </row>
    <row r="573">
      <c r="K573" s="14" t="s">
        <v>237</v>
      </c>
      <c r="L573" s="14" t="s">
        <v>237</v>
      </c>
    </row>
    <row r="574">
      <c r="K574" s="14" t="s">
        <v>237</v>
      </c>
      <c r="L574" s="14" t="s">
        <v>237</v>
      </c>
    </row>
    <row r="575">
      <c r="K575" s="14" t="s">
        <v>237</v>
      </c>
      <c r="L575" s="14" t="s">
        <v>237</v>
      </c>
    </row>
    <row r="576">
      <c r="K576" s="14" t="s">
        <v>237</v>
      </c>
      <c r="L576" s="14" t="s">
        <v>237</v>
      </c>
    </row>
    <row r="577">
      <c r="K577" s="14" t="s">
        <v>237</v>
      </c>
      <c r="L577" s="14" t="s">
        <v>237</v>
      </c>
    </row>
    <row r="578">
      <c r="K578" s="14" t="s">
        <v>237</v>
      </c>
      <c r="L578" s="14" t="s">
        <v>237</v>
      </c>
    </row>
    <row r="579">
      <c r="K579" s="14" t="s">
        <v>237</v>
      </c>
      <c r="L579" s="14" t="s">
        <v>237</v>
      </c>
    </row>
    <row r="580">
      <c r="K580" s="14" t="s">
        <v>237</v>
      </c>
      <c r="L580" s="14" t="s">
        <v>237</v>
      </c>
    </row>
    <row r="581">
      <c r="K581" s="14" t="s">
        <v>237</v>
      </c>
      <c r="L581" s="14" t="s">
        <v>237</v>
      </c>
    </row>
    <row r="582">
      <c r="K582" s="14" t="s">
        <v>237</v>
      </c>
      <c r="L582" s="14" t="s">
        <v>237</v>
      </c>
    </row>
    <row r="583">
      <c r="K583" s="14" t="s">
        <v>237</v>
      </c>
      <c r="L583" s="14" t="s">
        <v>237</v>
      </c>
    </row>
    <row r="584">
      <c r="K584" s="14" t="s">
        <v>237</v>
      </c>
      <c r="L584" s="14" t="s">
        <v>237</v>
      </c>
    </row>
    <row r="585">
      <c r="K585" s="14" t="s">
        <v>237</v>
      </c>
      <c r="L585" s="14" t="s">
        <v>237</v>
      </c>
    </row>
    <row r="586">
      <c r="K586" s="14" t="s">
        <v>237</v>
      </c>
      <c r="L586" s="14" t="s">
        <v>237</v>
      </c>
    </row>
    <row r="587">
      <c r="K587" s="14" t="s">
        <v>237</v>
      </c>
      <c r="L587" s="14" t="s">
        <v>237</v>
      </c>
    </row>
    <row r="588">
      <c r="K588" s="14" t="s">
        <v>237</v>
      </c>
      <c r="L588" s="14" t="s">
        <v>237</v>
      </c>
    </row>
    <row r="589">
      <c r="K589" s="14" t="s">
        <v>237</v>
      </c>
      <c r="L589" s="14" t="s">
        <v>237</v>
      </c>
    </row>
    <row r="590">
      <c r="K590" s="14" t="s">
        <v>237</v>
      </c>
      <c r="L590" s="14" t="s">
        <v>237</v>
      </c>
    </row>
    <row r="591">
      <c r="K591" s="14" t="s">
        <v>237</v>
      </c>
      <c r="L591" s="14" t="s">
        <v>237</v>
      </c>
    </row>
    <row r="592">
      <c r="K592" s="14" t="s">
        <v>237</v>
      </c>
      <c r="L592" s="14" t="s">
        <v>237</v>
      </c>
    </row>
    <row r="593">
      <c r="K593" s="14" t="s">
        <v>237</v>
      </c>
      <c r="L593" s="14" t="s">
        <v>237</v>
      </c>
    </row>
    <row r="594">
      <c r="K594" s="14" t="s">
        <v>237</v>
      </c>
      <c r="L594" s="14" t="s">
        <v>237</v>
      </c>
    </row>
    <row r="595">
      <c r="K595" s="14" t="s">
        <v>237</v>
      </c>
      <c r="L595" s="14" t="s">
        <v>237</v>
      </c>
    </row>
    <row r="596">
      <c r="K596" s="14" t="s">
        <v>237</v>
      </c>
      <c r="L596" s="14" t="s">
        <v>237</v>
      </c>
    </row>
    <row r="597">
      <c r="K597" s="14" t="s">
        <v>237</v>
      </c>
      <c r="L597" s="14" t="s">
        <v>237</v>
      </c>
    </row>
    <row r="598">
      <c r="K598" s="14" t="s">
        <v>237</v>
      </c>
      <c r="L598" s="14" t="s">
        <v>237</v>
      </c>
    </row>
    <row r="599">
      <c r="K599" s="14" t="s">
        <v>237</v>
      </c>
      <c r="L599" s="14" t="s">
        <v>237</v>
      </c>
    </row>
    <row r="600">
      <c r="K600" s="14" t="s">
        <v>237</v>
      </c>
      <c r="L600" s="14" t="s">
        <v>237</v>
      </c>
    </row>
    <row r="601">
      <c r="K601" s="14" t="s">
        <v>237</v>
      </c>
      <c r="L601" s="14" t="s">
        <v>237</v>
      </c>
    </row>
    <row r="602">
      <c r="K602" s="14" t="s">
        <v>237</v>
      </c>
      <c r="L602" s="14" t="s">
        <v>237</v>
      </c>
    </row>
    <row r="603">
      <c r="K603" s="14" t="s">
        <v>237</v>
      </c>
      <c r="L603" s="14" t="s">
        <v>237</v>
      </c>
    </row>
    <row r="604">
      <c r="K604" s="14" t="s">
        <v>237</v>
      </c>
      <c r="L604" s="14" t="s">
        <v>237</v>
      </c>
    </row>
    <row r="605">
      <c r="K605" s="14" t="s">
        <v>237</v>
      </c>
      <c r="L605" s="14" t="s">
        <v>237</v>
      </c>
    </row>
    <row r="606">
      <c r="K606" s="14" t="s">
        <v>237</v>
      </c>
      <c r="L606" s="14" t="s">
        <v>237</v>
      </c>
    </row>
    <row r="607">
      <c r="K607" s="14" t="s">
        <v>237</v>
      </c>
      <c r="L607" s="14" t="s">
        <v>237</v>
      </c>
    </row>
    <row r="608">
      <c r="K608" s="14" t="s">
        <v>237</v>
      </c>
      <c r="L608" s="14" t="s">
        <v>237</v>
      </c>
    </row>
    <row r="609">
      <c r="K609" s="14" t="s">
        <v>237</v>
      </c>
      <c r="L609" s="14" t="s">
        <v>237</v>
      </c>
    </row>
    <row r="610">
      <c r="K610" s="14" t="s">
        <v>237</v>
      </c>
      <c r="L610" s="14" t="s">
        <v>237</v>
      </c>
    </row>
    <row r="611">
      <c r="K611" s="14" t="s">
        <v>237</v>
      </c>
      <c r="L611" s="14" t="s">
        <v>237</v>
      </c>
    </row>
    <row r="612">
      <c r="K612" s="14" t="s">
        <v>237</v>
      </c>
      <c r="L612" s="14" t="s">
        <v>237</v>
      </c>
    </row>
    <row r="613">
      <c r="K613" s="14" t="s">
        <v>237</v>
      </c>
      <c r="L613" s="14" t="s">
        <v>237</v>
      </c>
    </row>
    <row r="614">
      <c r="K614" s="14" t="s">
        <v>237</v>
      </c>
      <c r="L614" s="14" t="s">
        <v>237</v>
      </c>
    </row>
    <row r="615">
      <c r="K615" s="14" t="s">
        <v>237</v>
      </c>
      <c r="L615" s="14" t="s">
        <v>237</v>
      </c>
    </row>
    <row r="616">
      <c r="K616" s="14" t="s">
        <v>237</v>
      </c>
      <c r="L616" s="14" t="s">
        <v>237</v>
      </c>
    </row>
    <row r="617">
      <c r="K617" s="14" t="s">
        <v>237</v>
      </c>
      <c r="L617" s="14" t="s">
        <v>237</v>
      </c>
    </row>
    <row r="618">
      <c r="K618" s="14" t="s">
        <v>237</v>
      </c>
      <c r="L618" s="14" t="s">
        <v>237</v>
      </c>
    </row>
    <row r="619">
      <c r="K619" s="14" t="s">
        <v>237</v>
      </c>
      <c r="L619" s="14" t="s">
        <v>237</v>
      </c>
    </row>
    <row r="620">
      <c r="K620" s="14" t="s">
        <v>237</v>
      </c>
      <c r="L620" s="14" t="s">
        <v>237</v>
      </c>
    </row>
    <row r="621">
      <c r="K621" s="14" t="s">
        <v>237</v>
      </c>
      <c r="L621" s="14" t="s">
        <v>237</v>
      </c>
    </row>
    <row r="622">
      <c r="K622" s="14" t="s">
        <v>237</v>
      </c>
      <c r="L622" s="14" t="s">
        <v>237</v>
      </c>
    </row>
    <row r="623">
      <c r="K623" s="14" t="s">
        <v>237</v>
      </c>
      <c r="L623" s="14" t="s">
        <v>237</v>
      </c>
    </row>
    <row r="624">
      <c r="K624" s="14" t="s">
        <v>237</v>
      </c>
      <c r="L624" s="14" t="s">
        <v>237</v>
      </c>
    </row>
    <row r="625">
      <c r="K625" s="14" t="s">
        <v>237</v>
      </c>
      <c r="L625" s="14" t="s">
        <v>237</v>
      </c>
    </row>
    <row r="626">
      <c r="K626" s="14" t="s">
        <v>237</v>
      </c>
      <c r="L626" s="14" t="s">
        <v>237</v>
      </c>
    </row>
    <row r="627">
      <c r="K627" s="14" t="s">
        <v>237</v>
      </c>
      <c r="L627" s="14" t="s">
        <v>237</v>
      </c>
    </row>
    <row r="628">
      <c r="K628" s="14" t="s">
        <v>237</v>
      </c>
      <c r="L628" s="14" t="s">
        <v>237</v>
      </c>
    </row>
    <row r="629">
      <c r="K629" s="14" t="s">
        <v>237</v>
      </c>
      <c r="L629" s="14" t="s">
        <v>237</v>
      </c>
    </row>
    <row r="630">
      <c r="K630" s="14" t="s">
        <v>237</v>
      </c>
      <c r="L630" s="14" t="s">
        <v>237</v>
      </c>
    </row>
    <row r="631">
      <c r="K631" s="14" t="s">
        <v>237</v>
      </c>
      <c r="L631" s="14" t="s">
        <v>237</v>
      </c>
    </row>
    <row r="632">
      <c r="K632" s="14" t="s">
        <v>237</v>
      </c>
      <c r="L632" s="14" t="s">
        <v>237</v>
      </c>
    </row>
    <row r="633">
      <c r="K633" s="14" t="s">
        <v>237</v>
      </c>
      <c r="L633" s="14" t="s">
        <v>237</v>
      </c>
    </row>
    <row r="634">
      <c r="K634" s="14" t="s">
        <v>237</v>
      </c>
      <c r="L634" s="14" t="s">
        <v>237</v>
      </c>
    </row>
    <row r="635">
      <c r="K635" s="14" t="s">
        <v>237</v>
      </c>
      <c r="L635" s="14" t="s">
        <v>237</v>
      </c>
    </row>
    <row r="636">
      <c r="K636" s="14" t="s">
        <v>237</v>
      </c>
      <c r="L636" s="14" t="s">
        <v>237</v>
      </c>
    </row>
    <row r="637">
      <c r="K637" s="14" t="s">
        <v>237</v>
      </c>
      <c r="L637" s="14" t="s">
        <v>237</v>
      </c>
    </row>
    <row r="638">
      <c r="K638" s="14" t="s">
        <v>237</v>
      </c>
      <c r="L638" s="14" t="s">
        <v>237</v>
      </c>
    </row>
    <row r="639">
      <c r="K639" s="14" t="s">
        <v>237</v>
      </c>
      <c r="L639" s="14" t="s">
        <v>237</v>
      </c>
    </row>
    <row r="640">
      <c r="K640" s="14" t="s">
        <v>237</v>
      </c>
      <c r="L640" s="14" t="s">
        <v>237</v>
      </c>
    </row>
    <row r="641">
      <c r="K641" s="14" t="s">
        <v>237</v>
      </c>
      <c r="L641" s="14" t="s">
        <v>237</v>
      </c>
    </row>
    <row r="642">
      <c r="K642" s="14" t="s">
        <v>237</v>
      </c>
      <c r="L642" s="14" t="s">
        <v>237</v>
      </c>
    </row>
    <row r="643">
      <c r="K643" s="14" t="s">
        <v>237</v>
      </c>
      <c r="L643" s="14" t="s">
        <v>237</v>
      </c>
    </row>
    <row r="644">
      <c r="K644" s="14" t="s">
        <v>237</v>
      </c>
      <c r="L644" s="14" t="s">
        <v>237</v>
      </c>
    </row>
    <row r="645">
      <c r="K645" s="14" t="s">
        <v>237</v>
      </c>
      <c r="L645" s="14" t="s">
        <v>237</v>
      </c>
    </row>
    <row r="646">
      <c r="K646" s="14" t="s">
        <v>237</v>
      </c>
      <c r="L646" s="14" t="s">
        <v>237</v>
      </c>
    </row>
    <row r="647">
      <c r="K647" s="14" t="s">
        <v>237</v>
      </c>
      <c r="L647" s="14" t="s">
        <v>237</v>
      </c>
    </row>
    <row r="648">
      <c r="K648" s="14" t="s">
        <v>237</v>
      </c>
      <c r="L648" s="14" t="s">
        <v>237</v>
      </c>
    </row>
    <row r="649">
      <c r="K649" s="14" t="s">
        <v>237</v>
      </c>
      <c r="L649" s="14" t="s">
        <v>237</v>
      </c>
    </row>
    <row r="650">
      <c r="K650" s="14" t="s">
        <v>237</v>
      </c>
      <c r="L650" s="14" t="s">
        <v>237</v>
      </c>
    </row>
    <row r="651">
      <c r="K651" s="14" t="s">
        <v>237</v>
      </c>
      <c r="L651" s="14" t="s">
        <v>237</v>
      </c>
    </row>
    <row r="652">
      <c r="K652" s="14" t="s">
        <v>237</v>
      </c>
      <c r="L652" s="14" t="s">
        <v>237</v>
      </c>
    </row>
    <row r="653">
      <c r="K653" s="14" t="s">
        <v>237</v>
      </c>
      <c r="L653" s="14" t="s">
        <v>237</v>
      </c>
    </row>
    <row r="654">
      <c r="K654" s="14" t="s">
        <v>237</v>
      </c>
      <c r="L654" s="14" t="s">
        <v>237</v>
      </c>
    </row>
    <row r="655">
      <c r="K655" s="14" t="s">
        <v>237</v>
      </c>
      <c r="L655" s="14" t="s">
        <v>237</v>
      </c>
    </row>
    <row r="656">
      <c r="K656" s="14" t="s">
        <v>237</v>
      </c>
      <c r="L656" s="14" t="s">
        <v>237</v>
      </c>
    </row>
    <row r="657">
      <c r="K657" s="14" t="s">
        <v>237</v>
      </c>
      <c r="L657" s="14" t="s">
        <v>237</v>
      </c>
    </row>
    <row r="658">
      <c r="K658" s="14" t="s">
        <v>237</v>
      </c>
      <c r="L658" s="14" t="s">
        <v>237</v>
      </c>
    </row>
    <row r="659">
      <c r="K659" s="14" t="s">
        <v>237</v>
      </c>
      <c r="L659" s="14" t="s">
        <v>237</v>
      </c>
    </row>
    <row r="660">
      <c r="K660" s="14" t="s">
        <v>237</v>
      </c>
      <c r="L660" s="14" t="s">
        <v>237</v>
      </c>
    </row>
    <row r="661">
      <c r="K661" s="14" t="s">
        <v>237</v>
      </c>
      <c r="L661" s="14" t="s">
        <v>237</v>
      </c>
    </row>
    <row r="662">
      <c r="K662" s="14" t="s">
        <v>237</v>
      </c>
      <c r="L662" s="14" t="s">
        <v>237</v>
      </c>
    </row>
    <row r="663">
      <c r="K663" s="14" t="s">
        <v>237</v>
      </c>
      <c r="L663" s="14" t="s">
        <v>237</v>
      </c>
    </row>
    <row r="664">
      <c r="K664" s="14" t="s">
        <v>237</v>
      </c>
      <c r="L664" s="14" t="s">
        <v>237</v>
      </c>
    </row>
    <row r="665">
      <c r="K665" s="14" t="s">
        <v>237</v>
      </c>
      <c r="L665" s="14" t="s">
        <v>237</v>
      </c>
    </row>
    <row r="666">
      <c r="K666" s="14" t="s">
        <v>237</v>
      </c>
      <c r="L666" s="14" t="s">
        <v>237</v>
      </c>
    </row>
    <row r="667">
      <c r="K667" s="14" t="s">
        <v>237</v>
      </c>
      <c r="L667" s="14" t="s">
        <v>237</v>
      </c>
    </row>
    <row r="668">
      <c r="K668" s="14" t="s">
        <v>237</v>
      </c>
      <c r="L668" s="14" t="s">
        <v>237</v>
      </c>
    </row>
    <row r="669">
      <c r="K669" s="14" t="s">
        <v>237</v>
      </c>
      <c r="L669" s="14" t="s">
        <v>237</v>
      </c>
    </row>
    <row r="670">
      <c r="K670" s="14" t="s">
        <v>237</v>
      </c>
      <c r="L670" s="14" t="s">
        <v>237</v>
      </c>
    </row>
    <row r="671">
      <c r="K671" s="14" t="s">
        <v>237</v>
      </c>
      <c r="L671" s="14" t="s">
        <v>237</v>
      </c>
    </row>
    <row r="672">
      <c r="K672" s="14" t="s">
        <v>237</v>
      </c>
      <c r="L672" s="14" t="s">
        <v>237</v>
      </c>
    </row>
    <row r="673">
      <c r="K673" s="14" t="s">
        <v>237</v>
      </c>
      <c r="L673" s="14" t="s">
        <v>237</v>
      </c>
    </row>
    <row r="674">
      <c r="K674" s="14" t="s">
        <v>237</v>
      </c>
      <c r="L674" s="14" t="s">
        <v>237</v>
      </c>
    </row>
    <row r="675">
      <c r="K675" s="14" t="s">
        <v>237</v>
      </c>
      <c r="L675" s="14" t="s">
        <v>237</v>
      </c>
    </row>
    <row r="676">
      <c r="K676" s="14" t="s">
        <v>237</v>
      </c>
      <c r="L676" s="14" t="s">
        <v>237</v>
      </c>
    </row>
    <row r="677">
      <c r="K677" s="14" t="s">
        <v>237</v>
      </c>
      <c r="L677" s="14" t="s">
        <v>237</v>
      </c>
    </row>
    <row r="678">
      <c r="K678" s="14" t="s">
        <v>237</v>
      </c>
      <c r="L678" s="14" t="s">
        <v>237</v>
      </c>
    </row>
    <row r="679">
      <c r="K679" s="14" t="s">
        <v>237</v>
      </c>
      <c r="L679" s="14" t="s">
        <v>237</v>
      </c>
    </row>
    <row r="680">
      <c r="K680" s="14" t="s">
        <v>237</v>
      </c>
      <c r="L680" s="14" t="s">
        <v>237</v>
      </c>
    </row>
    <row r="681">
      <c r="K681" s="14" t="s">
        <v>237</v>
      </c>
      <c r="L681" s="14" t="s">
        <v>237</v>
      </c>
    </row>
    <row r="682">
      <c r="K682" s="14" t="s">
        <v>237</v>
      </c>
      <c r="L682" s="14" t="s">
        <v>237</v>
      </c>
    </row>
    <row r="683">
      <c r="K683" s="14" t="s">
        <v>237</v>
      </c>
      <c r="L683" s="14" t="s">
        <v>237</v>
      </c>
    </row>
    <row r="684">
      <c r="K684" s="14" t="s">
        <v>237</v>
      </c>
      <c r="L684" s="14" t="s">
        <v>237</v>
      </c>
    </row>
    <row r="685">
      <c r="K685" s="14" t="s">
        <v>237</v>
      </c>
      <c r="L685" s="14" t="s">
        <v>237</v>
      </c>
    </row>
    <row r="686">
      <c r="K686" s="14" t="s">
        <v>237</v>
      </c>
      <c r="L686" s="14" t="s">
        <v>237</v>
      </c>
    </row>
    <row r="687">
      <c r="K687" s="14" t="s">
        <v>237</v>
      </c>
      <c r="L687" s="14" t="s">
        <v>237</v>
      </c>
    </row>
    <row r="688">
      <c r="K688" s="14" t="s">
        <v>237</v>
      </c>
      <c r="L688" s="14" t="s">
        <v>237</v>
      </c>
    </row>
    <row r="689">
      <c r="K689" s="14" t="s">
        <v>237</v>
      </c>
      <c r="L689" s="14" t="s">
        <v>237</v>
      </c>
    </row>
    <row r="690">
      <c r="K690" s="14" t="s">
        <v>237</v>
      </c>
      <c r="L690" s="14" t="s">
        <v>237</v>
      </c>
    </row>
    <row r="691">
      <c r="K691" s="14" t="s">
        <v>237</v>
      </c>
      <c r="L691" s="14" t="s">
        <v>237</v>
      </c>
    </row>
    <row r="692">
      <c r="K692" s="14" t="s">
        <v>237</v>
      </c>
      <c r="L692" s="14" t="s">
        <v>237</v>
      </c>
    </row>
    <row r="693">
      <c r="K693" s="14" t="s">
        <v>237</v>
      </c>
      <c r="L693" s="14" t="s">
        <v>237</v>
      </c>
    </row>
    <row r="694">
      <c r="K694" s="14" t="s">
        <v>237</v>
      </c>
      <c r="L694" s="14" t="s">
        <v>237</v>
      </c>
    </row>
    <row r="695">
      <c r="K695" s="14" t="s">
        <v>237</v>
      </c>
      <c r="L695" s="14" t="s">
        <v>237</v>
      </c>
    </row>
    <row r="696">
      <c r="K696" s="14" t="s">
        <v>237</v>
      </c>
      <c r="L696" s="14" t="s">
        <v>237</v>
      </c>
    </row>
    <row r="697">
      <c r="K697" s="14" t="s">
        <v>237</v>
      </c>
      <c r="L697" s="14" t="s">
        <v>237</v>
      </c>
    </row>
    <row r="698">
      <c r="K698" s="14" t="s">
        <v>237</v>
      </c>
      <c r="L698" s="14" t="s">
        <v>237</v>
      </c>
    </row>
    <row r="699">
      <c r="K699" s="14" t="s">
        <v>237</v>
      </c>
      <c r="L699" s="14" t="s">
        <v>237</v>
      </c>
    </row>
    <row r="700">
      <c r="K700" s="14" t="s">
        <v>237</v>
      </c>
      <c r="L700" s="14" t="s">
        <v>237</v>
      </c>
    </row>
    <row r="701">
      <c r="K701" s="14" t="s">
        <v>237</v>
      </c>
      <c r="L701" s="14" t="s">
        <v>237</v>
      </c>
    </row>
    <row r="702">
      <c r="K702" s="14" t="s">
        <v>237</v>
      </c>
      <c r="L702" s="14" t="s">
        <v>237</v>
      </c>
    </row>
    <row r="703">
      <c r="K703" s="14" t="s">
        <v>237</v>
      </c>
      <c r="L703" s="14" t="s">
        <v>237</v>
      </c>
    </row>
    <row r="704">
      <c r="K704" s="14" t="s">
        <v>237</v>
      </c>
      <c r="L704" s="14" t="s">
        <v>237</v>
      </c>
    </row>
    <row r="705">
      <c r="K705" s="14" t="s">
        <v>237</v>
      </c>
      <c r="L705" s="14" t="s">
        <v>237</v>
      </c>
    </row>
    <row r="706">
      <c r="K706" s="14" t="s">
        <v>237</v>
      </c>
      <c r="L706" s="14" t="s">
        <v>237</v>
      </c>
    </row>
    <row r="707">
      <c r="K707" s="14" t="s">
        <v>237</v>
      </c>
      <c r="L707" s="14" t="s">
        <v>237</v>
      </c>
    </row>
    <row r="708">
      <c r="K708" s="14" t="s">
        <v>237</v>
      </c>
      <c r="L708" s="14" t="s">
        <v>237</v>
      </c>
    </row>
    <row r="709">
      <c r="K709" s="14" t="s">
        <v>237</v>
      </c>
      <c r="L709" s="14" t="s">
        <v>237</v>
      </c>
    </row>
    <row r="710">
      <c r="K710" s="14" t="s">
        <v>237</v>
      </c>
      <c r="L710" s="14" t="s">
        <v>237</v>
      </c>
    </row>
    <row r="711">
      <c r="K711" s="14" t="s">
        <v>237</v>
      </c>
      <c r="L711" s="14" t="s">
        <v>237</v>
      </c>
    </row>
    <row r="712">
      <c r="K712" s="14" t="s">
        <v>237</v>
      </c>
      <c r="L712" s="14" t="s">
        <v>237</v>
      </c>
    </row>
    <row r="713">
      <c r="K713" s="14" t="s">
        <v>237</v>
      </c>
      <c r="L713" s="14" t="s">
        <v>237</v>
      </c>
    </row>
    <row r="714">
      <c r="K714" s="14" t="s">
        <v>237</v>
      </c>
      <c r="L714" s="14" t="s">
        <v>237</v>
      </c>
    </row>
    <row r="715">
      <c r="K715" s="14" t="s">
        <v>237</v>
      </c>
      <c r="L715" s="14" t="s">
        <v>237</v>
      </c>
    </row>
    <row r="716">
      <c r="K716" s="14" t="s">
        <v>237</v>
      </c>
      <c r="L716" s="14" t="s">
        <v>237</v>
      </c>
    </row>
    <row r="717">
      <c r="K717" s="14" t="s">
        <v>237</v>
      </c>
      <c r="L717" s="14" t="s">
        <v>237</v>
      </c>
    </row>
    <row r="718">
      <c r="K718" s="14" t="s">
        <v>237</v>
      </c>
      <c r="L718" s="14" t="s">
        <v>237</v>
      </c>
    </row>
    <row r="719">
      <c r="K719" s="14" t="s">
        <v>237</v>
      </c>
      <c r="L719" s="14" t="s">
        <v>237</v>
      </c>
    </row>
    <row r="720">
      <c r="K720" s="14" t="s">
        <v>237</v>
      </c>
      <c r="L720" s="14" t="s">
        <v>237</v>
      </c>
    </row>
    <row r="721">
      <c r="K721" s="14" t="s">
        <v>237</v>
      </c>
      <c r="L721" s="14" t="s">
        <v>237</v>
      </c>
    </row>
    <row r="722">
      <c r="K722" s="14" t="s">
        <v>237</v>
      </c>
      <c r="L722" s="14" t="s">
        <v>237</v>
      </c>
    </row>
    <row r="723">
      <c r="K723" s="14" t="s">
        <v>237</v>
      </c>
      <c r="L723" s="14" t="s">
        <v>237</v>
      </c>
    </row>
    <row r="724">
      <c r="K724" s="14" t="s">
        <v>237</v>
      </c>
      <c r="L724" s="14" t="s">
        <v>237</v>
      </c>
    </row>
    <row r="725">
      <c r="K725" s="14" t="s">
        <v>237</v>
      </c>
      <c r="L725" s="14" t="s">
        <v>237</v>
      </c>
    </row>
    <row r="726">
      <c r="K726" s="14" t="s">
        <v>237</v>
      </c>
      <c r="L726" s="14" t="s">
        <v>237</v>
      </c>
    </row>
    <row r="727">
      <c r="K727" s="14" t="s">
        <v>237</v>
      </c>
      <c r="L727" s="14" t="s">
        <v>237</v>
      </c>
    </row>
    <row r="728">
      <c r="K728" s="14" t="s">
        <v>237</v>
      </c>
      <c r="L728" s="14" t="s">
        <v>237</v>
      </c>
    </row>
    <row r="729">
      <c r="K729" s="14" t="s">
        <v>237</v>
      </c>
      <c r="L729" s="14" t="s">
        <v>237</v>
      </c>
    </row>
    <row r="730">
      <c r="K730" s="14" t="s">
        <v>237</v>
      </c>
      <c r="L730" s="14" t="s">
        <v>237</v>
      </c>
    </row>
    <row r="731">
      <c r="K731" s="14" t="s">
        <v>237</v>
      </c>
      <c r="L731" s="14" t="s">
        <v>237</v>
      </c>
    </row>
    <row r="732">
      <c r="K732" s="14" t="s">
        <v>237</v>
      </c>
      <c r="L732" s="14" t="s">
        <v>237</v>
      </c>
    </row>
    <row r="733">
      <c r="K733" s="14" t="s">
        <v>237</v>
      </c>
      <c r="L733" s="14" t="s">
        <v>237</v>
      </c>
    </row>
    <row r="734">
      <c r="K734" s="14" t="s">
        <v>237</v>
      </c>
      <c r="L734" s="14" t="s">
        <v>237</v>
      </c>
    </row>
    <row r="735">
      <c r="K735" s="14" t="s">
        <v>237</v>
      </c>
      <c r="L735" s="14" t="s">
        <v>237</v>
      </c>
    </row>
    <row r="736">
      <c r="K736" s="14" t="s">
        <v>237</v>
      </c>
      <c r="L736" s="14" t="s">
        <v>237</v>
      </c>
    </row>
    <row r="737">
      <c r="K737" s="14" t="s">
        <v>237</v>
      </c>
      <c r="L737" s="14" t="s">
        <v>237</v>
      </c>
    </row>
    <row r="738">
      <c r="K738" s="14" t="s">
        <v>237</v>
      </c>
      <c r="L738" s="14" t="s">
        <v>237</v>
      </c>
    </row>
    <row r="739">
      <c r="K739" s="14" t="s">
        <v>237</v>
      </c>
      <c r="L739" s="14" t="s">
        <v>237</v>
      </c>
    </row>
    <row r="740">
      <c r="K740" s="14" t="s">
        <v>237</v>
      </c>
      <c r="L740" s="14" t="s">
        <v>237</v>
      </c>
    </row>
    <row r="741">
      <c r="K741" s="14" t="s">
        <v>237</v>
      </c>
      <c r="L741" s="14" t="s">
        <v>237</v>
      </c>
    </row>
    <row r="742">
      <c r="K742" s="14" t="s">
        <v>237</v>
      </c>
      <c r="L742" s="14" t="s">
        <v>237</v>
      </c>
    </row>
    <row r="743">
      <c r="K743" s="14" t="s">
        <v>237</v>
      </c>
      <c r="L743" s="14" t="s">
        <v>237</v>
      </c>
    </row>
    <row r="744">
      <c r="K744" s="14" t="s">
        <v>237</v>
      </c>
      <c r="L744" s="14" t="s">
        <v>237</v>
      </c>
    </row>
    <row r="745">
      <c r="K745" s="14" t="s">
        <v>237</v>
      </c>
      <c r="L745" s="14" t="s">
        <v>237</v>
      </c>
    </row>
    <row r="746">
      <c r="K746" s="14" t="s">
        <v>237</v>
      </c>
      <c r="L746" s="14" t="s">
        <v>237</v>
      </c>
    </row>
    <row r="747">
      <c r="K747" s="14" t="s">
        <v>237</v>
      </c>
      <c r="L747" s="14" t="s">
        <v>237</v>
      </c>
    </row>
    <row r="748">
      <c r="K748" s="14" t="s">
        <v>237</v>
      </c>
      <c r="L748" s="14" t="s">
        <v>237</v>
      </c>
    </row>
    <row r="749">
      <c r="K749" s="14" t="s">
        <v>237</v>
      </c>
      <c r="L749" s="14" t="s">
        <v>237</v>
      </c>
    </row>
    <row r="750">
      <c r="K750" s="14" t="s">
        <v>237</v>
      </c>
      <c r="L750" s="14" t="s">
        <v>237</v>
      </c>
    </row>
    <row r="751">
      <c r="K751" s="14" t="s">
        <v>237</v>
      </c>
      <c r="L751" s="14" t="s">
        <v>237</v>
      </c>
    </row>
    <row r="752">
      <c r="K752" s="14" t="s">
        <v>237</v>
      </c>
      <c r="L752" s="14" t="s">
        <v>237</v>
      </c>
    </row>
    <row r="753">
      <c r="K753" s="14" t="s">
        <v>237</v>
      </c>
      <c r="L753" s="14" t="s">
        <v>237</v>
      </c>
    </row>
    <row r="754">
      <c r="K754" s="14" t="s">
        <v>237</v>
      </c>
      <c r="L754" s="14" t="s">
        <v>237</v>
      </c>
    </row>
    <row r="755">
      <c r="K755" s="14" t="s">
        <v>237</v>
      </c>
      <c r="L755" s="14" t="s">
        <v>237</v>
      </c>
    </row>
    <row r="756">
      <c r="K756" s="14" t="s">
        <v>237</v>
      </c>
      <c r="L756" s="14" t="s">
        <v>237</v>
      </c>
    </row>
    <row r="757">
      <c r="K757" s="14" t="s">
        <v>237</v>
      </c>
      <c r="L757" s="14" t="s">
        <v>237</v>
      </c>
    </row>
    <row r="758">
      <c r="K758" s="14" t="s">
        <v>237</v>
      </c>
      <c r="L758" s="14" t="s">
        <v>237</v>
      </c>
    </row>
    <row r="759">
      <c r="K759" s="14" t="s">
        <v>237</v>
      </c>
      <c r="L759" s="14" t="s">
        <v>237</v>
      </c>
    </row>
    <row r="760">
      <c r="K760" s="14" t="s">
        <v>237</v>
      </c>
      <c r="L760" s="14" t="s">
        <v>237</v>
      </c>
    </row>
    <row r="761">
      <c r="K761" s="14" t="s">
        <v>237</v>
      </c>
      <c r="L761" s="14" t="s">
        <v>237</v>
      </c>
    </row>
    <row r="762">
      <c r="K762" s="14" t="s">
        <v>237</v>
      </c>
      <c r="L762" s="14" t="s">
        <v>237</v>
      </c>
    </row>
    <row r="763">
      <c r="K763" s="14" t="s">
        <v>237</v>
      </c>
      <c r="L763" s="14" t="s">
        <v>237</v>
      </c>
    </row>
    <row r="764">
      <c r="K764" s="14" t="s">
        <v>237</v>
      </c>
      <c r="L764" s="14" t="s">
        <v>237</v>
      </c>
    </row>
    <row r="765">
      <c r="K765" s="14" t="s">
        <v>237</v>
      </c>
      <c r="L765" s="14" t="s">
        <v>237</v>
      </c>
    </row>
    <row r="766">
      <c r="K766" s="14" t="s">
        <v>237</v>
      </c>
      <c r="L766" s="14" t="s">
        <v>237</v>
      </c>
    </row>
    <row r="767">
      <c r="K767" s="14" t="s">
        <v>237</v>
      </c>
      <c r="L767" s="14" t="s">
        <v>237</v>
      </c>
    </row>
    <row r="768">
      <c r="K768" s="14" t="s">
        <v>237</v>
      </c>
      <c r="L768" s="14" t="s">
        <v>237</v>
      </c>
    </row>
    <row r="769">
      <c r="K769" s="14" t="s">
        <v>237</v>
      </c>
      <c r="L769" s="14" t="s">
        <v>237</v>
      </c>
    </row>
    <row r="770">
      <c r="K770" s="14" t="s">
        <v>237</v>
      </c>
      <c r="L770" s="14" t="s">
        <v>237</v>
      </c>
    </row>
    <row r="771">
      <c r="K771" s="14" t="s">
        <v>237</v>
      </c>
      <c r="L771" s="14" t="s">
        <v>237</v>
      </c>
    </row>
    <row r="772">
      <c r="K772" s="14" t="s">
        <v>237</v>
      </c>
      <c r="L772" s="14" t="s">
        <v>237</v>
      </c>
    </row>
    <row r="773">
      <c r="K773" s="14" t="s">
        <v>237</v>
      </c>
      <c r="L773" s="14" t="s">
        <v>237</v>
      </c>
    </row>
    <row r="774">
      <c r="K774" s="14" t="s">
        <v>237</v>
      </c>
      <c r="L774" s="14" t="s">
        <v>237</v>
      </c>
    </row>
    <row r="775">
      <c r="K775" s="14" t="s">
        <v>237</v>
      </c>
      <c r="L775" s="14" t="s">
        <v>237</v>
      </c>
    </row>
    <row r="776">
      <c r="K776" s="14" t="s">
        <v>237</v>
      </c>
      <c r="L776" s="14" t="s">
        <v>237</v>
      </c>
    </row>
    <row r="777">
      <c r="K777" s="14" t="s">
        <v>237</v>
      </c>
      <c r="L777" s="14" t="s">
        <v>237</v>
      </c>
    </row>
    <row r="778">
      <c r="K778" s="14" t="s">
        <v>237</v>
      </c>
      <c r="L778" s="14" t="s">
        <v>237</v>
      </c>
    </row>
    <row r="779">
      <c r="K779" s="14" t="s">
        <v>237</v>
      </c>
      <c r="L779" s="14" t="s">
        <v>237</v>
      </c>
    </row>
    <row r="780">
      <c r="K780" s="14" t="s">
        <v>237</v>
      </c>
      <c r="L780" s="14" t="s">
        <v>237</v>
      </c>
    </row>
    <row r="781">
      <c r="K781" s="14" t="s">
        <v>237</v>
      </c>
      <c r="L781" s="14" t="s">
        <v>237</v>
      </c>
    </row>
    <row r="782">
      <c r="K782" s="14" t="s">
        <v>237</v>
      </c>
      <c r="L782" s="14" t="s">
        <v>237</v>
      </c>
    </row>
    <row r="783">
      <c r="K783" s="14" t="s">
        <v>237</v>
      </c>
      <c r="L783" s="14" t="s">
        <v>237</v>
      </c>
    </row>
    <row r="784">
      <c r="K784" s="14" t="s">
        <v>237</v>
      </c>
      <c r="L784" s="14" t="s">
        <v>237</v>
      </c>
    </row>
    <row r="785">
      <c r="K785" s="14" t="s">
        <v>237</v>
      </c>
      <c r="L785" s="14" t="s">
        <v>237</v>
      </c>
    </row>
    <row r="786">
      <c r="K786" s="14" t="s">
        <v>237</v>
      </c>
      <c r="L786" s="14" t="s">
        <v>237</v>
      </c>
    </row>
    <row r="787">
      <c r="K787" s="14" t="s">
        <v>237</v>
      </c>
      <c r="L787" s="14" t="s">
        <v>237</v>
      </c>
    </row>
    <row r="788">
      <c r="K788" s="14" t="s">
        <v>237</v>
      </c>
      <c r="L788" s="14" t="s">
        <v>237</v>
      </c>
    </row>
    <row r="789">
      <c r="K789" s="14" t="s">
        <v>237</v>
      </c>
      <c r="L789" s="14" t="s">
        <v>237</v>
      </c>
    </row>
    <row r="790">
      <c r="K790" s="14" t="s">
        <v>237</v>
      </c>
      <c r="L790" s="14" t="s">
        <v>237</v>
      </c>
    </row>
    <row r="791">
      <c r="K791" s="14" t="s">
        <v>237</v>
      </c>
      <c r="L791" s="14" t="s">
        <v>237</v>
      </c>
    </row>
    <row r="792">
      <c r="K792" s="14" t="s">
        <v>237</v>
      </c>
      <c r="L792" s="14" t="s">
        <v>237</v>
      </c>
    </row>
    <row r="793">
      <c r="K793" s="14" t="s">
        <v>237</v>
      </c>
      <c r="L793" s="14" t="s">
        <v>237</v>
      </c>
    </row>
    <row r="794">
      <c r="K794" s="14" t="s">
        <v>237</v>
      </c>
      <c r="L794" s="14" t="s">
        <v>237</v>
      </c>
    </row>
    <row r="795">
      <c r="K795" s="14" t="s">
        <v>237</v>
      </c>
      <c r="L795" s="14" t="s">
        <v>237</v>
      </c>
    </row>
    <row r="796">
      <c r="K796" s="14" t="s">
        <v>237</v>
      </c>
      <c r="L796" s="14" t="s">
        <v>237</v>
      </c>
    </row>
    <row r="797">
      <c r="K797" s="14" t="s">
        <v>237</v>
      </c>
      <c r="L797" s="14" t="s">
        <v>237</v>
      </c>
    </row>
    <row r="798">
      <c r="K798" s="14" t="s">
        <v>237</v>
      </c>
      <c r="L798" s="14" t="s">
        <v>237</v>
      </c>
    </row>
    <row r="799">
      <c r="K799" s="14" t="s">
        <v>237</v>
      </c>
      <c r="L799" s="14" t="s">
        <v>237</v>
      </c>
    </row>
    <row r="800">
      <c r="K800" s="14" t="s">
        <v>237</v>
      </c>
      <c r="L800" s="14" t="s">
        <v>237</v>
      </c>
    </row>
    <row r="801">
      <c r="K801" s="14" t="s">
        <v>237</v>
      </c>
      <c r="L801" s="14" t="s">
        <v>237</v>
      </c>
    </row>
    <row r="802">
      <c r="K802" s="14" t="s">
        <v>237</v>
      </c>
      <c r="L802" s="14" t="s">
        <v>237</v>
      </c>
    </row>
    <row r="803">
      <c r="K803" s="14" t="s">
        <v>237</v>
      </c>
      <c r="L803" s="14" t="s">
        <v>237</v>
      </c>
    </row>
    <row r="804">
      <c r="K804" s="14" t="s">
        <v>237</v>
      </c>
      <c r="L804" s="14" t="s">
        <v>237</v>
      </c>
    </row>
    <row r="805">
      <c r="K805" s="14" t="s">
        <v>237</v>
      </c>
      <c r="L805" s="14" t="s">
        <v>237</v>
      </c>
    </row>
    <row r="806">
      <c r="K806" s="14" t="s">
        <v>237</v>
      </c>
      <c r="L806" s="14" t="s">
        <v>237</v>
      </c>
    </row>
    <row r="807">
      <c r="K807" s="14" t="s">
        <v>237</v>
      </c>
      <c r="L807" s="14" t="s">
        <v>237</v>
      </c>
    </row>
    <row r="808">
      <c r="K808" s="14" t="s">
        <v>237</v>
      </c>
      <c r="L808" s="14" t="s">
        <v>237</v>
      </c>
    </row>
    <row r="809">
      <c r="K809" s="14" t="s">
        <v>237</v>
      </c>
      <c r="L809" s="14" t="s">
        <v>237</v>
      </c>
    </row>
    <row r="810">
      <c r="K810" s="14" t="s">
        <v>237</v>
      </c>
      <c r="L810" s="14" t="s">
        <v>237</v>
      </c>
    </row>
    <row r="811">
      <c r="K811" s="14" t="s">
        <v>237</v>
      </c>
      <c r="L811" s="14" t="s">
        <v>237</v>
      </c>
    </row>
    <row r="812">
      <c r="K812" s="14" t="s">
        <v>237</v>
      </c>
      <c r="L812" s="14" t="s">
        <v>237</v>
      </c>
    </row>
    <row r="813">
      <c r="K813" s="14" t="s">
        <v>237</v>
      </c>
      <c r="L813" s="14" t="s">
        <v>237</v>
      </c>
    </row>
    <row r="814">
      <c r="K814" s="14" t="s">
        <v>237</v>
      </c>
      <c r="L814" s="14" t="s">
        <v>237</v>
      </c>
    </row>
    <row r="815">
      <c r="K815" s="14" t="s">
        <v>237</v>
      </c>
      <c r="L815" s="14" t="s">
        <v>237</v>
      </c>
    </row>
    <row r="816">
      <c r="K816" s="14" t="s">
        <v>237</v>
      </c>
      <c r="L816" s="14" t="s">
        <v>237</v>
      </c>
    </row>
    <row r="817">
      <c r="K817" s="14" t="s">
        <v>237</v>
      </c>
      <c r="L817" s="14" t="s">
        <v>237</v>
      </c>
    </row>
    <row r="818">
      <c r="K818" s="14" t="s">
        <v>237</v>
      </c>
      <c r="L818" s="14" t="s">
        <v>237</v>
      </c>
    </row>
    <row r="819">
      <c r="K819" s="14" t="s">
        <v>237</v>
      </c>
      <c r="L819" s="14" t="s">
        <v>237</v>
      </c>
    </row>
    <row r="820">
      <c r="K820" s="14" t="s">
        <v>237</v>
      </c>
      <c r="L820" s="14" t="s">
        <v>237</v>
      </c>
    </row>
    <row r="821">
      <c r="K821" s="14" t="s">
        <v>237</v>
      </c>
      <c r="L821" s="14" t="s">
        <v>237</v>
      </c>
    </row>
    <row r="822">
      <c r="K822" s="14" t="s">
        <v>237</v>
      </c>
      <c r="L822" s="14" t="s">
        <v>237</v>
      </c>
    </row>
    <row r="823">
      <c r="K823" s="14" t="s">
        <v>237</v>
      </c>
      <c r="L823" s="14" t="s">
        <v>237</v>
      </c>
    </row>
    <row r="824">
      <c r="K824" s="14" t="s">
        <v>237</v>
      </c>
      <c r="L824" s="14" t="s">
        <v>237</v>
      </c>
    </row>
    <row r="825">
      <c r="K825" s="14" t="s">
        <v>237</v>
      </c>
      <c r="L825" s="14" t="s">
        <v>237</v>
      </c>
    </row>
    <row r="826">
      <c r="K826" s="14" t="s">
        <v>237</v>
      </c>
      <c r="L826" s="14" t="s">
        <v>237</v>
      </c>
    </row>
    <row r="827">
      <c r="K827" s="14" t="s">
        <v>237</v>
      </c>
      <c r="L827" s="14" t="s">
        <v>237</v>
      </c>
    </row>
    <row r="828">
      <c r="K828" s="14" t="s">
        <v>237</v>
      </c>
      <c r="L828" s="14" t="s">
        <v>237</v>
      </c>
    </row>
    <row r="829">
      <c r="K829" s="14" t="s">
        <v>237</v>
      </c>
      <c r="L829" s="14" t="s">
        <v>237</v>
      </c>
    </row>
    <row r="830">
      <c r="K830" s="14" t="s">
        <v>237</v>
      </c>
      <c r="L830" s="14" t="s">
        <v>237</v>
      </c>
    </row>
    <row r="831">
      <c r="K831" s="14" t="s">
        <v>237</v>
      </c>
      <c r="L831" s="14" t="s">
        <v>237</v>
      </c>
    </row>
    <row r="832">
      <c r="K832" s="14" t="s">
        <v>237</v>
      </c>
      <c r="L832" s="14" t="s">
        <v>237</v>
      </c>
    </row>
    <row r="833">
      <c r="K833" s="14" t="s">
        <v>237</v>
      </c>
      <c r="L833" s="14" t="s">
        <v>237</v>
      </c>
    </row>
    <row r="834">
      <c r="K834" s="14" t="s">
        <v>237</v>
      </c>
      <c r="L834" s="14" t="s">
        <v>237</v>
      </c>
    </row>
    <row r="835">
      <c r="K835" s="14" t="s">
        <v>237</v>
      </c>
      <c r="L835" s="14" t="s">
        <v>237</v>
      </c>
    </row>
    <row r="836">
      <c r="K836" s="14" t="s">
        <v>237</v>
      </c>
      <c r="L836" s="14" t="s">
        <v>237</v>
      </c>
    </row>
    <row r="837">
      <c r="K837" s="14" t="s">
        <v>237</v>
      </c>
      <c r="L837" s="14" t="s">
        <v>237</v>
      </c>
    </row>
    <row r="838">
      <c r="K838" s="14" t="s">
        <v>237</v>
      </c>
      <c r="L838" s="14" t="s">
        <v>237</v>
      </c>
    </row>
    <row r="839">
      <c r="K839" s="14" t="s">
        <v>237</v>
      </c>
      <c r="L839" s="14" t="s">
        <v>237</v>
      </c>
    </row>
    <row r="840">
      <c r="K840" s="14" t="s">
        <v>237</v>
      </c>
      <c r="L840" s="14" t="s">
        <v>237</v>
      </c>
    </row>
    <row r="841">
      <c r="K841" s="14" t="s">
        <v>237</v>
      </c>
      <c r="L841" s="14" t="s">
        <v>237</v>
      </c>
    </row>
    <row r="842">
      <c r="K842" s="14" t="s">
        <v>237</v>
      </c>
      <c r="L842" s="14" t="s">
        <v>237</v>
      </c>
    </row>
    <row r="843">
      <c r="K843" s="14" t="s">
        <v>237</v>
      </c>
      <c r="L843" s="14" t="s">
        <v>237</v>
      </c>
    </row>
    <row r="844">
      <c r="K844" s="14" t="s">
        <v>237</v>
      </c>
      <c r="L844" s="14" t="s">
        <v>237</v>
      </c>
    </row>
    <row r="845">
      <c r="K845" s="14" t="s">
        <v>237</v>
      </c>
      <c r="L845" s="14" t="s">
        <v>237</v>
      </c>
    </row>
    <row r="846">
      <c r="K846" s="14" t="s">
        <v>237</v>
      </c>
      <c r="L846" s="14" t="s">
        <v>237</v>
      </c>
    </row>
    <row r="847">
      <c r="K847" s="14" t="s">
        <v>237</v>
      </c>
      <c r="L847" s="14" t="s">
        <v>237</v>
      </c>
    </row>
    <row r="848">
      <c r="K848" s="14" t="s">
        <v>237</v>
      </c>
      <c r="L848" s="14" t="s">
        <v>237</v>
      </c>
    </row>
    <row r="849">
      <c r="K849" s="14" t="s">
        <v>237</v>
      </c>
      <c r="L849" s="14" t="s">
        <v>237</v>
      </c>
    </row>
    <row r="850">
      <c r="K850" s="14" t="s">
        <v>237</v>
      </c>
      <c r="L850" s="14" t="s">
        <v>237</v>
      </c>
    </row>
    <row r="851">
      <c r="K851" s="14" t="s">
        <v>237</v>
      </c>
      <c r="L851" s="14" t="s">
        <v>237</v>
      </c>
    </row>
    <row r="852">
      <c r="K852" s="14" t="s">
        <v>237</v>
      </c>
      <c r="L852" s="14" t="s">
        <v>237</v>
      </c>
    </row>
    <row r="853">
      <c r="K853" s="14" t="s">
        <v>237</v>
      </c>
      <c r="L853" s="14" t="s">
        <v>237</v>
      </c>
    </row>
    <row r="854">
      <c r="K854" s="14" t="s">
        <v>237</v>
      </c>
      <c r="L854" s="14" t="s">
        <v>237</v>
      </c>
    </row>
    <row r="855">
      <c r="K855" s="14" t="s">
        <v>237</v>
      </c>
      <c r="L855" s="14" t="s">
        <v>237</v>
      </c>
    </row>
    <row r="856">
      <c r="K856" s="14" t="s">
        <v>237</v>
      </c>
      <c r="L856" s="14" t="s">
        <v>237</v>
      </c>
    </row>
    <row r="857">
      <c r="K857" s="14" t="s">
        <v>237</v>
      </c>
      <c r="L857" s="14" t="s">
        <v>237</v>
      </c>
    </row>
    <row r="858">
      <c r="K858" s="14" t="s">
        <v>237</v>
      </c>
      <c r="L858" s="14" t="s">
        <v>237</v>
      </c>
    </row>
    <row r="859">
      <c r="K859" s="14" t="s">
        <v>237</v>
      </c>
      <c r="L859" s="14" t="s">
        <v>237</v>
      </c>
    </row>
    <row r="860">
      <c r="K860" s="14" t="s">
        <v>237</v>
      </c>
      <c r="L860" s="14" t="s">
        <v>237</v>
      </c>
    </row>
    <row r="861">
      <c r="K861" s="14" t="s">
        <v>237</v>
      </c>
      <c r="L861" s="14" t="s">
        <v>237</v>
      </c>
    </row>
    <row r="862">
      <c r="K862" s="14" t="s">
        <v>237</v>
      </c>
      <c r="L862" s="14" t="s">
        <v>237</v>
      </c>
    </row>
    <row r="863">
      <c r="K863" s="14" t="s">
        <v>237</v>
      </c>
      <c r="L863" s="14" t="s">
        <v>237</v>
      </c>
    </row>
    <row r="864">
      <c r="K864" s="14" t="s">
        <v>237</v>
      </c>
      <c r="L864" s="14" t="s">
        <v>237</v>
      </c>
    </row>
    <row r="865">
      <c r="K865" s="14" t="s">
        <v>237</v>
      </c>
      <c r="L865" s="14" t="s">
        <v>237</v>
      </c>
    </row>
    <row r="866">
      <c r="K866" s="14" t="s">
        <v>237</v>
      </c>
      <c r="L866" s="14" t="s">
        <v>237</v>
      </c>
    </row>
    <row r="867">
      <c r="K867" s="14" t="s">
        <v>237</v>
      </c>
      <c r="L867" s="14" t="s">
        <v>237</v>
      </c>
    </row>
    <row r="868">
      <c r="K868" s="14" t="s">
        <v>237</v>
      </c>
      <c r="L868" s="14" t="s">
        <v>237</v>
      </c>
    </row>
    <row r="869">
      <c r="K869" s="14" t="s">
        <v>237</v>
      </c>
      <c r="L869" s="14" t="s">
        <v>237</v>
      </c>
    </row>
    <row r="870">
      <c r="K870" s="14" t="s">
        <v>237</v>
      </c>
      <c r="L870" s="14" t="s">
        <v>237</v>
      </c>
    </row>
    <row r="871">
      <c r="K871" s="14" t="s">
        <v>237</v>
      </c>
      <c r="L871" s="14" t="s">
        <v>237</v>
      </c>
    </row>
    <row r="872">
      <c r="K872" s="14" t="s">
        <v>237</v>
      </c>
      <c r="L872" s="14" t="s">
        <v>237</v>
      </c>
    </row>
    <row r="873">
      <c r="K873" s="14" t="s">
        <v>237</v>
      </c>
      <c r="L873" s="14" t="s">
        <v>237</v>
      </c>
    </row>
    <row r="874">
      <c r="K874" s="14" t="s">
        <v>237</v>
      </c>
      <c r="L874" s="14" t="s">
        <v>237</v>
      </c>
    </row>
    <row r="875">
      <c r="K875" s="14" t="s">
        <v>237</v>
      </c>
      <c r="L875" s="14" t="s">
        <v>237</v>
      </c>
    </row>
    <row r="876">
      <c r="K876" s="14" t="s">
        <v>237</v>
      </c>
      <c r="L876" s="14" t="s">
        <v>237</v>
      </c>
    </row>
    <row r="877">
      <c r="K877" s="14" t="s">
        <v>237</v>
      </c>
      <c r="L877" s="14" t="s">
        <v>237</v>
      </c>
    </row>
    <row r="878">
      <c r="K878" s="14" t="s">
        <v>237</v>
      </c>
      <c r="L878" s="14" t="s">
        <v>237</v>
      </c>
    </row>
    <row r="879">
      <c r="K879" s="14" t="s">
        <v>237</v>
      </c>
      <c r="L879" s="14" t="s">
        <v>237</v>
      </c>
    </row>
    <row r="880">
      <c r="K880" s="14" t="s">
        <v>237</v>
      </c>
      <c r="L880" s="14" t="s">
        <v>237</v>
      </c>
    </row>
    <row r="881">
      <c r="K881" s="14" t="s">
        <v>237</v>
      </c>
      <c r="L881" s="14" t="s">
        <v>237</v>
      </c>
    </row>
    <row r="882">
      <c r="K882" s="14" t="s">
        <v>237</v>
      </c>
      <c r="L882" s="14" t="s">
        <v>237</v>
      </c>
    </row>
    <row r="883">
      <c r="K883" s="14" t="s">
        <v>237</v>
      </c>
      <c r="L883" s="14" t="s">
        <v>237</v>
      </c>
    </row>
    <row r="884">
      <c r="K884" s="14" t="s">
        <v>237</v>
      </c>
      <c r="L884" s="14" t="s">
        <v>237</v>
      </c>
    </row>
    <row r="885">
      <c r="K885" s="14" t="s">
        <v>237</v>
      </c>
      <c r="L885" s="14" t="s">
        <v>237</v>
      </c>
    </row>
    <row r="886">
      <c r="K886" s="14" t="s">
        <v>237</v>
      </c>
      <c r="L886" s="14" t="s">
        <v>237</v>
      </c>
    </row>
    <row r="887">
      <c r="K887" s="14" t="s">
        <v>237</v>
      </c>
      <c r="L887" s="14" t="s">
        <v>237</v>
      </c>
    </row>
    <row r="888">
      <c r="K888" s="14" t="s">
        <v>237</v>
      </c>
      <c r="L888" s="14" t="s">
        <v>237</v>
      </c>
    </row>
    <row r="889">
      <c r="K889" s="14" t="s">
        <v>237</v>
      </c>
      <c r="L889" s="14" t="s">
        <v>237</v>
      </c>
    </row>
    <row r="890">
      <c r="K890" s="14" t="s">
        <v>237</v>
      </c>
      <c r="L890" s="14" t="s">
        <v>237</v>
      </c>
    </row>
    <row r="891">
      <c r="K891" s="14" t="s">
        <v>237</v>
      </c>
      <c r="L891" s="14" t="s">
        <v>237</v>
      </c>
    </row>
    <row r="892">
      <c r="K892" s="14" t="s">
        <v>237</v>
      </c>
      <c r="L892" s="14" t="s">
        <v>237</v>
      </c>
    </row>
    <row r="893">
      <c r="K893" s="14" t="s">
        <v>237</v>
      </c>
      <c r="L893" s="14" t="s">
        <v>237</v>
      </c>
    </row>
    <row r="894">
      <c r="K894" s="14" t="s">
        <v>237</v>
      </c>
      <c r="L894" s="14" t="s">
        <v>237</v>
      </c>
    </row>
    <row r="895">
      <c r="K895" s="14" t="s">
        <v>237</v>
      </c>
      <c r="L895" s="14" t="s">
        <v>237</v>
      </c>
    </row>
    <row r="896">
      <c r="K896" s="14" t="s">
        <v>237</v>
      </c>
      <c r="L896" s="14" t="s">
        <v>237</v>
      </c>
    </row>
    <row r="897">
      <c r="K897" s="14" t="s">
        <v>237</v>
      </c>
      <c r="L897" s="14" t="s">
        <v>237</v>
      </c>
    </row>
    <row r="898">
      <c r="K898" s="14" t="s">
        <v>237</v>
      </c>
      <c r="L898" s="14" t="s">
        <v>237</v>
      </c>
    </row>
    <row r="899">
      <c r="K899" s="14" t="s">
        <v>237</v>
      </c>
      <c r="L899" s="14" t="s">
        <v>237</v>
      </c>
    </row>
    <row r="900">
      <c r="K900" s="14" t="s">
        <v>237</v>
      </c>
      <c r="L900" s="14" t="s">
        <v>237</v>
      </c>
    </row>
    <row r="901">
      <c r="K901" s="14" t="s">
        <v>237</v>
      </c>
      <c r="L901" s="14" t="s">
        <v>237</v>
      </c>
    </row>
    <row r="902">
      <c r="K902" s="14" t="s">
        <v>237</v>
      </c>
      <c r="L902" s="14" t="s">
        <v>237</v>
      </c>
    </row>
    <row r="903">
      <c r="K903" s="14" t="s">
        <v>237</v>
      </c>
      <c r="L903" s="14" t="s">
        <v>237</v>
      </c>
    </row>
    <row r="904">
      <c r="K904" s="14" t="s">
        <v>237</v>
      </c>
      <c r="L904" s="14" t="s">
        <v>237</v>
      </c>
    </row>
    <row r="905">
      <c r="K905" s="14" t="s">
        <v>237</v>
      </c>
      <c r="L905" s="14" t="s">
        <v>237</v>
      </c>
    </row>
    <row r="906">
      <c r="K906" s="14" t="s">
        <v>237</v>
      </c>
      <c r="L906" s="14" t="s">
        <v>237</v>
      </c>
    </row>
    <row r="907">
      <c r="K907" s="14" t="s">
        <v>237</v>
      </c>
      <c r="L907" s="14" t="s">
        <v>237</v>
      </c>
    </row>
    <row r="908">
      <c r="K908" s="14" t="s">
        <v>237</v>
      </c>
      <c r="L908" s="14" t="s">
        <v>237</v>
      </c>
    </row>
    <row r="909">
      <c r="K909" s="14" t="s">
        <v>237</v>
      </c>
      <c r="L909" s="14" t="s">
        <v>237</v>
      </c>
    </row>
    <row r="910">
      <c r="K910" s="14" t="s">
        <v>237</v>
      </c>
      <c r="L910" s="14" t="s">
        <v>237</v>
      </c>
    </row>
    <row r="911">
      <c r="K911" s="14" t="s">
        <v>237</v>
      </c>
      <c r="L911" s="14" t="s">
        <v>237</v>
      </c>
    </row>
    <row r="912">
      <c r="K912" s="14" t="s">
        <v>237</v>
      </c>
      <c r="L912" s="14" t="s">
        <v>237</v>
      </c>
    </row>
    <row r="913">
      <c r="K913" s="14" t="s">
        <v>237</v>
      </c>
      <c r="L913" s="14" t="s">
        <v>237</v>
      </c>
    </row>
    <row r="914">
      <c r="K914" s="14" t="s">
        <v>237</v>
      </c>
      <c r="L914" s="14" t="s">
        <v>237</v>
      </c>
    </row>
    <row r="915">
      <c r="K915" s="14" t="s">
        <v>237</v>
      </c>
      <c r="L915" s="14" t="s">
        <v>237</v>
      </c>
    </row>
    <row r="916">
      <c r="K916" s="14" t="s">
        <v>237</v>
      </c>
      <c r="L916" s="14" t="s">
        <v>237</v>
      </c>
    </row>
    <row r="917">
      <c r="K917" s="14" t="s">
        <v>237</v>
      </c>
      <c r="L917" s="14" t="s">
        <v>237</v>
      </c>
    </row>
    <row r="918">
      <c r="K918" s="14" t="s">
        <v>237</v>
      </c>
      <c r="L918" s="14" t="s">
        <v>237</v>
      </c>
    </row>
    <row r="919">
      <c r="K919" s="14" t="s">
        <v>237</v>
      </c>
      <c r="L919" s="14" t="s">
        <v>237</v>
      </c>
    </row>
    <row r="920">
      <c r="K920" s="14" t="s">
        <v>237</v>
      </c>
      <c r="L920" s="14" t="s">
        <v>237</v>
      </c>
    </row>
    <row r="921">
      <c r="K921" s="14" t="s">
        <v>237</v>
      </c>
      <c r="L921" s="14" t="s">
        <v>237</v>
      </c>
    </row>
    <row r="922">
      <c r="K922" s="14" t="s">
        <v>237</v>
      </c>
      <c r="L922" s="14" t="s">
        <v>237</v>
      </c>
    </row>
    <row r="923">
      <c r="K923" s="14" t="s">
        <v>237</v>
      </c>
      <c r="L923" s="14" t="s">
        <v>237</v>
      </c>
    </row>
    <row r="924">
      <c r="K924" s="14" t="s">
        <v>237</v>
      </c>
      <c r="L924" s="14" t="s">
        <v>237</v>
      </c>
    </row>
    <row r="925">
      <c r="K925" s="14" t="s">
        <v>237</v>
      </c>
      <c r="L925" s="14" t="s">
        <v>237</v>
      </c>
    </row>
    <row r="926">
      <c r="K926" s="14" t="s">
        <v>237</v>
      </c>
      <c r="L926" s="14" t="s">
        <v>237</v>
      </c>
    </row>
    <row r="927">
      <c r="K927" s="14" t="s">
        <v>237</v>
      </c>
      <c r="L927" s="14" t="s">
        <v>237</v>
      </c>
    </row>
    <row r="928">
      <c r="K928" s="14" t="s">
        <v>237</v>
      </c>
      <c r="L928" s="14" t="s">
        <v>237</v>
      </c>
    </row>
    <row r="929">
      <c r="K929" s="14" t="s">
        <v>237</v>
      </c>
      <c r="L929" s="14" t="s">
        <v>237</v>
      </c>
    </row>
    <row r="930">
      <c r="K930" s="14" t="s">
        <v>237</v>
      </c>
      <c r="L930" s="14" t="s">
        <v>237</v>
      </c>
    </row>
    <row r="931">
      <c r="K931" s="14" t="s">
        <v>237</v>
      </c>
      <c r="L931" s="14" t="s">
        <v>237</v>
      </c>
    </row>
    <row r="932">
      <c r="K932" s="14" t="s">
        <v>237</v>
      </c>
      <c r="L932" s="14" t="s">
        <v>237</v>
      </c>
    </row>
    <row r="933">
      <c r="K933" s="14" t="s">
        <v>237</v>
      </c>
      <c r="L933" s="14" t="s">
        <v>237</v>
      </c>
    </row>
    <row r="934">
      <c r="K934" s="14" t="s">
        <v>237</v>
      </c>
      <c r="L934" s="14" t="s">
        <v>237</v>
      </c>
    </row>
    <row r="935">
      <c r="K935" s="14" t="s">
        <v>237</v>
      </c>
      <c r="L935" s="14" t="s">
        <v>237</v>
      </c>
    </row>
    <row r="936">
      <c r="K936" s="14" t="s">
        <v>237</v>
      </c>
      <c r="L936" s="14" t="s">
        <v>237</v>
      </c>
    </row>
    <row r="937">
      <c r="K937" s="14" t="s">
        <v>237</v>
      </c>
      <c r="L937" s="14" t="s">
        <v>237</v>
      </c>
    </row>
    <row r="938">
      <c r="K938" s="14" t="s">
        <v>237</v>
      </c>
      <c r="L938" s="14" t="s">
        <v>237</v>
      </c>
    </row>
    <row r="939">
      <c r="K939" s="14" t="s">
        <v>237</v>
      </c>
      <c r="L939" s="14" t="s">
        <v>237</v>
      </c>
    </row>
    <row r="940">
      <c r="K940" s="14" t="s">
        <v>237</v>
      </c>
      <c r="L940" s="14" t="s">
        <v>237</v>
      </c>
    </row>
    <row r="941">
      <c r="K941" s="14" t="s">
        <v>237</v>
      </c>
      <c r="L941" s="14" t="s">
        <v>237</v>
      </c>
    </row>
    <row r="942">
      <c r="K942" s="14" t="s">
        <v>237</v>
      </c>
      <c r="L942" s="14" t="s">
        <v>237</v>
      </c>
    </row>
    <row r="943">
      <c r="K943" s="14" t="s">
        <v>237</v>
      </c>
      <c r="L943" s="14" t="s">
        <v>237</v>
      </c>
    </row>
    <row r="944">
      <c r="K944" s="14" t="s">
        <v>237</v>
      </c>
      <c r="L944" s="14" t="s">
        <v>237</v>
      </c>
    </row>
    <row r="945">
      <c r="K945" s="14" t="s">
        <v>237</v>
      </c>
      <c r="L945" s="14" t="s">
        <v>237</v>
      </c>
    </row>
    <row r="946">
      <c r="K946" s="14" t="s">
        <v>237</v>
      </c>
      <c r="L946" s="14" t="s">
        <v>237</v>
      </c>
    </row>
    <row r="947">
      <c r="K947" s="14" t="s">
        <v>237</v>
      </c>
      <c r="L947" s="14" t="s">
        <v>237</v>
      </c>
    </row>
    <row r="948">
      <c r="K948" s="14" t="s">
        <v>237</v>
      </c>
      <c r="L948" s="14" t="s">
        <v>237</v>
      </c>
    </row>
    <row r="949">
      <c r="K949" s="14" t="s">
        <v>237</v>
      </c>
      <c r="L949" s="14" t="s">
        <v>237</v>
      </c>
    </row>
    <row r="950">
      <c r="K950" s="14" t="s">
        <v>237</v>
      </c>
      <c r="L950" s="14" t="s">
        <v>237</v>
      </c>
    </row>
    <row r="951">
      <c r="K951" s="14" t="s">
        <v>237</v>
      </c>
      <c r="L951" s="14" t="s">
        <v>237</v>
      </c>
    </row>
    <row r="952">
      <c r="K952" s="14" t="s">
        <v>237</v>
      </c>
      <c r="L952" s="14" t="s">
        <v>237</v>
      </c>
    </row>
    <row r="953">
      <c r="K953" s="14" t="s">
        <v>237</v>
      </c>
      <c r="L953" s="14" t="s">
        <v>237</v>
      </c>
    </row>
    <row r="954">
      <c r="K954" s="14" t="s">
        <v>237</v>
      </c>
      <c r="L954" s="14" t="s">
        <v>237</v>
      </c>
    </row>
    <row r="955">
      <c r="K955" s="14" t="s">
        <v>237</v>
      </c>
      <c r="L955" s="14" t="s">
        <v>237</v>
      </c>
    </row>
    <row r="956">
      <c r="K956" s="14" t="s">
        <v>237</v>
      </c>
      <c r="L956" s="14" t="s">
        <v>237</v>
      </c>
    </row>
    <row r="957">
      <c r="K957" s="14" t="s">
        <v>237</v>
      </c>
      <c r="L957" s="14" t="s">
        <v>237</v>
      </c>
    </row>
    <row r="958">
      <c r="K958" s="14" t="s">
        <v>237</v>
      </c>
      <c r="L958" s="14" t="s">
        <v>237</v>
      </c>
    </row>
    <row r="959">
      <c r="K959" s="14" t="s">
        <v>237</v>
      </c>
      <c r="L959" s="14" t="s">
        <v>237</v>
      </c>
    </row>
    <row r="960">
      <c r="K960" s="14" t="s">
        <v>237</v>
      </c>
      <c r="L960" s="14" t="s">
        <v>237</v>
      </c>
    </row>
    <row r="961">
      <c r="K961" s="14" t="s">
        <v>237</v>
      </c>
      <c r="L961" s="14" t="s">
        <v>237</v>
      </c>
    </row>
    <row r="962">
      <c r="K962" s="14" t="s">
        <v>237</v>
      </c>
      <c r="L962" s="14" t="s">
        <v>237</v>
      </c>
    </row>
    <row r="963">
      <c r="K963" s="14" t="s">
        <v>237</v>
      </c>
      <c r="L963" s="14" t="s">
        <v>237</v>
      </c>
    </row>
    <row r="964">
      <c r="K964" s="14" t="s">
        <v>237</v>
      </c>
      <c r="L964" s="14" t="s">
        <v>237</v>
      </c>
    </row>
    <row r="965">
      <c r="K965" s="14" t="s">
        <v>237</v>
      </c>
      <c r="L965" s="14" t="s">
        <v>237</v>
      </c>
    </row>
    <row r="966">
      <c r="K966" s="14" t="s">
        <v>237</v>
      </c>
      <c r="L966" s="14" t="s">
        <v>237</v>
      </c>
    </row>
    <row r="967">
      <c r="K967" s="14" t="s">
        <v>237</v>
      </c>
      <c r="L967" s="14" t="s">
        <v>237</v>
      </c>
    </row>
    <row r="968">
      <c r="K968" s="14" t="s">
        <v>237</v>
      </c>
      <c r="L968" s="14" t="s">
        <v>237</v>
      </c>
    </row>
    <row r="969">
      <c r="K969" s="14" t="s">
        <v>237</v>
      </c>
      <c r="L969" s="14" t="s">
        <v>237</v>
      </c>
    </row>
    <row r="970">
      <c r="K970" s="14" t="s">
        <v>237</v>
      </c>
      <c r="L970" s="14" t="s">
        <v>237</v>
      </c>
    </row>
    <row r="971">
      <c r="K971" s="14" t="s">
        <v>237</v>
      </c>
      <c r="L971" s="14" t="s">
        <v>237</v>
      </c>
    </row>
    <row r="972">
      <c r="K972" s="14" t="s">
        <v>237</v>
      </c>
      <c r="L972" s="14" t="s">
        <v>237</v>
      </c>
    </row>
    <row r="973">
      <c r="K973" s="14" t="s">
        <v>237</v>
      </c>
      <c r="L973" s="14" t="s">
        <v>237</v>
      </c>
    </row>
    <row r="974">
      <c r="K974" s="14" t="s">
        <v>237</v>
      </c>
      <c r="L974" s="14" t="s">
        <v>237</v>
      </c>
    </row>
    <row r="975">
      <c r="K975" s="14" t="s">
        <v>237</v>
      </c>
      <c r="L975" s="14" t="s">
        <v>237</v>
      </c>
    </row>
    <row r="976">
      <c r="K976" s="14" t="s">
        <v>237</v>
      </c>
      <c r="L976" s="14" t="s">
        <v>237</v>
      </c>
    </row>
    <row r="977">
      <c r="K977" s="14" t="s">
        <v>237</v>
      </c>
      <c r="L977" s="14" t="s">
        <v>237</v>
      </c>
    </row>
    <row r="978">
      <c r="K978" s="14" t="s">
        <v>237</v>
      </c>
      <c r="L978" s="14" t="s">
        <v>237</v>
      </c>
    </row>
    <row r="979">
      <c r="K979" s="14" t="s">
        <v>237</v>
      </c>
      <c r="L979" s="14" t="s">
        <v>237</v>
      </c>
    </row>
    <row r="980">
      <c r="K980" s="14" t="s">
        <v>237</v>
      </c>
      <c r="L980" s="14" t="s">
        <v>237</v>
      </c>
    </row>
    <row r="981">
      <c r="K981" s="14" t="s">
        <v>237</v>
      </c>
      <c r="L981" s="14" t="s">
        <v>237</v>
      </c>
    </row>
    <row r="982">
      <c r="K982" s="14" t="s">
        <v>237</v>
      </c>
      <c r="L982" s="14" t="s">
        <v>237</v>
      </c>
    </row>
    <row r="983">
      <c r="K983" s="14" t="s">
        <v>237</v>
      </c>
      <c r="L983" s="14" t="s">
        <v>237</v>
      </c>
    </row>
    <row r="984">
      <c r="K984" s="14" t="s">
        <v>237</v>
      </c>
      <c r="L984" s="14" t="s">
        <v>237</v>
      </c>
    </row>
    <row r="985">
      <c r="K985" s="14" t="s">
        <v>237</v>
      </c>
      <c r="L985" s="14" t="s">
        <v>237</v>
      </c>
    </row>
    <row r="986">
      <c r="K986" s="14" t="s">
        <v>237</v>
      </c>
      <c r="L986" s="14" t="s">
        <v>237</v>
      </c>
    </row>
    <row r="987">
      <c r="K987" s="14" t="s">
        <v>237</v>
      </c>
      <c r="L987" s="14" t="s">
        <v>237</v>
      </c>
    </row>
    <row r="988">
      <c r="K988" s="14" t="s">
        <v>237</v>
      </c>
      <c r="L988" s="14" t="s">
        <v>237</v>
      </c>
    </row>
    <row r="989">
      <c r="K989" s="14" t="s">
        <v>237</v>
      </c>
      <c r="L989" s="14" t="s">
        <v>237</v>
      </c>
    </row>
    <row r="990">
      <c r="K990" s="14" t="s">
        <v>237</v>
      </c>
      <c r="L990" s="14" t="s">
        <v>237</v>
      </c>
    </row>
    <row r="991">
      <c r="K991" s="14" t="s">
        <v>237</v>
      </c>
      <c r="L991" s="14" t="s">
        <v>237</v>
      </c>
    </row>
    <row r="992">
      <c r="K992" s="14" t="s">
        <v>237</v>
      </c>
      <c r="L992" s="14" t="s">
        <v>237</v>
      </c>
    </row>
    <row r="993">
      <c r="K993" s="14" t="s">
        <v>237</v>
      </c>
      <c r="L993" s="14" t="s">
        <v>237</v>
      </c>
    </row>
    <row r="994">
      <c r="K994" s="14" t="s">
        <v>237</v>
      </c>
      <c r="L994" s="14" t="s">
        <v>237</v>
      </c>
    </row>
    <row r="995">
      <c r="K995" s="14" t="s">
        <v>237</v>
      </c>
      <c r="L995" s="14" t="s">
        <v>237</v>
      </c>
    </row>
    <row r="996">
      <c r="K996" s="14" t="s">
        <v>237</v>
      </c>
      <c r="L996" s="14" t="s">
        <v>237</v>
      </c>
    </row>
    <row r="997">
      <c r="K997" s="14" t="s">
        <v>237</v>
      </c>
      <c r="L997" s="14" t="s">
        <v>237</v>
      </c>
    </row>
    <row r="998">
      <c r="K998" s="14" t="s">
        <v>237</v>
      </c>
      <c r="L998" s="14" t="s">
        <v>237</v>
      </c>
    </row>
    <row r="999">
      <c r="K999" s="14" t="s">
        <v>237</v>
      </c>
      <c r="L999" s="14" t="s">
        <v>237</v>
      </c>
    </row>
    <row r="1000">
      <c r="K1000" s="14" t="s">
        <v>237</v>
      </c>
      <c r="L1000" s="14" t="s">
        <v>237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tr">
        <f>IFERROR(__xludf.DUMMYFUNCTION("QUERY(Sheet26!A1:X191, ""SELECT * WHERE O = 'Good Stock'"", 1)")," ")</f>
        <v> </v>
      </c>
      <c r="B1" s="18" t="str">
        <f>IFERROR(__xludf.DUMMYFUNCTION("""COMPUTED_VALUE"""),"Market cap (in Rs Cr.)")</f>
        <v>Market cap (in Rs Cr.)</v>
      </c>
      <c r="C1" s="18" t="str">
        <f>IFERROR(__xludf.DUMMYFUNCTION("""COMPUTED_VALUE"""),"Current price")</f>
        <v>Current price</v>
      </c>
      <c r="D1" s="18" t="str">
        <f>IFERROR(__xludf.DUMMYFUNCTION("""COMPUTED_VALUE"""),"PE Ratio")</f>
        <v>PE Ratio</v>
      </c>
      <c r="E1" s="18" t="str">
        <f>IFERROR(__xludf.DUMMYFUNCTION("""COMPUTED_VALUE"""),"52 Week High")</f>
        <v>52 Week High</v>
      </c>
      <c r="F1" s="18" t="str">
        <f>IFERROR(__xludf.DUMMYFUNCTION("""COMPUTED_VALUE"""),"% Below 52 week high")</f>
        <v>% Below 52 week high</v>
      </c>
      <c r="G1" s="18" t="str">
        <f>IFERROR(__xludf.DUMMYFUNCTION("""COMPUTED_VALUE"""),"52 Week Low")</f>
        <v>52 Week Low</v>
      </c>
      <c r="H1" s="18" t="str">
        <f>IFERROR(__xludf.DUMMYFUNCTION("""COMPUTED_VALUE"""),"% Above 52 Week low")</f>
        <v>% Above 52 Week low</v>
      </c>
      <c r="I1" s="18" t="str">
        <f>IFERROR(__xludf.DUMMYFUNCTION("""COMPUTED_VALUE"""),"Yesterday Closing Price")</f>
        <v>Yesterday Closing Price</v>
      </c>
      <c r="J1" s="18" t="str">
        <f>IFERROR(__xludf.DUMMYFUNCTION("""COMPUTED_VALUE"""),"% Change")</f>
        <v>% Change</v>
      </c>
      <c r="K1" s="18" t="str">
        <f>IFERROR(__xludf.DUMMYFUNCTION("""COMPUTED_VALUE"""),"Industry")</f>
        <v>Industry</v>
      </c>
      <c r="L1" s="18" t="str">
        <f>IFERROR(__xludf.DUMMYFUNCTION("""COMPUTED_VALUE"""),"NSE/BSE Code")</f>
        <v>NSE/BSE Code</v>
      </c>
      <c r="M1" s="18" t="str">
        <f>IFERROR(__xludf.DUMMYFUNCTION("""COMPUTED_VALUE"""),"Bear Mode 1")</f>
        <v>Bear Mode 1</v>
      </c>
      <c r="N1" s="18" t="str">
        <f>IFERROR(__xludf.DUMMYFUNCTION("""COMPUTED_VALUE"""),"Bear Mode 2")</f>
        <v>Bear Mode 2</v>
      </c>
      <c r="O1" s="18" t="str">
        <f>IFERROR(__xludf.DUMMYFUNCTION("""COMPUTED_VALUE"""),"Stock Status")</f>
        <v>Stock Status</v>
      </c>
      <c r="P1" s="18" t="str">
        <f>IFERROR(__xludf.DUMMYFUNCTION("""COMPUTED_VALUE"""),"Cap Size")</f>
        <v>Cap Size</v>
      </c>
      <c r="Q1" s="14" t="str">
        <f>IFERROR(__xludf.DUMMYFUNCTION("""COMPUTED_VALUE"""),"")</f>
        <v/>
      </c>
      <c r="R1" s="14" t="str">
        <f>IFERROR(__xludf.DUMMYFUNCTION("""COMPUTED_VALUE"""),"")</f>
        <v/>
      </c>
      <c r="S1" s="14" t="str">
        <f>IFERROR(__xludf.DUMMYFUNCTION("""COMPUTED_VALUE"""),"")</f>
        <v/>
      </c>
      <c r="T1" s="14" t="str">
        <f>IFERROR(__xludf.DUMMYFUNCTION("""COMPUTED_VALUE"""),"")</f>
        <v/>
      </c>
      <c r="U1" s="14" t="str">
        <f>IFERROR(__xludf.DUMMYFUNCTION("""COMPUTED_VALUE"""),"")</f>
        <v/>
      </c>
      <c r="V1" s="14" t="str">
        <f>IFERROR(__xludf.DUMMYFUNCTION("""COMPUTED_VALUE"""),"")</f>
        <v/>
      </c>
      <c r="W1" s="14" t="str">
        <f>IFERROR(__xludf.DUMMYFUNCTION("""COMPUTED_VALUE"""),"")</f>
        <v/>
      </c>
      <c r="X1" s="14" t="str">
        <f>IFERROR(__xludf.DUMMYFUNCTION("""COMPUTED_VALUE"""),"")</f>
        <v/>
      </c>
    </row>
    <row r="2">
      <c r="A2" s="19" t="str">
        <f>IFERROR(__xludf.DUMMYFUNCTION("""COMPUTED_VALUE"""),"Yesbank")</f>
        <v>Yesbank</v>
      </c>
      <c r="B2" s="20">
        <f>IFERROR(__xludf.DUMMYFUNCTION("""COMPUTED_VALUE"""),57937.9387031)</f>
        <v>57937.9387</v>
      </c>
      <c r="C2" s="21">
        <f>IFERROR(__xludf.DUMMYFUNCTION("""COMPUTED_VALUE"""),20.15)</f>
        <v>20.15</v>
      </c>
      <c r="D2" s="22">
        <f>IFERROR(__xludf.DUMMYFUNCTION("""COMPUTED_VALUE"""),45.52)</f>
        <v>45.52</v>
      </c>
      <c r="E2" s="23">
        <f>IFERROR(__xludf.DUMMYFUNCTION("""COMPUTED_VALUE"""),24.75)</f>
        <v>24.75</v>
      </c>
      <c r="F2" s="24">
        <f>IFERROR(__xludf.DUMMYFUNCTION("""COMPUTED_VALUE"""),0.18585858585858592)</f>
        <v>0.1858585859</v>
      </c>
      <c r="G2" s="25">
        <f>IFERROR(__xludf.DUMMYFUNCTION("""COMPUTED_VALUE"""),12.11)</f>
        <v>12.11</v>
      </c>
      <c r="H2" s="17">
        <f>IFERROR(__xludf.DUMMYFUNCTION("""COMPUTED_VALUE"""),0.6639141205615193)</f>
        <v>0.6639141206</v>
      </c>
      <c r="I2" s="14">
        <f>IFERROR(__xludf.DUMMYFUNCTION("""COMPUTED_VALUE"""),19.9)</f>
        <v>19.9</v>
      </c>
      <c r="J2" s="26">
        <f>IFERROR(__xludf.DUMMYFUNCTION("""COMPUTED_VALUE"""),0.01256281407035176)</f>
        <v>0.01256281407</v>
      </c>
      <c r="K2" s="14" t="str">
        <f>IFERROR(__xludf.DUMMYFUNCTION("""COMPUTED_VALUE"""),"Bank")</f>
        <v>Bank</v>
      </c>
      <c r="L2" s="14" t="str">
        <f>IFERROR(__xludf.DUMMYFUNCTION("""COMPUTED_VALUE"""),"BOM:532648")</f>
        <v>BOM:532648</v>
      </c>
      <c r="M2" s="27" t="str">
        <f>IFERROR(__xludf.DUMMYFUNCTION("""COMPUTED_VALUE"""),"No")</f>
        <v>No</v>
      </c>
      <c r="N2" s="27" t="str">
        <f>IFERROR(__xludf.DUMMYFUNCTION("""COMPUTED_VALUE"""),"No")</f>
        <v>No</v>
      </c>
      <c r="O2" s="21" t="str">
        <f>IFERROR(__xludf.DUMMYFUNCTION("""COMPUTED_VALUE"""),"Good Stock")</f>
        <v>Good Stock</v>
      </c>
      <c r="P2" s="27" t="str">
        <f>IFERROR(__xludf.DUMMYFUNCTION("""COMPUTED_VALUE"""),"Low Cap")</f>
        <v>Low Cap</v>
      </c>
      <c r="Q2" s="14"/>
      <c r="R2" s="14"/>
      <c r="S2" s="14"/>
      <c r="T2" s="14"/>
      <c r="U2" s="14"/>
      <c r="V2" s="14"/>
      <c r="W2" s="14"/>
      <c r="X2" s="14"/>
    </row>
  </sheetData>
  <conditionalFormatting sqref="A2">
    <cfRule type="colorScale" priority="1">
      <colorScale>
        <cfvo type="min"/>
        <cfvo type="max"/>
        <color rgb="FF134F5C"/>
        <color rgb="FFFFFFFF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38"/>
    <col customWidth="1" min="2" max="2" width="21.63"/>
    <col customWidth="1" min="3" max="3" width="27.88"/>
  </cols>
  <sheetData>
    <row r="1" ht="54.75" customHeight="1">
      <c r="A1" s="28" t="s">
        <v>469</v>
      </c>
      <c r="B1" s="29"/>
      <c r="C1" s="30"/>
    </row>
    <row r="2" ht="42.75" customHeight="1">
      <c r="A2" s="31"/>
      <c r="B2" s="31"/>
      <c r="C2" s="31"/>
    </row>
    <row r="3" ht="42.75" customHeight="1">
      <c r="A3" s="32" t="s">
        <v>470</v>
      </c>
      <c r="B3" s="32" t="s">
        <v>227</v>
      </c>
      <c r="C3" s="32" t="s">
        <v>228</v>
      </c>
    </row>
    <row r="4">
      <c r="A4" s="7" t="s">
        <v>10</v>
      </c>
      <c r="B4" s="7" t="s">
        <v>233</v>
      </c>
      <c r="C4" s="7" t="s">
        <v>234</v>
      </c>
    </row>
    <row r="5">
      <c r="A5" s="7" t="s">
        <v>11</v>
      </c>
      <c r="B5" s="7" t="s">
        <v>239</v>
      </c>
      <c r="C5" s="7" t="s">
        <v>240</v>
      </c>
    </row>
    <row r="6">
      <c r="A6" s="7" t="s">
        <v>12</v>
      </c>
      <c r="B6" s="7" t="s">
        <v>247</v>
      </c>
      <c r="C6" s="7" t="s">
        <v>248</v>
      </c>
    </row>
    <row r="7">
      <c r="A7" s="7" t="s">
        <v>13</v>
      </c>
      <c r="B7" s="7" t="s">
        <v>249</v>
      </c>
      <c r="C7" s="7" t="s">
        <v>250</v>
      </c>
    </row>
    <row r="8">
      <c r="A8" s="7" t="s">
        <v>14</v>
      </c>
      <c r="B8" s="7" t="s">
        <v>255</v>
      </c>
      <c r="C8" s="7" t="s">
        <v>256</v>
      </c>
    </row>
    <row r="9">
      <c r="A9" s="7" t="s">
        <v>15</v>
      </c>
      <c r="B9" s="7" t="s">
        <v>233</v>
      </c>
      <c r="C9" s="7" t="s">
        <v>471</v>
      </c>
    </row>
    <row r="10">
      <c r="A10" s="7" t="s">
        <v>16</v>
      </c>
      <c r="B10" s="7" t="s">
        <v>257</v>
      </c>
      <c r="C10" s="7" t="s">
        <v>258</v>
      </c>
    </row>
    <row r="11">
      <c r="A11" s="7" t="s">
        <v>17</v>
      </c>
      <c r="B11" s="7" t="s">
        <v>262</v>
      </c>
      <c r="C11" s="7" t="s">
        <v>472</v>
      </c>
    </row>
    <row r="12">
      <c r="A12" s="7" t="s">
        <v>18</v>
      </c>
      <c r="B12" s="7" t="s">
        <v>252</v>
      </c>
      <c r="C12" s="7" t="s">
        <v>253</v>
      </c>
    </row>
    <row r="13">
      <c r="A13" s="7" t="s">
        <v>19</v>
      </c>
      <c r="B13" s="7" t="s">
        <v>244</v>
      </c>
      <c r="C13" s="7" t="s">
        <v>261</v>
      </c>
    </row>
    <row r="14">
      <c r="A14" s="7" t="s">
        <v>20</v>
      </c>
      <c r="B14" s="7" t="s">
        <v>239</v>
      </c>
      <c r="C14" s="7" t="s">
        <v>266</v>
      </c>
    </row>
    <row r="15">
      <c r="A15" s="7" t="s">
        <v>21</v>
      </c>
      <c r="B15" s="7" t="s">
        <v>264</v>
      </c>
      <c r="C15" s="7" t="s">
        <v>265</v>
      </c>
    </row>
    <row r="16">
      <c r="A16" s="7" t="s">
        <v>22</v>
      </c>
      <c r="B16" s="7" t="s">
        <v>257</v>
      </c>
      <c r="C16" s="7" t="s">
        <v>22</v>
      </c>
    </row>
    <row r="17">
      <c r="A17" s="7" t="s">
        <v>23</v>
      </c>
      <c r="B17" s="7" t="s">
        <v>257</v>
      </c>
      <c r="C17" s="7" t="s">
        <v>275</v>
      </c>
    </row>
    <row r="18">
      <c r="A18" s="7" t="s">
        <v>24</v>
      </c>
      <c r="B18" s="7" t="s">
        <v>270</v>
      </c>
      <c r="C18" s="7" t="s">
        <v>271</v>
      </c>
    </row>
    <row r="19">
      <c r="A19" s="7" t="s">
        <v>25</v>
      </c>
      <c r="B19" s="7" t="s">
        <v>245</v>
      </c>
      <c r="C19" s="7" t="s">
        <v>268</v>
      </c>
    </row>
    <row r="20">
      <c r="A20" s="7" t="s">
        <v>26</v>
      </c>
      <c r="B20" s="7" t="s">
        <v>252</v>
      </c>
      <c r="C20" s="7" t="s">
        <v>267</v>
      </c>
    </row>
    <row r="21">
      <c r="A21" s="7" t="s">
        <v>27</v>
      </c>
      <c r="B21" s="7" t="s">
        <v>259</v>
      </c>
      <c r="C21" s="7" t="s">
        <v>280</v>
      </c>
    </row>
    <row r="22">
      <c r="A22" s="7" t="s">
        <v>28</v>
      </c>
      <c r="B22" s="7" t="s">
        <v>233</v>
      </c>
      <c r="C22" s="7" t="s">
        <v>276</v>
      </c>
    </row>
    <row r="23">
      <c r="A23" s="7" t="s">
        <v>29</v>
      </c>
      <c r="B23" s="7" t="s">
        <v>239</v>
      </c>
      <c r="C23" s="7" t="s">
        <v>277</v>
      </c>
    </row>
    <row r="24">
      <c r="A24" s="7" t="s">
        <v>30</v>
      </c>
      <c r="B24" s="7" t="s">
        <v>239</v>
      </c>
      <c r="C24" s="7" t="s">
        <v>273</v>
      </c>
    </row>
    <row r="25">
      <c r="A25" s="7" t="s">
        <v>31</v>
      </c>
      <c r="B25" s="7" t="s">
        <v>257</v>
      </c>
      <c r="C25" s="7" t="s">
        <v>282</v>
      </c>
    </row>
    <row r="26">
      <c r="A26" s="7" t="s">
        <v>32</v>
      </c>
      <c r="B26" s="7" t="s">
        <v>259</v>
      </c>
      <c r="C26" s="7" t="s">
        <v>283</v>
      </c>
    </row>
    <row r="27">
      <c r="A27" s="7" t="s">
        <v>33</v>
      </c>
      <c r="B27" s="7" t="s">
        <v>264</v>
      </c>
      <c r="C27" s="7" t="s">
        <v>274</v>
      </c>
    </row>
    <row r="28">
      <c r="A28" s="7" t="s">
        <v>34</v>
      </c>
      <c r="B28" s="7" t="s">
        <v>244</v>
      </c>
      <c r="C28" s="7" t="s">
        <v>284</v>
      </c>
    </row>
    <row r="29">
      <c r="A29" s="7" t="s">
        <v>35</v>
      </c>
      <c r="B29" s="7" t="s">
        <v>233</v>
      </c>
      <c r="C29" s="7" t="s">
        <v>272</v>
      </c>
    </row>
    <row r="30">
      <c r="A30" s="7" t="s">
        <v>36</v>
      </c>
      <c r="B30" s="7" t="s">
        <v>287</v>
      </c>
      <c r="C30" s="7" t="s">
        <v>288</v>
      </c>
    </row>
    <row r="31">
      <c r="A31" s="7" t="s">
        <v>37</v>
      </c>
      <c r="B31" s="7" t="s">
        <v>305</v>
      </c>
      <c r="C31" s="7" t="s">
        <v>473</v>
      </c>
    </row>
    <row r="32">
      <c r="A32" s="7" t="s">
        <v>38</v>
      </c>
      <c r="B32" s="7" t="s">
        <v>239</v>
      </c>
      <c r="C32" s="7" t="s">
        <v>289</v>
      </c>
    </row>
    <row r="33">
      <c r="A33" s="7" t="s">
        <v>39</v>
      </c>
      <c r="B33" s="7" t="s">
        <v>252</v>
      </c>
      <c r="C33" s="7" t="s">
        <v>291</v>
      </c>
    </row>
    <row r="34">
      <c r="A34" s="7" t="s">
        <v>40</v>
      </c>
      <c r="B34" s="7" t="s">
        <v>239</v>
      </c>
      <c r="C34" s="7" t="s">
        <v>292</v>
      </c>
    </row>
    <row r="35">
      <c r="A35" s="7" t="s">
        <v>41</v>
      </c>
      <c r="B35" s="7" t="s">
        <v>255</v>
      </c>
      <c r="C35" s="7" t="s">
        <v>297</v>
      </c>
    </row>
    <row r="36">
      <c r="A36" s="7" t="s">
        <v>42</v>
      </c>
      <c r="B36" s="7" t="s">
        <v>301</v>
      </c>
      <c r="C36" s="7" t="s">
        <v>302</v>
      </c>
    </row>
    <row r="37">
      <c r="A37" s="7" t="s">
        <v>43</v>
      </c>
      <c r="B37" s="7" t="s">
        <v>257</v>
      </c>
      <c r="C37" s="7" t="s">
        <v>298</v>
      </c>
    </row>
    <row r="38">
      <c r="A38" s="7" t="s">
        <v>44</v>
      </c>
      <c r="B38" s="7" t="s">
        <v>305</v>
      </c>
      <c r="C38" s="7" t="s">
        <v>474</v>
      </c>
    </row>
    <row r="39">
      <c r="A39" s="7" t="s">
        <v>45</v>
      </c>
      <c r="B39" s="7" t="s">
        <v>305</v>
      </c>
      <c r="C39" s="7" t="s">
        <v>306</v>
      </c>
    </row>
    <row r="40">
      <c r="A40" s="7" t="s">
        <v>46</v>
      </c>
      <c r="B40" s="7" t="s">
        <v>324</v>
      </c>
      <c r="C40" s="7" t="s">
        <v>325</v>
      </c>
    </row>
    <row r="41">
      <c r="A41" s="7" t="s">
        <v>47</v>
      </c>
      <c r="B41" s="7" t="s">
        <v>299</v>
      </c>
      <c r="C41" s="7" t="s">
        <v>300</v>
      </c>
    </row>
    <row r="42">
      <c r="A42" s="7" t="s">
        <v>48</v>
      </c>
      <c r="B42" s="7" t="s">
        <v>303</v>
      </c>
      <c r="C42" s="7" t="s">
        <v>48</v>
      </c>
    </row>
    <row r="43">
      <c r="A43" s="7" t="s">
        <v>49</v>
      </c>
      <c r="B43" s="7" t="s">
        <v>242</v>
      </c>
      <c r="C43" s="7" t="s">
        <v>327</v>
      </c>
    </row>
    <row r="44">
      <c r="A44" s="7" t="s">
        <v>50</v>
      </c>
      <c r="B44" s="7" t="s">
        <v>311</v>
      </c>
      <c r="C44" s="7" t="s">
        <v>312</v>
      </c>
    </row>
    <row r="45">
      <c r="A45" s="7" t="s">
        <v>51</v>
      </c>
      <c r="B45" s="7" t="s">
        <v>259</v>
      </c>
      <c r="C45" s="7" t="s">
        <v>475</v>
      </c>
    </row>
    <row r="46">
      <c r="A46" s="7" t="s">
        <v>52</v>
      </c>
      <c r="B46" s="7" t="s">
        <v>233</v>
      </c>
      <c r="C46" s="7" t="s">
        <v>326</v>
      </c>
    </row>
    <row r="47">
      <c r="A47" s="7" t="s">
        <v>53</v>
      </c>
      <c r="B47" s="7" t="s">
        <v>305</v>
      </c>
      <c r="C47" s="7" t="s">
        <v>476</v>
      </c>
    </row>
    <row r="48">
      <c r="A48" s="7" t="s">
        <v>54</v>
      </c>
      <c r="B48" s="7" t="s">
        <v>313</v>
      </c>
      <c r="C48" s="7" t="s">
        <v>314</v>
      </c>
    </row>
    <row r="49">
      <c r="A49" s="7" t="s">
        <v>55</v>
      </c>
      <c r="B49" s="7" t="s">
        <v>257</v>
      </c>
      <c r="C49" s="7" t="s">
        <v>477</v>
      </c>
    </row>
    <row r="50">
      <c r="A50" s="7" t="s">
        <v>56</v>
      </c>
      <c r="B50" s="7" t="s">
        <v>249</v>
      </c>
      <c r="C50" s="7" t="s">
        <v>316</v>
      </c>
    </row>
    <row r="51">
      <c r="A51" s="7" t="s">
        <v>57</v>
      </c>
      <c r="B51" s="7" t="s">
        <v>293</v>
      </c>
      <c r="C51" s="7" t="s">
        <v>315</v>
      </c>
    </row>
    <row r="52">
      <c r="A52" s="7" t="s">
        <v>58</v>
      </c>
      <c r="B52" s="7" t="s">
        <v>309</v>
      </c>
      <c r="C52" s="7" t="s">
        <v>310</v>
      </c>
    </row>
    <row r="53">
      <c r="A53" s="7" t="s">
        <v>59</v>
      </c>
      <c r="B53" s="7" t="s">
        <v>299</v>
      </c>
      <c r="C53" s="7" t="s">
        <v>304</v>
      </c>
    </row>
    <row r="54">
      <c r="A54" s="7" t="s">
        <v>60</v>
      </c>
      <c r="B54" s="7" t="s">
        <v>257</v>
      </c>
      <c r="C54" s="7" t="s">
        <v>307</v>
      </c>
    </row>
    <row r="55">
      <c r="A55" s="7" t="s">
        <v>61</v>
      </c>
      <c r="B55" s="7" t="s">
        <v>262</v>
      </c>
      <c r="C55" s="7" t="s">
        <v>478</v>
      </c>
    </row>
    <row r="56">
      <c r="A56" s="7" t="s">
        <v>62</v>
      </c>
      <c r="B56" s="7" t="s">
        <v>349</v>
      </c>
      <c r="C56" s="7" t="s">
        <v>350</v>
      </c>
    </row>
    <row r="57">
      <c r="A57" s="7" t="s">
        <v>63</v>
      </c>
      <c r="B57" s="7" t="s">
        <v>319</v>
      </c>
      <c r="C57" s="7" t="s">
        <v>320</v>
      </c>
    </row>
    <row r="58">
      <c r="A58" s="7" t="s">
        <v>64</v>
      </c>
      <c r="B58" s="7" t="s">
        <v>287</v>
      </c>
      <c r="C58" s="7" t="s">
        <v>321</v>
      </c>
    </row>
    <row r="59">
      <c r="A59" s="7" t="s">
        <v>65</v>
      </c>
      <c r="B59" s="7" t="s">
        <v>259</v>
      </c>
      <c r="C59" s="7" t="s">
        <v>347</v>
      </c>
    </row>
    <row r="60">
      <c r="A60" s="7" t="s">
        <v>66</v>
      </c>
      <c r="B60" s="7" t="s">
        <v>301</v>
      </c>
      <c r="C60" s="7" t="s">
        <v>330</v>
      </c>
    </row>
    <row r="61">
      <c r="A61" s="7" t="s">
        <v>67</v>
      </c>
      <c r="B61" s="7" t="s">
        <v>313</v>
      </c>
      <c r="C61" s="7" t="s">
        <v>328</v>
      </c>
    </row>
    <row r="62">
      <c r="A62" s="7" t="s">
        <v>68</v>
      </c>
      <c r="B62" s="7" t="s">
        <v>338</v>
      </c>
      <c r="C62" s="7" t="s">
        <v>339</v>
      </c>
    </row>
    <row r="63">
      <c r="A63" s="7" t="s">
        <v>69</v>
      </c>
      <c r="B63" s="7" t="s">
        <v>336</v>
      </c>
      <c r="C63" s="7" t="s">
        <v>337</v>
      </c>
    </row>
    <row r="64">
      <c r="A64" s="7" t="s">
        <v>70</v>
      </c>
      <c r="B64" s="7" t="s">
        <v>244</v>
      </c>
      <c r="C64" s="7" t="s">
        <v>343</v>
      </c>
    </row>
    <row r="65">
      <c r="A65" s="7" t="s">
        <v>71</v>
      </c>
      <c r="B65" s="7" t="s">
        <v>299</v>
      </c>
      <c r="C65" s="7" t="s">
        <v>346</v>
      </c>
    </row>
    <row r="66">
      <c r="A66" s="7" t="s">
        <v>72</v>
      </c>
      <c r="B66" s="7" t="s">
        <v>305</v>
      </c>
      <c r="C66" s="7" t="s">
        <v>479</v>
      </c>
    </row>
    <row r="67">
      <c r="A67" s="7" t="s">
        <v>73</v>
      </c>
      <c r="B67" s="7" t="s">
        <v>336</v>
      </c>
      <c r="C67" s="7" t="s">
        <v>342</v>
      </c>
    </row>
    <row r="68">
      <c r="A68" s="7" t="s">
        <v>74</v>
      </c>
      <c r="B68" s="7" t="s">
        <v>259</v>
      </c>
      <c r="C68" s="7" t="s">
        <v>373</v>
      </c>
    </row>
    <row r="69">
      <c r="A69" s="7" t="s">
        <v>75</v>
      </c>
      <c r="B69" s="7" t="s">
        <v>270</v>
      </c>
      <c r="C69" s="7" t="s">
        <v>345</v>
      </c>
    </row>
    <row r="70">
      <c r="A70" s="7" t="s">
        <v>76</v>
      </c>
      <c r="B70" s="7" t="s">
        <v>368</v>
      </c>
      <c r="C70" s="7" t="s">
        <v>480</v>
      </c>
    </row>
    <row r="71">
      <c r="A71" s="7" t="s">
        <v>77</v>
      </c>
      <c r="B71" s="7" t="s">
        <v>233</v>
      </c>
      <c r="C71" s="7" t="s">
        <v>340</v>
      </c>
    </row>
    <row r="72">
      <c r="A72" s="7" t="s">
        <v>78</v>
      </c>
      <c r="B72" s="7" t="s">
        <v>305</v>
      </c>
      <c r="C72" s="7" t="s">
        <v>348</v>
      </c>
    </row>
    <row r="73">
      <c r="A73" s="7" t="s">
        <v>79</v>
      </c>
      <c r="B73" s="7" t="s">
        <v>259</v>
      </c>
      <c r="C73" s="7" t="s">
        <v>361</v>
      </c>
    </row>
    <row r="74">
      <c r="A74" s="7" t="s">
        <v>80</v>
      </c>
      <c r="B74" s="7" t="s">
        <v>368</v>
      </c>
      <c r="C74" s="7" t="s">
        <v>369</v>
      </c>
    </row>
    <row r="75">
      <c r="A75" s="7" t="s">
        <v>81</v>
      </c>
      <c r="B75" s="7" t="s">
        <v>305</v>
      </c>
      <c r="C75" s="7" t="s">
        <v>354</v>
      </c>
    </row>
    <row r="76">
      <c r="A76" s="7" t="s">
        <v>82</v>
      </c>
      <c r="B76" s="7" t="s">
        <v>332</v>
      </c>
      <c r="C76" s="7" t="s">
        <v>333</v>
      </c>
    </row>
    <row r="77">
      <c r="A77" s="7" t="s">
        <v>83</v>
      </c>
      <c r="B77" s="7" t="s">
        <v>287</v>
      </c>
      <c r="C77" s="7" t="s">
        <v>364</v>
      </c>
    </row>
    <row r="78">
      <c r="A78" s="7" t="s">
        <v>84</v>
      </c>
      <c r="B78" s="7" t="s">
        <v>334</v>
      </c>
      <c r="C78" s="7" t="s">
        <v>335</v>
      </c>
    </row>
    <row r="79">
      <c r="A79" s="7" t="s">
        <v>85</v>
      </c>
      <c r="B79" s="7" t="s">
        <v>299</v>
      </c>
      <c r="C79" s="7" t="s">
        <v>366</v>
      </c>
    </row>
    <row r="80">
      <c r="A80" s="7" t="s">
        <v>86</v>
      </c>
      <c r="B80" s="7" t="s">
        <v>299</v>
      </c>
      <c r="C80" s="7" t="s">
        <v>352</v>
      </c>
    </row>
    <row r="81">
      <c r="A81" s="7" t="s">
        <v>87</v>
      </c>
      <c r="B81" s="7" t="s">
        <v>362</v>
      </c>
      <c r="C81" s="7" t="s">
        <v>363</v>
      </c>
    </row>
    <row r="82">
      <c r="A82" s="7" t="s">
        <v>88</v>
      </c>
      <c r="B82" s="7" t="s">
        <v>270</v>
      </c>
      <c r="C82" s="7" t="s">
        <v>351</v>
      </c>
    </row>
    <row r="83">
      <c r="A83" s="7" t="s">
        <v>89</v>
      </c>
      <c r="B83" s="7" t="s">
        <v>270</v>
      </c>
      <c r="C83" s="7" t="s">
        <v>367</v>
      </c>
    </row>
    <row r="84">
      <c r="A84" s="7" t="s">
        <v>90</v>
      </c>
      <c r="B84" s="7" t="s">
        <v>287</v>
      </c>
      <c r="C84" s="7" t="s">
        <v>375</v>
      </c>
    </row>
    <row r="85">
      <c r="A85" s="7" t="s">
        <v>91</v>
      </c>
      <c r="B85" s="7" t="s">
        <v>242</v>
      </c>
      <c r="C85" s="7" t="s">
        <v>481</v>
      </c>
    </row>
    <row r="86">
      <c r="A86" s="7" t="s">
        <v>93</v>
      </c>
      <c r="B86" s="7" t="s">
        <v>301</v>
      </c>
      <c r="C86" s="7" t="s">
        <v>371</v>
      </c>
    </row>
    <row r="87">
      <c r="A87" s="7" t="s">
        <v>94</v>
      </c>
      <c r="B87" s="7" t="s">
        <v>259</v>
      </c>
      <c r="C87" s="7" t="s">
        <v>372</v>
      </c>
    </row>
    <row r="88">
      <c r="A88" s="7" t="s">
        <v>95</v>
      </c>
      <c r="B88" s="7" t="s">
        <v>311</v>
      </c>
      <c r="C88" s="7" t="s">
        <v>381</v>
      </c>
    </row>
    <row r="89">
      <c r="A89" s="7" t="s">
        <v>96</v>
      </c>
      <c r="B89" s="7" t="s">
        <v>270</v>
      </c>
      <c r="C89" s="7" t="s">
        <v>370</v>
      </c>
    </row>
    <row r="90">
      <c r="A90" s="7" t="s">
        <v>97</v>
      </c>
      <c r="B90" s="7" t="s">
        <v>249</v>
      </c>
      <c r="C90" s="7" t="s">
        <v>360</v>
      </c>
    </row>
    <row r="91">
      <c r="A91" s="7" t="s">
        <v>98</v>
      </c>
      <c r="B91" s="7" t="s">
        <v>376</v>
      </c>
      <c r="C91" s="7" t="s">
        <v>377</v>
      </c>
    </row>
    <row r="92">
      <c r="A92" s="7" t="s">
        <v>99</v>
      </c>
      <c r="B92" s="7" t="s">
        <v>305</v>
      </c>
      <c r="C92" s="7" t="s">
        <v>389</v>
      </c>
    </row>
    <row r="93">
      <c r="A93" s="7" t="s">
        <v>100</v>
      </c>
      <c r="B93" s="7" t="s">
        <v>270</v>
      </c>
      <c r="C93" s="7" t="s">
        <v>384</v>
      </c>
    </row>
    <row r="94">
      <c r="A94" s="7" t="s">
        <v>101</v>
      </c>
      <c r="B94" s="7" t="s">
        <v>270</v>
      </c>
      <c r="C94" s="7" t="s">
        <v>380</v>
      </c>
    </row>
    <row r="95">
      <c r="A95" s="7" t="s">
        <v>102</v>
      </c>
      <c r="B95" s="7" t="s">
        <v>259</v>
      </c>
      <c r="C95" s="7" t="s">
        <v>398</v>
      </c>
    </row>
    <row r="96">
      <c r="A96" s="7" t="s">
        <v>103</v>
      </c>
      <c r="B96" s="7" t="s">
        <v>305</v>
      </c>
      <c r="C96" s="7" t="s">
        <v>387</v>
      </c>
    </row>
    <row r="97">
      <c r="A97" s="7" t="s">
        <v>104</v>
      </c>
      <c r="B97" s="7" t="s">
        <v>305</v>
      </c>
      <c r="C97" s="7" t="s">
        <v>403</v>
      </c>
    </row>
    <row r="98">
      <c r="A98" s="7" t="s">
        <v>105</v>
      </c>
      <c r="B98" s="7" t="s">
        <v>233</v>
      </c>
      <c r="C98" s="7" t="s">
        <v>374</v>
      </c>
    </row>
    <row r="99">
      <c r="A99" s="7" t="s">
        <v>106</v>
      </c>
      <c r="B99" s="7" t="s">
        <v>391</v>
      </c>
      <c r="C99" s="7" t="s">
        <v>392</v>
      </c>
    </row>
    <row r="100">
      <c r="A100" s="7" t="s">
        <v>107</v>
      </c>
      <c r="B100" s="7" t="s">
        <v>305</v>
      </c>
      <c r="C100" s="7" t="s">
        <v>386</v>
      </c>
    </row>
    <row r="101">
      <c r="A101" s="7" t="s">
        <v>108</v>
      </c>
      <c r="B101" s="7" t="s">
        <v>233</v>
      </c>
      <c r="C101" s="7" t="s">
        <v>390</v>
      </c>
    </row>
    <row r="102">
      <c r="A102" s="7" t="s">
        <v>109</v>
      </c>
      <c r="B102" s="7" t="s">
        <v>305</v>
      </c>
      <c r="C102" s="7" t="s">
        <v>109</v>
      </c>
    </row>
    <row r="103">
      <c r="A103" s="7" t="s">
        <v>110</v>
      </c>
      <c r="B103" s="7" t="s">
        <v>301</v>
      </c>
      <c r="C103" s="7" t="s">
        <v>383</v>
      </c>
    </row>
    <row r="104">
      <c r="A104" s="7" t="s">
        <v>111</v>
      </c>
      <c r="B104" s="7" t="s">
        <v>393</v>
      </c>
      <c r="C104" s="7" t="s">
        <v>394</v>
      </c>
    </row>
    <row r="105">
      <c r="A105" s="7" t="s">
        <v>112</v>
      </c>
      <c r="B105" s="7" t="s">
        <v>287</v>
      </c>
      <c r="C105" s="7" t="s">
        <v>397</v>
      </c>
    </row>
    <row r="106">
      <c r="A106" s="7" t="s">
        <v>113</v>
      </c>
      <c r="B106" s="7" t="s">
        <v>305</v>
      </c>
      <c r="C106" s="7" t="s">
        <v>395</v>
      </c>
    </row>
    <row r="107">
      <c r="A107" s="7" t="s">
        <v>114</v>
      </c>
      <c r="B107" s="7" t="s">
        <v>293</v>
      </c>
      <c r="C107" s="7" t="s">
        <v>482</v>
      </c>
    </row>
    <row r="108">
      <c r="A108" s="7" t="s">
        <v>115</v>
      </c>
      <c r="B108" s="7" t="s">
        <v>287</v>
      </c>
      <c r="C108" s="7" t="s">
        <v>388</v>
      </c>
    </row>
    <row r="109">
      <c r="A109" s="7" t="s">
        <v>116</v>
      </c>
      <c r="B109" s="7" t="s">
        <v>270</v>
      </c>
      <c r="C109" s="7" t="s">
        <v>410</v>
      </c>
    </row>
    <row r="110">
      <c r="A110" s="7" t="s">
        <v>117</v>
      </c>
      <c r="B110" s="7" t="s">
        <v>233</v>
      </c>
      <c r="C110" s="7" t="s">
        <v>483</v>
      </c>
    </row>
    <row r="111">
      <c r="A111" s="7" t="s">
        <v>118</v>
      </c>
      <c r="B111" s="7" t="s">
        <v>270</v>
      </c>
      <c r="C111" s="7" t="s">
        <v>411</v>
      </c>
    </row>
    <row r="112">
      <c r="A112" s="7" t="s">
        <v>119</v>
      </c>
      <c r="B112" s="7" t="s">
        <v>262</v>
      </c>
      <c r="C112" s="7" t="s">
        <v>484</v>
      </c>
    </row>
    <row r="113">
      <c r="A113" s="7" t="s">
        <v>120</v>
      </c>
      <c r="B113" s="7" t="s">
        <v>319</v>
      </c>
      <c r="C113" s="7" t="s">
        <v>399</v>
      </c>
    </row>
    <row r="114">
      <c r="A114" s="7" t="s">
        <v>121</v>
      </c>
      <c r="B114" s="7" t="s">
        <v>362</v>
      </c>
      <c r="C114" s="7" t="s">
        <v>432</v>
      </c>
    </row>
    <row r="115">
      <c r="A115" s="7" t="s">
        <v>122</v>
      </c>
      <c r="B115" s="7" t="s">
        <v>309</v>
      </c>
      <c r="C115" s="7" t="s">
        <v>401</v>
      </c>
    </row>
    <row r="116">
      <c r="A116" s="7" t="s">
        <v>123</v>
      </c>
      <c r="B116" s="7" t="s">
        <v>301</v>
      </c>
      <c r="C116" s="7" t="s">
        <v>404</v>
      </c>
    </row>
    <row r="117">
      <c r="A117" s="7" t="s">
        <v>124</v>
      </c>
      <c r="B117" s="7" t="s">
        <v>305</v>
      </c>
      <c r="C117" s="7" t="s">
        <v>418</v>
      </c>
    </row>
    <row r="118">
      <c r="A118" s="7" t="s">
        <v>125</v>
      </c>
      <c r="B118" s="7" t="s">
        <v>270</v>
      </c>
      <c r="C118" s="7" t="s">
        <v>414</v>
      </c>
    </row>
    <row r="119">
      <c r="A119" s="7" t="s">
        <v>126</v>
      </c>
      <c r="B119" s="7" t="s">
        <v>247</v>
      </c>
      <c r="C119" s="7" t="s">
        <v>402</v>
      </c>
    </row>
    <row r="120">
      <c r="A120" s="7" t="s">
        <v>127</v>
      </c>
      <c r="B120" s="7" t="s">
        <v>336</v>
      </c>
      <c r="C120" s="7" t="s">
        <v>409</v>
      </c>
    </row>
    <row r="121">
      <c r="A121" s="7" t="s">
        <v>128</v>
      </c>
      <c r="B121" s="7" t="s">
        <v>249</v>
      </c>
      <c r="C121" s="7" t="s">
        <v>400</v>
      </c>
    </row>
    <row r="122">
      <c r="A122" s="7" t="s">
        <v>129</v>
      </c>
      <c r="B122" s="7" t="s">
        <v>362</v>
      </c>
      <c r="C122" s="7" t="s">
        <v>429</v>
      </c>
    </row>
    <row r="123">
      <c r="A123" s="7" t="s">
        <v>130</v>
      </c>
      <c r="B123" s="7" t="s">
        <v>376</v>
      </c>
      <c r="C123" s="7" t="s">
        <v>407</v>
      </c>
    </row>
    <row r="124">
      <c r="A124" s="7" t="s">
        <v>131</v>
      </c>
      <c r="B124" s="7" t="s">
        <v>439</v>
      </c>
      <c r="C124" s="7" t="s">
        <v>440</v>
      </c>
    </row>
    <row r="125">
      <c r="A125" s="7" t="s">
        <v>132</v>
      </c>
      <c r="B125" s="7" t="s">
        <v>324</v>
      </c>
      <c r="C125" s="7" t="s">
        <v>412</v>
      </c>
    </row>
    <row r="126">
      <c r="A126" s="7" t="s">
        <v>133</v>
      </c>
      <c r="B126" s="7" t="s">
        <v>259</v>
      </c>
      <c r="C126" s="7" t="s">
        <v>406</v>
      </c>
    </row>
    <row r="127">
      <c r="A127" s="7" t="s">
        <v>134</v>
      </c>
      <c r="B127" s="7" t="s">
        <v>233</v>
      </c>
      <c r="C127" s="7" t="s">
        <v>416</v>
      </c>
    </row>
    <row r="128">
      <c r="A128" s="7" t="s">
        <v>135</v>
      </c>
      <c r="B128" s="7" t="s">
        <v>362</v>
      </c>
      <c r="C128" s="7" t="s">
        <v>427</v>
      </c>
    </row>
    <row r="129">
      <c r="A129" s="7" t="s">
        <v>136</v>
      </c>
      <c r="B129" s="7" t="s">
        <v>242</v>
      </c>
      <c r="C129" s="7" t="s">
        <v>417</v>
      </c>
    </row>
    <row r="130">
      <c r="A130" s="7" t="s">
        <v>137</v>
      </c>
      <c r="B130" s="7" t="s">
        <v>259</v>
      </c>
      <c r="C130" s="7" t="s">
        <v>413</v>
      </c>
    </row>
    <row r="131">
      <c r="A131" s="7" t="s">
        <v>138</v>
      </c>
      <c r="B131" s="7" t="s">
        <v>422</v>
      </c>
      <c r="C131" s="7" t="s">
        <v>423</v>
      </c>
    </row>
    <row r="132">
      <c r="A132" s="7" t="s">
        <v>139</v>
      </c>
      <c r="B132" s="7" t="s">
        <v>233</v>
      </c>
      <c r="C132" s="7" t="s">
        <v>441</v>
      </c>
    </row>
    <row r="133">
      <c r="A133" s="7" t="s">
        <v>140</v>
      </c>
      <c r="B133" s="7" t="s">
        <v>233</v>
      </c>
      <c r="C133" s="7" t="s">
        <v>437</v>
      </c>
    </row>
    <row r="134">
      <c r="A134" s="7" t="s">
        <v>141</v>
      </c>
      <c r="B134" s="7" t="s">
        <v>311</v>
      </c>
      <c r="C134" s="7" t="s">
        <v>430</v>
      </c>
    </row>
    <row r="135">
      <c r="A135" s="7" t="s">
        <v>142</v>
      </c>
      <c r="B135" s="7" t="s">
        <v>362</v>
      </c>
      <c r="C135" s="7" t="s">
        <v>421</v>
      </c>
    </row>
    <row r="136">
      <c r="A136" s="7" t="s">
        <v>143</v>
      </c>
      <c r="B136" s="7" t="s">
        <v>247</v>
      </c>
      <c r="C136" s="7" t="s">
        <v>485</v>
      </c>
    </row>
    <row r="137">
      <c r="A137" s="7" t="s">
        <v>144</v>
      </c>
      <c r="B137" s="7" t="s">
        <v>287</v>
      </c>
      <c r="C137" s="7" t="s">
        <v>433</v>
      </c>
    </row>
    <row r="138">
      <c r="A138" s="7" t="s">
        <v>145</v>
      </c>
      <c r="B138" s="7" t="s">
        <v>285</v>
      </c>
      <c r="C138" s="7" t="s">
        <v>435</v>
      </c>
    </row>
    <row r="139">
      <c r="A139" s="7" t="s">
        <v>146</v>
      </c>
      <c r="B139" s="7" t="s">
        <v>424</v>
      </c>
      <c r="C139" s="7" t="s">
        <v>425</v>
      </c>
    </row>
    <row r="140">
      <c r="A140" s="7" t="s">
        <v>147</v>
      </c>
      <c r="B140" s="7" t="s">
        <v>349</v>
      </c>
      <c r="C140" s="7" t="s">
        <v>419</v>
      </c>
    </row>
    <row r="141">
      <c r="A141" s="7" t="s">
        <v>148</v>
      </c>
      <c r="B141" s="7" t="s">
        <v>299</v>
      </c>
      <c r="C141" s="7" t="s">
        <v>446</v>
      </c>
    </row>
    <row r="142">
      <c r="A142" s="7" t="s">
        <v>149</v>
      </c>
      <c r="B142" s="7" t="s">
        <v>264</v>
      </c>
      <c r="C142" s="7" t="s">
        <v>443</v>
      </c>
    </row>
    <row r="143">
      <c r="A143" s="7" t="s">
        <v>150</v>
      </c>
      <c r="B143" s="7" t="s">
        <v>259</v>
      </c>
      <c r="C143" s="7" t="s">
        <v>450</v>
      </c>
    </row>
    <row r="144">
      <c r="A144" s="7" t="s">
        <v>151</v>
      </c>
      <c r="B144" s="7" t="s">
        <v>259</v>
      </c>
      <c r="C144" s="7" t="s">
        <v>444</v>
      </c>
    </row>
    <row r="145">
      <c r="A145" s="7" t="s">
        <v>152</v>
      </c>
      <c r="B145" s="7" t="s">
        <v>305</v>
      </c>
      <c r="C145" s="7" t="s">
        <v>428</v>
      </c>
    </row>
    <row r="146">
      <c r="A146" s="7" t="s">
        <v>153</v>
      </c>
      <c r="B146" s="7" t="s">
        <v>376</v>
      </c>
      <c r="C146" s="7" t="s">
        <v>455</v>
      </c>
    </row>
    <row r="147">
      <c r="A147" s="7" t="s">
        <v>154</v>
      </c>
      <c r="B147" s="7" t="s">
        <v>270</v>
      </c>
      <c r="C147" s="7" t="s">
        <v>453</v>
      </c>
    </row>
    <row r="148">
      <c r="A148" s="7" t="s">
        <v>155</v>
      </c>
      <c r="B148" s="7" t="s">
        <v>299</v>
      </c>
      <c r="C148" s="7" t="s">
        <v>447</v>
      </c>
    </row>
    <row r="149">
      <c r="A149" s="7" t="s">
        <v>156</v>
      </c>
      <c r="B149" s="7" t="s">
        <v>270</v>
      </c>
      <c r="C149" s="7" t="s">
        <v>454</v>
      </c>
    </row>
    <row r="150">
      <c r="A150" s="7" t="s">
        <v>157</v>
      </c>
      <c r="B150" s="7" t="s">
        <v>233</v>
      </c>
      <c r="C150" s="7" t="s">
        <v>457</v>
      </c>
    </row>
    <row r="151">
      <c r="A151" s="7" t="s">
        <v>158</v>
      </c>
      <c r="B151" s="7" t="s">
        <v>233</v>
      </c>
      <c r="C151" s="7" t="s">
        <v>456</v>
      </c>
    </row>
    <row r="152">
      <c r="A152" s="7" t="s">
        <v>159</v>
      </c>
      <c r="B152" s="7" t="s">
        <v>259</v>
      </c>
      <c r="C152" s="7" t="s">
        <v>486</v>
      </c>
    </row>
    <row r="153">
      <c r="A153" s="7" t="s">
        <v>160</v>
      </c>
      <c r="B153" s="7"/>
      <c r="C153" s="7" t="s">
        <v>451</v>
      </c>
    </row>
    <row r="154">
      <c r="A154" s="7" t="s">
        <v>161</v>
      </c>
      <c r="B154" s="7" t="s">
        <v>285</v>
      </c>
      <c r="C154" s="7" t="s">
        <v>487</v>
      </c>
    </row>
    <row r="155">
      <c r="A155" s="7" t="s">
        <v>162</v>
      </c>
      <c r="B155" s="7" t="s">
        <v>299</v>
      </c>
      <c r="C155" s="7" t="s">
        <v>462</v>
      </c>
    </row>
    <row r="156">
      <c r="A156" s="7" t="s">
        <v>163</v>
      </c>
      <c r="B156" s="7" t="s">
        <v>322</v>
      </c>
      <c r="C156" s="7" t="s">
        <v>459</v>
      </c>
    </row>
    <row r="157">
      <c r="A157" s="7" t="s">
        <v>164</v>
      </c>
      <c r="B157" s="7"/>
      <c r="C157" s="7" t="s">
        <v>458</v>
      </c>
    </row>
    <row r="158">
      <c r="A158" s="7" t="s">
        <v>165</v>
      </c>
      <c r="B158" s="7" t="s">
        <v>448</v>
      </c>
      <c r="C158" s="7" t="s">
        <v>449</v>
      </c>
    </row>
    <row r="159">
      <c r="A159" s="7" t="s">
        <v>166</v>
      </c>
      <c r="B159" s="7" t="s">
        <v>257</v>
      </c>
      <c r="C159" s="7" t="s">
        <v>488</v>
      </c>
    </row>
    <row r="160">
      <c r="A160" s="7" t="s">
        <v>167</v>
      </c>
      <c r="B160" s="7"/>
      <c r="C160" s="7" t="s">
        <v>461</v>
      </c>
    </row>
    <row r="161">
      <c r="A161" s="7" t="s">
        <v>168</v>
      </c>
      <c r="B161" s="7" t="s">
        <v>319</v>
      </c>
      <c r="C161" s="7" t="s">
        <v>460</v>
      </c>
    </row>
    <row r="162">
      <c r="A162" s="7" t="s">
        <v>169</v>
      </c>
      <c r="B162" s="7" t="s">
        <v>311</v>
      </c>
      <c r="C162" s="7" t="s">
        <v>489</v>
      </c>
    </row>
    <row r="163">
      <c r="A163" s="7" t="s">
        <v>170</v>
      </c>
      <c r="B163" s="7" t="s">
        <v>270</v>
      </c>
      <c r="C163" s="7" t="s">
        <v>467</v>
      </c>
    </row>
    <row r="164">
      <c r="A164" s="7" t="s">
        <v>171</v>
      </c>
      <c r="B164" s="7" t="s">
        <v>259</v>
      </c>
      <c r="C164" s="7" t="s">
        <v>490</v>
      </c>
    </row>
    <row r="165">
      <c r="A165" s="7" t="s">
        <v>172</v>
      </c>
      <c r="B165" s="7" t="s">
        <v>259</v>
      </c>
      <c r="C165" s="7" t="s">
        <v>468</v>
      </c>
    </row>
    <row r="166">
      <c r="A166" s="7" t="s">
        <v>173</v>
      </c>
      <c r="B166" s="7" t="s">
        <v>242</v>
      </c>
      <c r="C166" s="7" t="s">
        <v>396</v>
      </c>
    </row>
    <row r="167">
      <c r="A167" s="7" t="s">
        <v>174</v>
      </c>
      <c r="B167" s="7" t="s">
        <v>287</v>
      </c>
      <c r="C167" s="7" t="s">
        <v>408</v>
      </c>
    </row>
    <row r="168">
      <c r="A168" s="7" t="s">
        <v>175</v>
      </c>
      <c r="B168" s="7" t="s">
        <v>309</v>
      </c>
      <c r="C168" s="7" t="s">
        <v>382</v>
      </c>
    </row>
    <row r="169">
      <c r="A169" s="7" t="s">
        <v>176</v>
      </c>
      <c r="B169" s="7" t="s">
        <v>259</v>
      </c>
      <c r="C169" s="7" t="s">
        <v>308</v>
      </c>
    </row>
    <row r="170">
      <c r="A170" s="7" t="s">
        <v>177</v>
      </c>
      <c r="B170" s="7" t="s">
        <v>242</v>
      </c>
      <c r="C170" s="7" t="s">
        <v>254</v>
      </c>
    </row>
    <row r="171">
      <c r="A171" s="7" t="s">
        <v>178</v>
      </c>
      <c r="B171" s="7" t="s">
        <v>242</v>
      </c>
      <c r="C171" s="7" t="s">
        <v>278</v>
      </c>
    </row>
    <row r="172">
      <c r="A172" s="7" t="s">
        <v>179</v>
      </c>
      <c r="B172" s="7" t="s">
        <v>242</v>
      </c>
      <c r="C172" s="7" t="s">
        <v>243</v>
      </c>
    </row>
    <row r="173">
      <c r="A173" s="7" t="s">
        <v>180</v>
      </c>
      <c r="B173" s="7" t="s">
        <v>242</v>
      </c>
      <c r="C173" s="7" t="s">
        <v>341</v>
      </c>
    </row>
    <row r="174">
      <c r="A174" s="7" t="s">
        <v>181</v>
      </c>
      <c r="B174" s="7" t="s">
        <v>264</v>
      </c>
      <c r="C174" s="7" t="s">
        <v>281</v>
      </c>
    </row>
    <row r="175">
      <c r="A175" s="7" t="s">
        <v>182</v>
      </c>
      <c r="B175" s="7" t="s">
        <v>233</v>
      </c>
      <c r="C175" s="7" t="s">
        <v>415</v>
      </c>
    </row>
    <row r="176">
      <c r="A176" s="7" t="s">
        <v>183</v>
      </c>
      <c r="B176" s="7" t="s">
        <v>491</v>
      </c>
      <c r="C176" s="7" t="s">
        <v>492</v>
      </c>
    </row>
    <row r="177">
      <c r="A177" s="7" t="s">
        <v>184</v>
      </c>
      <c r="B177" s="7"/>
      <c r="C177" s="7" t="s">
        <v>434</v>
      </c>
    </row>
    <row r="178">
      <c r="A178" s="7" t="s">
        <v>185</v>
      </c>
      <c r="B178" s="7" t="s">
        <v>362</v>
      </c>
      <c r="C178" s="7" t="s">
        <v>493</v>
      </c>
    </row>
    <row r="179">
      <c r="A179" s="7" t="s">
        <v>186</v>
      </c>
      <c r="B179" s="7" t="s">
        <v>245</v>
      </c>
      <c r="C179" s="7" t="s">
        <v>269</v>
      </c>
    </row>
    <row r="180">
      <c r="A180" s="7" t="s">
        <v>187</v>
      </c>
      <c r="B180" s="7" t="s">
        <v>264</v>
      </c>
      <c r="C180" s="7" t="s">
        <v>356</v>
      </c>
    </row>
    <row r="181">
      <c r="A181" s="7" t="s">
        <v>188</v>
      </c>
      <c r="B181" s="7" t="s">
        <v>245</v>
      </c>
      <c r="C181" s="7" t="s">
        <v>290</v>
      </c>
    </row>
    <row r="182">
      <c r="A182" s="7" t="s">
        <v>189</v>
      </c>
      <c r="B182" s="7" t="s">
        <v>262</v>
      </c>
      <c r="C182" s="7" t="s">
        <v>263</v>
      </c>
    </row>
    <row r="183">
      <c r="A183" s="7" t="s">
        <v>190</v>
      </c>
      <c r="B183" s="7" t="s">
        <v>262</v>
      </c>
      <c r="C183" s="7" t="s">
        <v>463</v>
      </c>
    </row>
    <row r="184">
      <c r="A184" s="7" t="s">
        <v>191</v>
      </c>
      <c r="B184" s="7" t="s">
        <v>293</v>
      </c>
      <c r="C184" s="7" t="s">
        <v>294</v>
      </c>
    </row>
    <row r="185">
      <c r="A185" s="7" t="s">
        <v>192</v>
      </c>
      <c r="B185" s="7" t="s">
        <v>270</v>
      </c>
      <c r="C185" s="7" t="s">
        <v>445</v>
      </c>
    </row>
    <row r="186">
      <c r="A186" s="7" t="s">
        <v>193</v>
      </c>
      <c r="B186" s="7" t="s">
        <v>255</v>
      </c>
      <c r="C186" s="7" t="s">
        <v>357</v>
      </c>
    </row>
    <row r="187">
      <c r="A187" s="7" t="s">
        <v>194</v>
      </c>
      <c r="B187" s="7" t="s">
        <v>287</v>
      </c>
      <c r="C187" s="7" t="s">
        <v>344</v>
      </c>
    </row>
    <row r="188">
      <c r="A188" s="7" t="s">
        <v>195</v>
      </c>
      <c r="B188" s="7"/>
      <c r="C188" s="7" t="s">
        <v>494</v>
      </c>
    </row>
    <row r="189">
      <c r="A189" s="7" t="s">
        <v>196</v>
      </c>
      <c r="B189" s="7" t="s">
        <v>305</v>
      </c>
      <c r="C189" s="7" t="s">
        <v>329</v>
      </c>
    </row>
    <row r="190">
      <c r="A190" s="7" t="s">
        <v>197</v>
      </c>
      <c r="B190" s="7" t="s">
        <v>242</v>
      </c>
      <c r="C190" s="7" t="s">
        <v>295</v>
      </c>
    </row>
    <row r="191">
      <c r="A191" s="7" t="s">
        <v>198</v>
      </c>
      <c r="B191" s="7" t="s">
        <v>259</v>
      </c>
      <c r="C191" s="7" t="s">
        <v>353</v>
      </c>
    </row>
    <row r="192">
      <c r="A192" s="7" t="s">
        <v>199</v>
      </c>
      <c r="B192" s="7" t="s">
        <v>287</v>
      </c>
      <c r="C192" s="7" t="s">
        <v>452</v>
      </c>
    </row>
    <row r="193">
      <c r="A193" s="7" t="s">
        <v>200</v>
      </c>
      <c r="B193" s="7" t="s">
        <v>322</v>
      </c>
      <c r="C193" s="7" t="s">
        <v>436</v>
      </c>
    </row>
    <row r="194">
      <c r="A194" s="7" t="s">
        <v>201</v>
      </c>
      <c r="B194" s="7" t="s">
        <v>262</v>
      </c>
      <c r="C194" s="7" t="s">
        <v>438</v>
      </c>
    </row>
    <row r="195">
      <c r="A195" s="7" t="s">
        <v>202</v>
      </c>
      <c r="B195" s="7" t="s">
        <v>270</v>
      </c>
      <c r="C195" s="7" t="s">
        <v>355</v>
      </c>
    </row>
    <row r="196">
      <c r="A196" s="7" t="s">
        <v>203</v>
      </c>
      <c r="B196" s="7" t="s">
        <v>305</v>
      </c>
      <c r="C196" s="7" t="s">
        <v>431</v>
      </c>
    </row>
    <row r="197">
      <c r="A197" s="7" t="s">
        <v>204</v>
      </c>
      <c r="B197" s="7" t="s">
        <v>259</v>
      </c>
      <c r="C197" s="7" t="s">
        <v>260</v>
      </c>
    </row>
    <row r="198">
      <c r="A198" s="7" t="s">
        <v>205</v>
      </c>
      <c r="B198" s="7" t="s">
        <v>259</v>
      </c>
      <c r="C198" s="7" t="s">
        <v>495</v>
      </c>
    </row>
    <row r="199">
      <c r="A199" s="7" t="s">
        <v>206</v>
      </c>
      <c r="B199" s="7" t="s">
        <v>324</v>
      </c>
      <c r="C199" s="7" t="s">
        <v>405</v>
      </c>
    </row>
    <row r="200">
      <c r="A200" s="7" t="s">
        <v>207</v>
      </c>
      <c r="B200" s="7" t="s">
        <v>285</v>
      </c>
      <c r="C200" s="7" t="s">
        <v>286</v>
      </c>
    </row>
    <row r="201">
      <c r="A201" s="7" t="s">
        <v>208</v>
      </c>
      <c r="B201" s="7" t="s">
        <v>319</v>
      </c>
      <c r="C201" s="7" t="s">
        <v>426</v>
      </c>
    </row>
    <row r="202">
      <c r="A202" s="7" t="s">
        <v>209</v>
      </c>
      <c r="B202" s="7" t="s">
        <v>285</v>
      </c>
      <c r="C202" s="7" t="s">
        <v>331</v>
      </c>
    </row>
    <row r="203">
      <c r="A203" s="7" t="s">
        <v>210</v>
      </c>
      <c r="B203" s="7" t="s">
        <v>270</v>
      </c>
      <c r="C203" s="7" t="s">
        <v>385</v>
      </c>
    </row>
    <row r="204">
      <c r="A204" s="7" t="s">
        <v>211</v>
      </c>
      <c r="B204" s="7" t="s">
        <v>244</v>
      </c>
      <c r="C204" s="7" t="s">
        <v>211</v>
      </c>
    </row>
    <row r="205">
      <c r="A205" s="7" t="s">
        <v>212</v>
      </c>
      <c r="B205" s="7" t="s">
        <v>317</v>
      </c>
      <c r="C205" s="7" t="s">
        <v>318</v>
      </c>
    </row>
    <row r="206">
      <c r="A206" s="7" t="s">
        <v>213</v>
      </c>
      <c r="B206" s="7" t="s">
        <v>239</v>
      </c>
      <c r="C206" s="7" t="s">
        <v>496</v>
      </c>
    </row>
    <row r="207">
      <c r="A207" s="7" t="s">
        <v>214</v>
      </c>
      <c r="B207" s="7" t="s">
        <v>322</v>
      </c>
      <c r="C207" s="7" t="s">
        <v>323</v>
      </c>
    </row>
    <row r="208">
      <c r="A208" s="7" t="s">
        <v>215</v>
      </c>
      <c r="B208" s="7" t="s">
        <v>242</v>
      </c>
      <c r="C208" s="7" t="s">
        <v>251</v>
      </c>
    </row>
    <row r="209">
      <c r="A209" s="7" t="s">
        <v>216</v>
      </c>
      <c r="B209" s="7" t="s">
        <v>464</v>
      </c>
      <c r="C209" s="7" t="s">
        <v>465</v>
      </c>
    </row>
    <row r="210">
      <c r="A210" s="7" t="s">
        <v>217</v>
      </c>
      <c r="B210" s="7" t="s">
        <v>239</v>
      </c>
      <c r="C210" s="7" t="s">
        <v>279</v>
      </c>
    </row>
    <row r="211">
      <c r="A211" s="7" t="s">
        <v>218</v>
      </c>
      <c r="B211" s="7" t="s">
        <v>259</v>
      </c>
      <c r="C211" s="7" t="s">
        <v>497</v>
      </c>
    </row>
    <row r="212">
      <c r="A212" s="7" t="s">
        <v>219</v>
      </c>
      <c r="B212" s="7" t="s">
        <v>378</v>
      </c>
      <c r="C212" s="7" t="s">
        <v>379</v>
      </c>
    </row>
    <row r="213">
      <c r="A213" s="7" t="s">
        <v>220</v>
      </c>
      <c r="B213" s="7"/>
      <c r="C213" s="7" t="s">
        <v>466</v>
      </c>
    </row>
    <row r="214">
      <c r="A214" s="7" t="s">
        <v>221</v>
      </c>
      <c r="B214" s="7" t="s">
        <v>376</v>
      </c>
      <c r="C214" s="7" t="s">
        <v>420</v>
      </c>
    </row>
    <row r="215">
      <c r="A215" s="7" t="s">
        <v>222</v>
      </c>
      <c r="B215" s="7" t="s">
        <v>270</v>
      </c>
      <c r="C215" s="7" t="s">
        <v>365</v>
      </c>
    </row>
    <row r="216">
      <c r="A216" s="7" t="s">
        <v>223</v>
      </c>
      <c r="B216" s="7" t="s">
        <v>305</v>
      </c>
      <c r="C216" s="7" t="s">
        <v>498</v>
      </c>
    </row>
    <row r="217">
      <c r="A217" s="7" t="s">
        <v>224</v>
      </c>
      <c r="B217" s="7" t="s">
        <v>358</v>
      </c>
      <c r="C217" s="7" t="s">
        <v>359</v>
      </c>
    </row>
    <row r="218">
      <c r="A218" s="7" t="s">
        <v>225</v>
      </c>
      <c r="B218" s="7" t="s">
        <v>311</v>
      </c>
      <c r="C218" s="7" t="s">
        <v>442</v>
      </c>
    </row>
    <row r="219">
      <c r="A219" s="7" t="s">
        <v>226</v>
      </c>
      <c r="B219" s="7" t="s">
        <v>245</v>
      </c>
      <c r="C219" s="7" t="s">
        <v>246</v>
      </c>
    </row>
    <row r="220">
      <c r="A220" s="33"/>
      <c r="B220" s="33"/>
      <c r="C220" s="33"/>
    </row>
  </sheetData>
  <mergeCells count="1">
    <mergeCell ref="A1:C1"/>
  </mergeCells>
  <drawing r:id="rId1"/>
  <tableParts count="1">
    <tablePart r:id="rId3"/>
  </tableParts>
</worksheet>
</file>